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05-May-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shares'!$A$1:$FA$216</definedName>
    <definedName name="Expry_Roll___20" localSheetId="15">'NIFTY GRP'!$A$1:$EY$51</definedName>
    <definedName name="fii" localSheetId="18">FII!$A$1:$N$16</definedName>
    <definedName name="_xlnm.Print_Area" localSheetId="14">Disclaimar!$A$1:$A$24</definedName>
    <definedName name="stats__2" localSheetId="16">'Data Vlaue (Cr)'!$A$1:$FB$216</definedName>
  </definedNames>
  <calcPr calcId="162913"/>
</workbook>
</file>

<file path=xl/calcChain.xml><?xml version="1.0" encoding="utf-8"?>
<calcChain xmlns="http://schemas.openxmlformats.org/spreadsheetml/2006/main">
  <c r="A221" i="14" l="1"/>
  <c r="A220" i="13"/>
  <c r="A221" i="12"/>
  <c r="A221" i="11"/>
  <c r="A221" i="10"/>
  <c r="A221" i="6"/>
  <c r="J221" i="7"/>
  <c r="A221" i="7"/>
  <c r="M221" i="7" s="1"/>
  <c r="A221" i="3"/>
  <c r="L227" i="2"/>
  <c r="Q226" i="2"/>
  <c r="H226" i="2"/>
  <c r="C226" i="2"/>
  <c r="A226" i="2"/>
  <c r="S226" i="2" s="1"/>
  <c r="A227" i="2"/>
  <c r="P227" i="2" s="1"/>
  <c r="A228" i="2"/>
  <c r="Q228" i="2" s="1"/>
  <c r="A225" i="2"/>
  <c r="S225" i="2" s="1"/>
  <c r="L3" i="21"/>
  <c r="B227" i="2" l="1"/>
  <c r="M227" i="2"/>
  <c r="N227" i="2" s="1"/>
  <c r="O227" i="2" s="1"/>
  <c r="N221" i="7"/>
  <c r="I226" i="2"/>
  <c r="C227" i="2"/>
  <c r="Q227" i="2"/>
  <c r="B221" i="7"/>
  <c r="B226" i="2"/>
  <c r="P226" i="2"/>
  <c r="H227" i="2"/>
  <c r="R227" i="2"/>
  <c r="F221" i="7"/>
  <c r="D226" i="2"/>
  <c r="L226" i="2"/>
  <c r="R226" i="2"/>
  <c r="D227" i="2"/>
  <c r="I227" i="2"/>
  <c r="J227" i="2" s="1"/>
  <c r="K227" i="2" s="1"/>
  <c r="S227" i="2"/>
  <c r="E228" i="2"/>
  <c r="M228" i="2"/>
  <c r="S228" i="2"/>
  <c r="C221" i="7"/>
  <c r="G221" i="7"/>
  <c r="K221" i="7"/>
  <c r="O221" i="7"/>
  <c r="D228" i="2"/>
  <c r="L228" i="2"/>
  <c r="N228" i="2" s="1"/>
  <c r="O228" i="2" s="1"/>
  <c r="R228" i="2"/>
  <c r="E226" i="2"/>
  <c r="M226" i="2"/>
  <c r="E227" i="2"/>
  <c r="B228" i="2"/>
  <c r="H228" i="2"/>
  <c r="P228" i="2"/>
  <c r="D221" i="7"/>
  <c r="H221" i="7"/>
  <c r="L221" i="7"/>
  <c r="J226" i="2"/>
  <c r="K226" i="2" s="1"/>
  <c r="C228" i="2"/>
  <c r="I228" i="2"/>
  <c r="E221" i="7"/>
  <c r="I221" i="7"/>
  <c r="F226" i="2"/>
  <c r="E225" i="2"/>
  <c r="I225" i="2"/>
  <c r="M225" i="2"/>
  <c r="Q225" i="2"/>
  <c r="D225" i="2"/>
  <c r="L225" i="2"/>
  <c r="B225" i="2"/>
  <c r="R225" i="2"/>
  <c r="H225" i="2"/>
  <c r="P225" i="2"/>
  <c r="C225" i="2"/>
  <c r="G220"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E217" i="13" s="1"/>
  <c r="A218" i="13"/>
  <c r="G218" i="13" s="1"/>
  <c r="A219" i="13"/>
  <c r="E219" i="13" s="1"/>
  <c r="A9" i="13"/>
  <c r="A8" i="13"/>
  <c r="A7" i="13"/>
  <c r="A6" i="13"/>
  <c r="G228" i="2" l="1"/>
  <c r="N226" i="2"/>
  <c r="O226" i="2" s="1"/>
  <c r="N225" i="2"/>
  <c r="O225" i="2" s="1"/>
  <c r="J225" i="2"/>
  <c r="K225" i="2" s="1"/>
  <c r="J228" i="2"/>
  <c r="K228" i="2" s="1"/>
  <c r="G226" i="2"/>
  <c r="F228" i="2"/>
  <c r="G227" i="2"/>
  <c r="F227" i="2"/>
  <c r="G225" i="2"/>
  <c r="F225" i="2"/>
  <c r="B219" i="13"/>
  <c r="B217" i="13"/>
  <c r="F219" i="13"/>
  <c r="D218" i="13"/>
  <c r="F217" i="13"/>
  <c r="D220" i="13"/>
  <c r="C217" i="13"/>
  <c r="G217" i="13"/>
  <c r="E218" i="13"/>
  <c r="C219" i="13"/>
  <c r="G219" i="13"/>
  <c r="E220" i="13"/>
  <c r="D217" i="13"/>
  <c r="B218" i="13"/>
  <c r="F218" i="13"/>
  <c r="D219" i="13"/>
  <c r="B220" i="13"/>
  <c r="F220" i="13"/>
  <c r="C218" i="13"/>
  <c r="C220" i="13"/>
  <c r="F88" i="18"/>
  <c r="F118" i="18"/>
  <c r="F139" i="18"/>
  <c r="F44" i="18"/>
  <c r="E44" i="18"/>
  <c r="E139" i="18"/>
  <c r="E118" i="18"/>
  <c r="E88" i="18"/>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C219" i="14" s="1"/>
  <c r="A220" i="14"/>
  <c r="F220" i="14" s="1"/>
  <c r="E221" i="14"/>
  <c r="A9" i="14"/>
  <c r="A8" i="14"/>
  <c r="A7" i="14"/>
  <c r="Q221" i="3"/>
  <c r="A229" i="2"/>
  <c r="Q229" i="2" s="1"/>
  <c r="A215" i="12"/>
  <c r="A216" i="12"/>
  <c r="A217" i="12"/>
  <c r="A218" i="12"/>
  <c r="A219" i="12"/>
  <c r="D219" i="12" s="1"/>
  <c r="A220" i="12"/>
  <c r="B220" i="12" s="1"/>
  <c r="D221" i="12"/>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I218" i="11" s="1"/>
  <c r="A219" i="11"/>
  <c r="N219" i="11" s="1"/>
  <c r="A220" i="11"/>
  <c r="E220" i="11" s="1"/>
  <c r="N221" i="11"/>
  <c r="A9" i="11"/>
  <c r="A8" i="11"/>
  <c r="A7" i="11"/>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N218" i="10" s="1"/>
  <c r="A219" i="10"/>
  <c r="L219" i="10" s="1"/>
  <c r="A220" i="10"/>
  <c r="G220" i="10" s="1"/>
  <c r="A10" i="10"/>
  <c r="A9" i="10"/>
  <c r="A8" i="10"/>
  <c r="A7" i="10"/>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10" i="8"/>
  <c r="A9" i="8"/>
  <c r="A8" i="8"/>
  <c r="A7" i="8"/>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L218" i="6" s="1"/>
  <c r="A219" i="6"/>
  <c r="N219" i="6" s="1"/>
  <c r="A220" i="6"/>
  <c r="L220" i="6" s="1"/>
  <c r="G221" i="6"/>
  <c r="A10" i="6"/>
  <c r="A9" i="6"/>
  <c r="A8" i="6"/>
  <c r="A7" i="6"/>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I218" i="7" s="1"/>
  <c r="A219" i="7"/>
  <c r="I219" i="7" s="1"/>
  <c r="A220" i="7"/>
  <c r="I220" i="7" s="1"/>
  <c r="A10" i="7"/>
  <c r="A9" i="7"/>
  <c r="A8" i="7"/>
  <c r="A7" i="7"/>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P218" i="3" s="1"/>
  <c r="A219" i="3"/>
  <c r="O219" i="3" s="1"/>
  <c r="A220" i="3"/>
  <c r="N220" i="3" s="1"/>
  <c r="A12" i="3"/>
  <c r="A13" i="3"/>
  <c r="A11" i="3"/>
  <c r="A10" i="3"/>
  <c r="A9" i="3"/>
  <c r="A8" i="3"/>
  <c r="A7" i="3"/>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R222" i="2" s="1"/>
  <c r="A223" i="2"/>
  <c r="R223" i="2" s="1"/>
  <c r="A224" i="2"/>
  <c r="S224" i="2" s="1"/>
  <c r="A15" i="2"/>
  <c r="A14" i="2"/>
  <c r="A13" i="2"/>
  <c r="A12" i="2"/>
  <c r="A11" i="2"/>
  <c r="D229" i="2" l="1"/>
  <c r="L229" i="2"/>
  <c r="R229" i="2"/>
  <c r="C221" i="3"/>
  <c r="I221" i="3"/>
  <c r="N221" i="3"/>
  <c r="E229" i="2"/>
  <c r="G229" i="2" s="1"/>
  <c r="M229" i="2"/>
  <c r="N229" i="2" s="1"/>
  <c r="O229" i="2" s="1"/>
  <c r="S229" i="2"/>
  <c r="B229" i="2"/>
  <c r="H229" i="2"/>
  <c r="P229" i="2"/>
  <c r="E219" i="11"/>
  <c r="F219" i="12"/>
  <c r="C229" i="2"/>
  <c r="I229" i="2"/>
  <c r="M218" i="6"/>
  <c r="G218" i="10"/>
  <c r="F221" i="12"/>
  <c r="S222" i="2"/>
  <c r="O219" i="6"/>
  <c r="I219" i="10"/>
  <c r="O221" i="11"/>
  <c r="H221" i="12"/>
  <c r="E224" i="2"/>
  <c r="L220" i="10"/>
  <c r="D219" i="14"/>
  <c r="E223" i="2"/>
  <c r="P224" i="2"/>
  <c r="D221" i="3"/>
  <c r="J221" i="3"/>
  <c r="O221" i="3"/>
  <c r="C218" i="7"/>
  <c r="O219" i="7"/>
  <c r="C219" i="6"/>
  <c r="E220" i="6"/>
  <c r="K218" i="10"/>
  <c r="M219" i="10"/>
  <c r="E218" i="11"/>
  <c r="G219" i="11"/>
  <c r="C221" i="11"/>
  <c r="H219" i="12"/>
  <c r="J220" i="12"/>
  <c r="C220" i="14"/>
  <c r="D222" i="2"/>
  <c r="M223" i="2"/>
  <c r="F221" i="3"/>
  <c r="L221" i="3"/>
  <c r="P221" i="3"/>
  <c r="G218" i="7"/>
  <c r="E218" i="6"/>
  <c r="G219" i="6"/>
  <c r="I220" i="6"/>
  <c r="M220" i="12" s="1"/>
  <c r="O218" i="10"/>
  <c r="C220" i="10"/>
  <c r="M218" i="11"/>
  <c r="K219" i="11"/>
  <c r="G221" i="11"/>
  <c r="B219" i="12"/>
  <c r="J219" i="12"/>
  <c r="B221" i="12"/>
  <c r="J221" i="12"/>
  <c r="B221" i="14"/>
  <c r="G221" i="14" s="1"/>
  <c r="G219" i="7"/>
  <c r="F220" i="12"/>
  <c r="I222" i="2"/>
  <c r="S223" i="2"/>
  <c r="B221" i="3"/>
  <c r="G221" i="3"/>
  <c r="M221" i="3"/>
  <c r="M218" i="7"/>
  <c r="I218" i="6"/>
  <c r="M218" i="12" s="1"/>
  <c r="K219" i="6"/>
  <c r="M220" i="6"/>
  <c r="C218" i="10"/>
  <c r="E219" i="10"/>
  <c r="C219" i="11"/>
  <c r="O219" i="11"/>
  <c r="K221" i="11"/>
  <c r="F221" i="14"/>
  <c r="N217" i="6"/>
  <c r="J217" i="6"/>
  <c r="F217" i="6"/>
  <c r="B217" i="6"/>
  <c r="M217" i="6"/>
  <c r="I217" i="6"/>
  <c r="E217" i="6"/>
  <c r="L217" i="6"/>
  <c r="H217" i="6"/>
  <c r="D217" i="6"/>
  <c r="E222" i="2"/>
  <c r="P222" i="2"/>
  <c r="B223" i="2"/>
  <c r="H223" i="2"/>
  <c r="P223" i="2"/>
  <c r="B224" i="2"/>
  <c r="L224" i="2"/>
  <c r="Q224" i="2"/>
  <c r="L220" i="7"/>
  <c r="H220" i="7"/>
  <c r="D220" i="7"/>
  <c r="N220" i="7"/>
  <c r="J220" i="7"/>
  <c r="F220" i="7"/>
  <c r="B220" i="7"/>
  <c r="D218" i="7"/>
  <c r="H218" i="7"/>
  <c r="O218" i="7"/>
  <c r="C220" i="7"/>
  <c r="K220" i="7"/>
  <c r="K217" i="6"/>
  <c r="C221" i="6"/>
  <c r="M221" i="10"/>
  <c r="I221" i="10"/>
  <c r="E221" i="10"/>
  <c r="O221" i="10"/>
  <c r="K221" i="10"/>
  <c r="G221" i="10"/>
  <c r="C221" i="10"/>
  <c r="L221" i="10"/>
  <c r="D221" i="10"/>
  <c r="J221" i="10"/>
  <c r="B221" i="10"/>
  <c r="H221" i="10"/>
  <c r="G217" i="6"/>
  <c r="O221" i="6"/>
  <c r="B222" i="2"/>
  <c r="L222" i="2"/>
  <c r="Q222" i="2"/>
  <c r="C223" i="2"/>
  <c r="I223" i="2"/>
  <c r="Q223" i="2"/>
  <c r="C224" i="2"/>
  <c r="H224" i="2"/>
  <c r="M224" i="2"/>
  <c r="R224" i="2"/>
  <c r="N219" i="7"/>
  <c r="J219" i="7"/>
  <c r="F219" i="7"/>
  <c r="B219" i="7"/>
  <c r="L219" i="7"/>
  <c r="H219" i="7"/>
  <c r="D219" i="7"/>
  <c r="E218" i="7"/>
  <c r="C219" i="7"/>
  <c r="K219" i="7"/>
  <c r="E220" i="7"/>
  <c r="M220" i="7"/>
  <c r="O217" i="6"/>
  <c r="F221" i="10"/>
  <c r="N221" i="6"/>
  <c r="J221" i="6"/>
  <c r="F221" i="6"/>
  <c r="B221" i="6"/>
  <c r="M221" i="6"/>
  <c r="I221" i="6"/>
  <c r="M221" i="12" s="1"/>
  <c r="E221" i="6"/>
  <c r="L221" i="6"/>
  <c r="O221" i="12" s="1"/>
  <c r="H221" i="6"/>
  <c r="L221" i="12" s="1"/>
  <c r="D221" i="6"/>
  <c r="C222" i="2"/>
  <c r="H222" i="2"/>
  <c r="M222" i="2"/>
  <c r="D223" i="2"/>
  <c r="F223" i="2" s="1"/>
  <c r="L223" i="2"/>
  <c r="N223" i="2" s="1"/>
  <c r="O223" i="2" s="1"/>
  <c r="D224" i="2"/>
  <c r="I224" i="2"/>
  <c r="L218" i="7"/>
  <c r="N218" i="7"/>
  <c r="J218" i="7"/>
  <c r="B218" i="7"/>
  <c r="F218" i="7"/>
  <c r="K218" i="7"/>
  <c r="E219" i="7"/>
  <c r="M219" i="7"/>
  <c r="G220" i="7"/>
  <c r="O220" i="7"/>
  <c r="C217" i="6"/>
  <c r="K221" i="6"/>
  <c r="N221" i="12" s="1"/>
  <c r="N221" i="10"/>
  <c r="I218" i="12"/>
  <c r="E218" i="12"/>
  <c r="H218" i="12"/>
  <c r="D218" i="12"/>
  <c r="O218" i="12"/>
  <c r="K218" i="12"/>
  <c r="G218" i="12"/>
  <c r="C218" i="12"/>
  <c r="J218" i="12"/>
  <c r="F218" i="12"/>
  <c r="B218" i="12"/>
  <c r="N219" i="12"/>
  <c r="B218" i="6"/>
  <c r="F218" i="6"/>
  <c r="J218" i="6"/>
  <c r="N218" i="6"/>
  <c r="D219" i="6"/>
  <c r="H219" i="6"/>
  <c r="L219" i="12" s="1"/>
  <c r="L219" i="6"/>
  <c r="B220" i="6"/>
  <c r="F220" i="6"/>
  <c r="J220" i="6"/>
  <c r="N220" i="6"/>
  <c r="O220" i="10"/>
  <c r="K220" i="10"/>
  <c r="M220" i="10"/>
  <c r="D218" i="10"/>
  <c r="H218" i="10"/>
  <c r="L218" i="10"/>
  <c r="B219" i="10"/>
  <c r="F219" i="10"/>
  <c r="J219" i="10"/>
  <c r="N219" i="10"/>
  <c r="D220" i="10"/>
  <c r="H220" i="10"/>
  <c r="N220" i="10"/>
  <c r="L220" i="11"/>
  <c r="H220" i="11"/>
  <c r="D220" i="11"/>
  <c r="O220" i="11"/>
  <c r="K220" i="11"/>
  <c r="G220" i="11"/>
  <c r="C220" i="11"/>
  <c r="N220" i="11"/>
  <c r="J220" i="11"/>
  <c r="F220" i="11"/>
  <c r="B220" i="11"/>
  <c r="I220" i="11"/>
  <c r="C218" i="6"/>
  <c r="G218" i="6"/>
  <c r="K218" i="6"/>
  <c r="N218" i="12" s="1"/>
  <c r="O218" i="6"/>
  <c r="E219" i="6"/>
  <c r="I219" i="6"/>
  <c r="M219" i="12" s="1"/>
  <c r="M219" i="6"/>
  <c r="C220" i="6"/>
  <c r="G220" i="6"/>
  <c r="K220" i="6"/>
  <c r="N220" i="12" s="1"/>
  <c r="O220" i="6"/>
  <c r="E218" i="10"/>
  <c r="I218" i="10"/>
  <c r="M218" i="10"/>
  <c r="C219" i="10"/>
  <c r="G219" i="10"/>
  <c r="K219" i="10"/>
  <c r="O219" i="10"/>
  <c r="E220" i="10"/>
  <c r="I220" i="10"/>
  <c r="M220" i="11"/>
  <c r="D218" i="14"/>
  <c r="C218" i="14"/>
  <c r="F218" i="14"/>
  <c r="B218" i="14"/>
  <c r="D218" i="6"/>
  <c r="H218" i="6"/>
  <c r="L218" i="12" s="1"/>
  <c r="B219" i="6"/>
  <c r="F219" i="6"/>
  <c r="J219" i="6"/>
  <c r="D220" i="6"/>
  <c r="H220" i="6"/>
  <c r="L220" i="12" s="1"/>
  <c r="B218" i="10"/>
  <c r="F218" i="10"/>
  <c r="J218" i="10"/>
  <c r="D219" i="10"/>
  <c r="H219" i="10"/>
  <c r="B220" i="10"/>
  <c r="F220" i="10"/>
  <c r="J220" i="10"/>
  <c r="L218" i="11"/>
  <c r="H218" i="11"/>
  <c r="D218" i="11"/>
  <c r="O218" i="11"/>
  <c r="K218" i="11"/>
  <c r="G218" i="11"/>
  <c r="C218" i="11"/>
  <c r="N218" i="11"/>
  <c r="J218" i="11"/>
  <c r="F218" i="11"/>
  <c r="B218" i="11"/>
  <c r="O219" i="12"/>
  <c r="E218" i="14"/>
  <c r="D219" i="11"/>
  <c r="H219" i="11"/>
  <c r="L219" i="11"/>
  <c r="D221" i="11"/>
  <c r="H221" i="11"/>
  <c r="L221" i="11"/>
  <c r="E219" i="12"/>
  <c r="I219" i="12"/>
  <c r="C220" i="12"/>
  <c r="G220" i="12"/>
  <c r="K220" i="12"/>
  <c r="O220" i="12"/>
  <c r="E221" i="12"/>
  <c r="I221" i="12"/>
  <c r="E219" i="14"/>
  <c r="D220" i="14"/>
  <c r="C221" i="14"/>
  <c r="I219" i="11"/>
  <c r="M219" i="11"/>
  <c r="E221" i="11"/>
  <c r="I221" i="11"/>
  <c r="M221" i="11"/>
  <c r="D220" i="12"/>
  <c r="H220" i="12"/>
  <c r="B219" i="14"/>
  <c r="F219" i="14"/>
  <c r="E220" i="14"/>
  <c r="D221" i="14"/>
  <c r="B219" i="11"/>
  <c r="F219" i="11"/>
  <c r="J219" i="11"/>
  <c r="B221" i="11"/>
  <c r="F221" i="11"/>
  <c r="J221" i="11"/>
  <c r="C219" i="12"/>
  <c r="G219" i="12"/>
  <c r="K219" i="12"/>
  <c r="E220" i="12"/>
  <c r="I220" i="12"/>
  <c r="C221" i="12"/>
  <c r="G221" i="12"/>
  <c r="K221" i="12"/>
  <c r="B220" i="14"/>
  <c r="G220" i="14" s="1"/>
  <c r="L219" i="3"/>
  <c r="D220" i="3"/>
  <c r="B218" i="3"/>
  <c r="F219" i="3"/>
  <c r="J220" i="3"/>
  <c r="Q218" i="3"/>
  <c r="G218" i="3"/>
  <c r="O220" i="3"/>
  <c r="M218" i="3"/>
  <c r="P219" i="3"/>
  <c r="C218" i="3"/>
  <c r="I218" i="3"/>
  <c r="N218" i="3"/>
  <c r="B219" i="3"/>
  <c r="G219" i="3"/>
  <c r="M219" i="3"/>
  <c r="Q219" i="3"/>
  <c r="F220" i="3"/>
  <c r="L220" i="3"/>
  <c r="P220" i="3"/>
  <c r="D218" i="3"/>
  <c r="J218" i="3"/>
  <c r="O218" i="3"/>
  <c r="C219" i="3"/>
  <c r="I219" i="3"/>
  <c r="N219" i="3"/>
  <c r="B220" i="3"/>
  <c r="G220" i="3"/>
  <c r="M220" i="3"/>
  <c r="Q220" i="3"/>
  <c r="F218" i="3"/>
  <c r="H218" i="3" s="1"/>
  <c r="L218" i="3"/>
  <c r="D219" i="3"/>
  <c r="J219" i="3"/>
  <c r="C220" i="3"/>
  <c r="I220" i="3"/>
  <c r="F229" i="2"/>
  <c r="F23" i="18"/>
  <c r="F194" i="18"/>
  <c r="F188" i="18"/>
  <c r="F113" i="18"/>
  <c r="F180" i="18"/>
  <c r="F18" i="18"/>
  <c r="F93" i="18"/>
  <c r="F43" i="18"/>
  <c r="F155" i="18"/>
  <c r="E221" i="3" l="1"/>
  <c r="K221" i="3"/>
  <c r="J229" i="2"/>
  <c r="K229" i="2" s="1"/>
  <c r="G223" i="2"/>
  <c r="J222" i="2"/>
  <c r="K222" i="2" s="1"/>
  <c r="G222" i="2"/>
  <c r="H221" i="3"/>
  <c r="J224" i="2"/>
  <c r="K224" i="2" s="1"/>
  <c r="F222" i="2"/>
  <c r="G218" i="14"/>
  <c r="G219" i="14"/>
  <c r="N222" i="2"/>
  <c r="O222" i="2" s="1"/>
  <c r="J223" i="2"/>
  <c r="K223" i="2" s="1"/>
  <c r="N224" i="2"/>
  <c r="O224" i="2" s="1"/>
  <c r="G224" i="2"/>
  <c r="F224" i="2"/>
  <c r="E220" i="3"/>
  <c r="K219" i="3"/>
  <c r="H219" i="3"/>
  <c r="H220" i="3"/>
  <c r="K220" i="3"/>
  <c r="K218" i="3"/>
  <c r="E219" i="3"/>
  <c r="E218" i="3"/>
  <c r="L4" i="21"/>
  <c r="F171" i="18"/>
  <c r="B215" i="14" l="1"/>
  <c r="C216" i="14"/>
  <c r="D217" i="14"/>
  <c r="B213" i="13"/>
  <c r="B214" i="13"/>
  <c r="D215" i="13"/>
  <c r="B216" i="13"/>
  <c r="A214" i="12"/>
  <c r="B214" i="12" s="1"/>
  <c r="B215" i="12"/>
  <c r="C216" i="12"/>
  <c r="B217" i="12"/>
  <c r="D213" i="11"/>
  <c r="B214" i="11"/>
  <c r="C215" i="11"/>
  <c r="D216" i="11"/>
  <c r="D217" i="11"/>
  <c r="B214" i="10"/>
  <c r="C215" i="10"/>
  <c r="B216" i="10"/>
  <c r="B217" i="10"/>
  <c r="B54" i="8"/>
  <c r="D55" i="8"/>
  <c r="B56" i="8"/>
  <c r="B212" i="6"/>
  <c r="C213" i="6"/>
  <c r="D214" i="6"/>
  <c r="B215" i="6"/>
  <c r="B216" i="6"/>
  <c r="B214" i="7"/>
  <c r="B215" i="7"/>
  <c r="D216" i="7"/>
  <c r="B217" i="7"/>
  <c r="B215" i="2"/>
  <c r="B216" i="2"/>
  <c r="D217" i="2"/>
  <c r="B219" i="2"/>
  <c r="B220" i="2"/>
  <c r="D221" i="2"/>
  <c r="L216" i="10" l="1"/>
  <c r="G215" i="13"/>
  <c r="I216" i="10"/>
  <c r="G216" i="10"/>
  <c r="N216" i="11"/>
  <c r="L215" i="2"/>
  <c r="O216" i="10"/>
  <c r="E216" i="10"/>
  <c r="K217" i="11"/>
  <c r="J216" i="12"/>
  <c r="I214" i="12"/>
  <c r="I216" i="12"/>
  <c r="I214" i="7"/>
  <c r="G216" i="11"/>
  <c r="B216" i="12"/>
  <c r="H214" i="12"/>
  <c r="E216" i="14"/>
  <c r="M215" i="6"/>
  <c r="N215" i="10"/>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F215" i="10"/>
  <c r="I214" i="10"/>
  <c r="M217" i="11"/>
  <c r="G217" i="11"/>
  <c r="B217" i="11"/>
  <c r="M214" i="11"/>
  <c r="N213" i="11"/>
  <c r="I213" i="11"/>
  <c r="C213" i="11"/>
  <c r="D214" i="12"/>
  <c r="I213" i="6"/>
  <c r="L217" i="10"/>
  <c r="Q219" i="2"/>
  <c r="R218" i="2"/>
  <c r="L218" i="2"/>
  <c r="D218" i="2"/>
  <c r="L215" i="6"/>
  <c r="H215" i="6"/>
  <c r="D215" i="6"/>
  <c r="O214" i="6"/>
  <c r="J214" i="6"/>
  <c r="E214" i="6"/>
  <c r="N213" i="6"/>
  <c r="F213" i="6"/>
  <c r="M212" i="6"/>
  <c r="K217" i="10"/>
  <c r="M216" i="11"/>
  <c r="F216" i="11"/>
  <c r="S221" i="2"/>
  <c r="I219" i="2"/>
  <c r="Q218" i="2"/>
  <c r="I218" i="2"/>
  <c r="C218" i="2"/>
  <c r="R217" i="2"/>
  <c r="Q216" i="2"/>
  <c r="F216" i="7"/>
  <c r="H214" i="7"/>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B216" i="3"/>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D213" i="3"/>
  <c r="J211" i="3"/>
  <c r="L217" i="7"/>
  <c r="H217" i="7"/>
  <c r="D217" i="7"/>
  <c r="O216" i="7"/>
  <c r="J216" i="7"/>
  <c r="E216" i="7"/>
  <c r="M215" i="7"/>
  <c r="M214" i="7"/>
  <c r="E214" i="7"/>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C217" i="3"/>
  <c r="J215" i="3"/>
  <c r="O217" i="7"/>
  <c r="K217" i="7"/>
  <c r="G217" i="7"/>
  <c r="C217" i="7"/>
  <c r="N216" i="7"/>
  <c r="I216" i="7"/>
  <c r="C216" i="7"/>
  <c r="I215" i="7"/>
  <c r="L214" i="7"/>
  <c r="D214" i="7"/>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O216" i="6"/>
  <c r="K216" i="6"/>
  <c r="G216" i="6"/>
  <c r="C216" i="6"/>
  <c r="L213" i="6"/>
  <c r="H213" i="6"/>
  <c r="D213" i="6"/>
  <c r="O212" i="6"/>
  <c r="K212" i="6"/>
  <c r="G212" i="6"/>
  <c r="C212"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B205" i="14"/>
  <c r="B206" i="14"/>
  <c r="D207" i="14"/>
  <c r="B208" i="14"/>
  <c r="B209" i="14"/>
  <c r="B210" i="14"/>
  <c r="D211" i="14"/>
  <c r="B212" i="14"/>
  <c r="B213" i="14"/>
  <c r="B214" i="14"/>
  <c r="B211" i="13"/>
  <c r="C212" i="13"/>
  <c r="A211" i="12"/>
  <c r="B211" i="12" s="1"/>
  <c r="A212" i="12"/>
  <c r="B212" i="12" s="1"/>
  <c r="A213" i="12"/>
  <c r="D213" i="12" s="1"/>
  <c r="B212" i="11"/>
  <c r="B213" i="10"/>
  <c r="B213" i="7"/>
  <c r="G218" i="2" l="1"/>
  <c r="F215" i="2"/>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B7" i="13"/>
  <c r="B9" i="13"/>
  <c r="B11" i="13"/>
  <c r="B13" i="13"/>
  <c r="B15" i="13"/>
  <c r="B17" i="13"/>
  <c r="B19" i="13"/>
  <c r="B21" i="13"/>
  <c r="B23" i="13"/>
  <c r="B25" i="13"/>
  <c r="B27" i="13"/>
  <c r="B29" i="13"/>
  <c r="B31" i="13"/>
  <c r="D89" i="13"/>
  <c r="C90" i="13"/>
  <c r="C91" i="13"/>
  <c r="C92" i="13"/>
  <c r="C93" i="13"/>
  <c r="C94" i="13"/>
  <c r="C95" i="13"/>
  <c r="C96" i="13"/>
  <c r="C97" i="13"/>
  <c r="C98" i="13"/>
  <c r="C99" i="13"/>
  <c r="C100" i="13"/>
  <c r="C102" i="13"/>
  <c r="C103" i="13"/>
  <c r="C104" i="13"/>
  <c r="C106" i="13"/>
  <c r="C107" i="13"/>
  <c r="C108" i="13"/>
  <c r="C110" i="13"/>
  <c r="C111" i="13"/>
  <c r="C112" i="13"/>
  <c r="C114" i="13"/>
  <c r="C115" i="13"/>
  <c r="C116" i="13"/>
  <c r="C118" i="13"/>
  <c r="C119" i="13"/>
  <c r="C120" i="13"/>
  <c r="C122" i="13"/>
  <c r="C123" i="13"/>
  <c r="C124" i="13"/>
  <c r="C126" i="13"/>
  <c r="C127" i="13"/>
  <c r="C128" i="13"/>
  <c r="C130" i="13"/>
  <c r="C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E211" i="3" l="1"/>
  <c r="H211" i="3"/>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A210" i="12"/>
  <c r="D189" i="11"/>
  <c r="F190" i="11"/>
  <c r="D191" i="11"/>
  <c r="L193" i="11"/>
  <c r="N194" i="11"/>
  <c r="H195" i="11"/>
  <c r="D197" i="11"/>
  <c r="F198" i="11"/>
  <c r="D199" i="11"/>
  <c r="F200" i="11"/>
  <c r="F201" i="11"/>
  <c r="H202" i="11"/>
  <c r="C203" i="11"/>
  <c r="C205" i="11"/>
  <c r="D206" i="11"/>
  <c r="C207" i="11"/>
  <c r="C209" i="11"/>
  <c r="H210" i="11"/>
  <c r="C211" i="11"/>
  <c r="O190" i="10"/>
  <c r="E191" i="10"/>
  <c r="G192" i="10"/>
  <c r="E193" i="10"/>
  <c r="G194" i="10"/>
  <c r="M195" i="10"/>
  <c r="O196" i="10"/>
  <c r="I197" i="10"/>
  <c r="O198" i="10"/>
  <c r="E199" i="10"/>
  <c r="G200" i="10"/>
  <c r="E201" i="10"/>
  <c r="G202" i="10"/>
  <c r="M203" i="10"/>
  <c r="O204" i="10"/>
  <c r="I205" i="10"/>
  <c r="O206" i="10"/>
  <c r="E207" i="10"/>
  <c r="E209" i="10"/>
  <c r="G210" i="10"/>
  <c r="D211" i="10"/>
  <c r="I212" i="10"/>
  <c r="B145" i="14"/>
  <c r="C189" i="14"/>
  <c r="B190" i="14"/>
  <c r="E191" i="14"/>
  <c r="E193" i="14"/>
  <c r="D194" i="14"/>
  <c r="C195" i="14"/>
  <c r="C197" i="14"/>
  <c r="B198" i="14"/>
  <c r="E199" i="14"/>
  <c r="D202" i="14"/>
  <c r="C203" i="14"/>
  <c r="F107" i="18"/>
  <c r="F210" i="18"/>
  <c r="F65" i="18"/>
  <c r="F153" i="18"/>
  <c r="K211" i="6"/>
  <c r="H190" i="7"/>
  <c r="N191" i="7"/>
  <c r="H192" i="7"/>
  <c r="F195" i="7"/>
  <c r="L196" i="7"/>
  <c r="J197" i="7"/>
  <c r="H198" i="7"/>
  <c r="N199" i="7"/>
  <c r="D200" i="7"/>
  <c r="D202" i="7"/>
  <c r="F203" i="7"/>
  <c r="L204" i="7"/>
  <c r="J205" i="7"/>
  <c r="H206" i="7"/>
  <c r="J207" i="7"/>
  <c r="F208" i="7"/>
  <c r="E209" i="7"/>
  <c r="F210" i="7"/>
  <c r="B211" i="7"/>
  <c r="D212" i="7"/>
  <c r="C189" i="3"/>
  <c r="G190" i="3"/>
  <c r="I196" i="3"/>
  <c r="C197" i="3"/>
  <c r="I200" i="3"/>
  <c r="L202" i="3"/>
  <c r="B208" i="3"/>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C209" i="3"/>
  <c r="E208" i="2"/>
  <c r="N204" i="3"/>
  <c r="B209" i="2"/>
  <c r="C205" i="3"/>
  <c r="C207" i="2"/>
  <c r="I203" i="3"/>
  <c r="M205" i="2"/>
  <c r="C201" i="3"/>
  <c r="Q197" i="2"/>
  <c r="C193" i="3"/>
  <c r="R211" i="2"/>
  <c r="I207" i="3"/>
  <c r="E203" i="2"/>
  <c r="D199" i="3"/>
  <c r="H199" i="2"/>
  <c r="N195" i="3"/>
  <c r="R195" i="2"/>
  <c r="N191" i="3"/>
  <c r="C214" i="2"/>
  <c r="L210" i="2"/>
  <c r="P206" i="3"/>
  <c r="M202" i="2"/>
  <c r="G198" i="3"/>
  <c r="C198" i="2"/>
  <c r="C194" i="3"/>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O208" i="3"/>
  <c r="J200" i="3"/>
  <c r="K200" i="3" s="1"/>
  <c r="F192" i="3"/>
  <c r="C208" i="3"/>
  <c r="J208" i="3"/>
  <c r="C196" i="3"/>
  <c r="B196" i="3"/>
  <c r="N196" i="3"/>
  <c r="C200" i="14"/>
  <c r="B200" i="14"/>
  <c r="F200" i="14"/>
  <c r="C192" i="14"/>
  <c r="B192" i="14"/>
  <c r="F192" i="14"/>
  <c r="D202" i="3"/>
  <c r="P202"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K209" i="12" s="1"/>
  <c r="H209" i="7"/>
  <c r="H209" i="12" s="1"/>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J209" i="12" s="1"/>
  <c r="G209" i="7"/>
  <c r="C209" i="7"/>
  <c r="M208" i="7"/>
  <c r="I208" i="7"/>
  <c r="I208" i="12" s="1"/>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J207" i="12" s="1"/>
  <c r="O207" i="7"/>
  <c r="D207" i="7"/>
  <c r="E207" i="7"/>
  <c r="I207" i="7"/>
  <c r="I207" i="12" s="1"/>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K210" i="12" s="1"/>
  <c r="H210" i="7"/>
  <c r="H210" i="12" s="1"/>
  <c r="D210" i="7"/>
  <c r="N209" i="7"/>
  <c r="J209" i="7"/>
  <c r="F209" i="7"/>
  <c r="B209" i="7"/>
  <c r="L208" i="7"/>
  <c r="H208" i="7"/>
  <c r="H208" i="12" s="1"/>
  <c r="B208" i="7"/>
  <c r="H207" i="7"/>
  <c r="F205" i="7"/>
  <c r="D204" i="7"/>
  <c r="B203" i="7"/>
  <c r="N201" i="7"/>
  <c r="L200" i="7"/>
  <c r="K200" i="12" s="1"/>
  <c r="J199" i="7"/>
  <c r="F197" i="7"/>
  <c r="D196" i="7"/>
  <c r="B195" i="7"/>
  <c r="N193" i="7"/>
  <c r="L192" i="7"/>
  <c r="K192" i="12" s="1"/>
  <c r="J191" i="7"/>
  <c r="Q202" i="3"/>
  <c r="M202"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J210" i="12" s="1"/>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D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C210" i="12"/>
  <c r="G210" i="12"/>
  <c r="D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Q212" i="2"/>
  <c r="M211" i="2"/>
  <c r="D211" i="2"/>
  <c r="R209" i="2"/>
  <c r="S208" i="2"/>
  <c r="P206" i="2"/>
  <c r="B206" i="2"/>
  <c r="L205" i="2"/>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N205" i="2" l="1"/>
  <c r="O205" i="2" s="1"/>
  <c r="J213" i="2"/>
  <c r="K213" i="2" s="1"/>
  <c r="M198" i="3"/>
  <c r="L198" i="3"/>
  <c r="Q203" i="3"/>
  <c r="B203" i="3"/>
  <c r="Q198" i="3"/>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H205" i="3" s="1"/>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E204" i="3"/>
  <c r="G188" i="14"/>
  <c r="G204" i="14"/>
  <c r="H192" i="3"/>
  <c r="G195" i="14"/>
  <c r="E196" i="3"/>
  <c r="G192" i="14"/>
  <c r="E200" i="3"/>
  <c r="K199" i="3"/>
  <c r="K202" i="3"/>
  <c r="J208" i="2"/>
  <c r="K208" i="2" s="1"/>
  <c r="G196" i="14"/>
  <c r="G203" i="14"/>
  <c r="G201" i="14"/>
  <c r="E192" i="3"/>
  <c r="E208" i="3"/>
  <c r="K189" i="3"/>
  <c r="K197" i="3"/>
  <c r="H189"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35" i="18"/>
  <c r="K206" i="3" l="1"/>
  <c r="K209" i="3"/>
  <c r="H194" i="3"/>
  <c r="K201" i="3"/>
  <c r="H209" i="3"/>
  <c r="K204" i="3"/>
  <c r="H206" i="3"/>
  <c r="K198" i="3"/>
  <c r="K195" i="3"/>
  <c r="K193" i="3"/>
  <c r="E195" i="3"/>
  <c r="E198" i="3"/>
  <c r="H195" i="3"/>
  <c r="E207" i="3"/>
  <c r="K205" i="3"/>
  <c r="H207" i="3"/>
  <c r="E206" i="3"/>
  <c r="F122" i="18"/>
  <c r="F178" i="18"/>
  <c r="F204" i="18"/>
  <c r="F123" i="18"/>
  <c r="F14" i="18"/>
  <c r="F183" i="18"/>
  <c r="F151" i="18"/>
  <c r="F134" i="18"/>
  <c r="F110" i="18"/>
  <c r="F98" i="18"/>
  <c r="F102" i="18"/>
  <c r="F174" i="18"/>
  <c r="F11" i="18"/>
  <c r="F67" i="18"/>
  <c r="F217" i="18"/>
  <c r="F31" i="18"/>
  <c r="F115" i="18"/>
  <c r="F187" i="18"/>
  <c r="F8" i="18"/>
  <c r="F213" i="18"/>
  <c r="F189" i="18"/>
  <c r="F71" i="18"/>
  <c r="F177" i="18"/>
  <c r="F197" i="18"/>
  <c r="F214" i="18"/>
  <c r="F166" i="18"/>
  <c r="F92" i="18"/>
  <c r="F99" i="18"/>
  <c r="F25" i="18"/>
  <c r="F89" i="18"/>
  <c r="F41" i="18"/>
  <c r="F193" i="18"/>
  <c r="F51" i="18"/>
  <c r="F75" i="18"/>
  <c r="F170" i="18"/>
  <c r="F68" i="18"/>
  <c r="F53" i="18"/>
  <c r="F150" i="18"/>
  <c r="F176" i="18"/>
  <c r="F112" i="18"/>
  <c r="F28" i="18"/>
  <c r="F32" i="18"/>
  <c r="F5" i="18"/>
  <c r="F200" i="18"/>
  <c r="F48" i="18"/>
  <c r="F186" i="18"/>
  <c r="F168" i="18"/>
  <c r="F19" i="18"/>
  <c r="F173" i="18"/>
  <c r="F163" i="18"/>
  <c r="F66" i="18"/>
  <c r="F129" i="18"/>
  <c r="F165" i="18"/>
  <c r="F60" i="18"/>
  <c r="F114" i="18"/>
  <c r="F81" i="18"/>
  <c r="F144" i="18"/>
  <c r="F130" i="18"/>
  <c r="F83" i="18"/>
  <c r="F137" i="18"/>
  <c r="F147" i="18"/>
  <c r="F205" i="18"/>
  <c r="F120" i="18"/>
  <c r="F85" i="18"/>
  <c r="F33" i="18"/>
  <c r="F72" i="18"/>
  <c r="F162" i="18"/>
  <c r="F175" i="18"/>
  <c r="F196" i="18"/>
  <c r="F124" i="18"/>
  <c r="F70" i="18"/>
  <c r="F63" i="18"/>
  <c r="F209" i="18"/>
  <c r="F101" i="18"/>
  <c r="F82" i="18"/>
  <c r="F69" i="18"/>
  <c r="F164" i="18"/>
  <c r="F158" i="18"/>
  <c r="F7" i="18"/>
  <c r="F26" i="18"/>
  <c r="F78" i="18"/>
  <c r="F195" i="18"/>
  <c r="F190" i="18"/>
  <c r="F42" i="18"/>
  <c r="F136" i="18"/>
  <c r="F121" i="18"/>
  <c r="F38" i="18"/>
  <c r="F64" i="18"/>
  <c r="F76" i="18"/>
  <c r="F24" i="18"/>
  <c r="F169" i="18"/>
  <c r="F13" i="18"/>
  <c r="F128" i="18"/>
  <c r="F50" i="18"/>
  <c r="F61" i="18"/>
  <c r="F145" i="18"/>
  <c r="F203" i="18"/>
  <c r="F202" i="18"/>
  <c r="F146" i="18"/>
  <c r="F119" i="18"/>
  <c r="F127" i="18"/>
  <c r="F15" i="18"/>
  <c r="F94" i="18"/>
  <c r="F22" i="18"/>
  <c r="F192" i="18"/>
  <c r="F62" i="18"/>
  <c r="F59" i="18"/>
  <c r="F148" i="18"/>
  <c r="F46" i="18"/>
  <c r="F30" i="18"/>
  <c r="F125" i="18"/>
  <c r="F40" i="18"/>
  <c r="F84" i="18"/>
  <c r="F95" i="18"/>
  <c r="F54" i="18"/>
  <c r="F77" i="18"/>
  <c r="F140" i="18"/>
  <c r="F116" i="18"/>
  <c r="F182" i="18"/>
  <c r="F12" i="18"/>
  <c r="F90" i="18"/>
  <c r="F181" i="18"/>
  <c r="F36" i="18"/>
  <c r="F105" i="18"/>
  <c r="F154" i="18"/>
  <c r="F159" i="18"/>
  <c r="F206" i="18"/>
  <c r="F6" i="18"/>
  <c r="F216" i="18"/>
  <c r="F47" i="18"/>
  <c r="F132" i="18"/>
  <c r="F58" i="18"/>
  <c r="F29" i="18"/>
  <c r="F215" i="18"/>
  <c r="F126" i="18"/>
  <c r="F201" i="18"/>
  <c r="F135" i="18"/>
  <c r="F10" i="18"/>
  <c r="F191" i="18"/>
  <c r="F138" i="18"/>
  <c r="F157" i="18"/>
  <c r="F74" i="18"/>
  <c r="F55" i="18"/>
  <c r="F211" i="18"/>
  <c r="F9" i="18"/>
  <c r="F212" i="18"/>
  <c r="F142" i="18"/>
  <c r="F198" i="18"/>
  <c r="F133" i="18"/>
  <c r="F17" i="18"/>
  <c r="F97" i="18"/>
  <c r="F160" i="18"/>
  <c r="F149" i="18"/>
  <c r="F106" i="18"/>
  <c r="F39" i="18"/>
  <c r="F207" i="18"/>
  <c r="F56" i="18"/>
  <c r="F21" i="18"/>
  <c r="F117" i="18"/>
  <c r="F141" i="18"/>
  <c r="F152" i="18"/>
  <c r="F156" i="18"/>
  <c r="F100" i="18"/>
  <c r="F111" i="18"/>
  <c r="F104" i="18"/>
  <c r="F208" i="18"/>
  <c r="F179" i="18"/>
  <c r="F57" i="18"/>
  <c r="F34" i="18"/>
  <c r="F185" i="18"/>
  <c r="F131" i="18"/>
  <c r="F172" i="18"/>
  <c r="F86" i="18"/>
  <c r="F20" i="18"/>
  <c r="F79" i="18"/>
  <c r="F96" i="18"/>
  <c r="F167" i="18"/>
  <c r="F49" i="18"/>
  <c r="F52" i="18"/>
  <c r="F87" i="18"/>
  <c r="F73" i="18"/>
  <c r="F199" i="18"/>
  <c r="F109" i="18"/>
  <c r="F91" i="18"/>
  <c r="F80" i="18"/>
  <c r="F16" i="18"/>
  <c r="F161" i="18"/>
  <c r="F45" i="18"/>
  <c r="F103" i="18"/>
  <c r="F37" i="18"/>
  <c r="F27" i="18"/>
  <c r="F184" i="18"/>
  <c r="F143" i="18"/>
  <c r="E79"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71" i="18"/>
  <c r="E69" i="18"/>
  <c r="E48" i="18"/>
  <c r="E67" i="18"/>
  <c r="E199" i="18"/>
  <c r="E85" i="18"/>
  <c r="E185" i="18"/>
  <c r="E60" i="18"/>
  <c r="E18" i="18"/>
  <c r="E83" i="18"/>
  <c r="E63" i="18"/>
  <c r="E52" i="18"/>
  <c r="E70" i="18"/>
  <c r="E39" i="18"/>
  <c r="E128" i="18"/>
  <c r="E8" i="18"/>
  <c r="E184" i="18"/>
  <c r="E54" i="18"/>
  <c r="E86" i="18"/>
  <c r="E28" i="18"/>
  <c r="E122" i="18"/>
  <c r="E131" i="18"/>
  <c r="E207" i="18"/>
  <c r="E215" i="18"/>
  <c r="E211" i="18"/>
  <c r="E192" i="18"/>
  <c r="E100" i="18"/>
  <c r="E180" i="18"/>
  <c r="E205" i="18"/>
  <c r="E140" i="18"/>
  <c r="E14" i="18"/>
  <c r="E76" i="18"/>
  <c r="E36" i="18"/>
  <c r="E81" i="18"/>
  <c r="E13" i="18"/>
  <c r="E143" i="18"/>
  <c r="E84" i="18"/>
  <c r="E144" i="18"/>
  <c r="E94" i="18"/>
  <c r="E53" i="18"/>
  <c r="E34" i="18"/>
  <c r="E32" i="18"/>
  <c r="E214" i="18"/>
  <c r="E5" i="18"/>
  <c r="E200" i="18"/>
  <c r="E72" i="18"/>
  <c r="E186" i="18"/>
  <c r="E96" i="18"/>
  <c r="E46" i="18"/>
  <c r="E208" i="18"/>
  <c r="E146" i="18"/>
  <c r="E15" i="18"/>
  <c r="E78" i="18"/>
  <c r="E148" i="18"/>
  <c r="E59" i="18"/>
  <c r="E152" i="18"/>
  <c r="E25" i="18"/>
  <c r="E216" i="18"/>
  <c r="E195" i="18"/>
  <c r="E172" i="18"/>
  <c r="E136" i="18"/>
  <c r="E26" i="18"/>
  <c r="E16" i="18"/>
  <c r="E135" i="18"/>
  <c r="E66" i="18"/>
  <c r="E165" i="18"/>
  <c r="E29" i="18"/>
  <c r="E92" i="18"/>
  <c r="E212" i="18"/>
  <c r="E179" i="18"/>
  <c r="E183" i="18"/>
  <c r="E49" i="18"/>
  <c r="E167" i="18"/>
  <c r="E213" i="18"/>
  <c r="E22" i="18"/>
  <c r="E164" i="18"/>
  <c r="E120" i="18"/>
  <c r="E51" i="18"/>
  <c r="E45" i="18"/>
  <c r="E114" i="18"/>
  <c r="E61" i="18"/>
  <c r="E98" i="18"/>
  <c r="E166" i="18"/>
  <c r="E95" i="18"/>
  <c r="E193" i="18"/>
  <c r="E68" i="18"/>
  <c r="E198" i="18"/>
  <c r="E202" i="18"/>
  <c r="E33" i="18"/>
  <c r="E121" i="18"/>
  <c r="E27" i="18"/>
  <c r="E196" i="18"/>
  <c r="E130" i="18"/>
  <c r="E206" i="18"/>
  <c r="E145" i="18"/>
  <c r="E6" i="18"/>
  <c r="E73" i="18"/>
  <c r="E41" i="18"/>
  <c r="E170" i="18"/>
  <c r="E64" i="18"/>
  <c r="E204" i="18"/>
  <c r="E97" i="18"/>
  <c r="E181" i="18"/>
  <c r="E162" i="18"/>
  <c r="E141" i="18"/>
  <c r="E75" i="18"/>
  <c r="E56" i="18"/>
  <c r="E115" i="18"/>
  <c r="E168" i="18"/>
  <c r="E125" i="18"/>
  <c r="E175" i="18"/>
  <c r="E38" i="18"/>
  <c r="E149" i="18"/>
  <c r="E40" i="18"/>
  <c r="E123" i="18"/>
  <c r="E20" i="18"/>
  <c r="E124" i="18"/>
  <c r="E197" i="18"/>
  <c r="E91" i="18"/>
  <c r="E169" i="18"/>
  <c r="E12" i="18"/>
  <c r="E174" i="18"/>
  <c r="E142" i="18"/>
  <c r="E62" i="18"/>
  <c r="E161" i="18"/>
  <c r="E119" i="18"/>
  <c r="E106" i="18"/>
  <c r="E158" i="18"/>
  <c r="E42" i="18"/>
  <c r="E108" i="18"/>
  <c r="F108" i="18"/>
  <c r="E24" i="18"/>
  <c r="E178" i="18"/>
  <c r="E77" i="18"/>
  <c r="E101" i="18"/>
  <c r="E103" i="18"/>
  <c r="E102" i="18"/>
  <c r="E209" i="18"/>
  <c r="E159" i="18"/>
  <c r="E126" i="18"/>
  <c r="E74" i="18"/>
  <c r="E90" i="18"/>
  <c r="E105" i="18"/>
  <c r="E138" i="18"/>
  <c r="E147" i="18"/>
  <c r="E137" i="18"/>
  <c r="E154" i="18"/>
  <c r="E55" i="18"/>
  <c r="E50" i="18"/>
  <c r="E7" i="18"/>
  <c r="E58" i="18"/>
  <c r="E47" i="18"/>
  <c r="E132" i="18"/>
  <c r="E82" i="18"/>
  <c r="E127" i="18"/>
  <c r="E99" i="18"/>
  <c r="E133" i="18"/>
  <c r="E187" i="18"/>
  <c r="E80" i="18"/>
  <c r="E156" i="18"/>
  <c r="E173" i="18"/>
  <c r="E37" i="18"/>
  <c r="E112" i="18"/>
  <c r="E160" i="18"/>
  <c r="E201" i="18"/>
  <c r="E31" i="18"/>
  <c r="E203" i="18"/>
  <c r="E176" i="18"/>
  <c r="E191" i="18"/>
  <c r="E110" i="18"/>
  <c r="E151" i="18"/>
  <c r="E189" i="18"/>
  <c r="E10" i="18"/>
  <c r="E89" i="18"/>
  <c r="E11" i="18"/>
  <c r="E157" i="18"/>
  <c r="E150" i="18"/>
  <c r="E134" i="18"/>
  <c r="E117" i="18"/>
  <c r="E129" i="18"/>
  <c r="E21" i="18"/>
  <c r="E116" i="18"/>
  <c r="E190" i="18"/>
  <c r="E57" i="18"/>
  <c r="E87" i="18"/>
  <c r="E17" i="18"/>
  <c r="E19" i="18"/>
  <c r="E43"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I4" i="21" s="1"/>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H3" i="21" s="1"/>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56" i="2"/>
  <c r="C257" i="2"/>
  <c r="D257" i="2"/>
  <c r="F257" i="2"/>
  <c r="G257" i="2"/>
  <c r="C258" i="2"/>
  <c r="D258" i="2"/>
  <c r="F258" i="2"/>
  <c r="G258" i="2"/>
  <c r="C259" i="2"/>
  <c r="D259" i="2"/>
  <c r="F259" i="2"/>
  <c r="G259" i="2"/>
  <c r="C260" i="2"/>
  <c r="D260" i="2"/>
  <c r="F260" i="2"/>
  <c r="G260"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4" i="21" s="1"/>
  <c r="C256" i="2"/>
  <c r="F256"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59" i="2"/>
  <c r="O32" i="3"/>
  <c r="N69" i="3"/>
  <c r="O93" i="5"/>
  <c r="L145" i="10"/>
  <c r="I33" i="10"/>
  <c r="I18" i="8"/>
  <c r="C84" i="14"/>
  <c r="O73" i="5"/>
  <c r="F167" i="12"/>
  <c r="F161" i="14"/>
  <c r="M167" i="6"/>
  <c r="K132" i="10"/>
  <c r="M109" i="6"/>
  <c r="H260"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58"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O175" i="12" s="1"/>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E13" i="5" s="1"/>
  <c r="F13" i="5" s="1"/>
  <c r="G13" i="5" s="1"/>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K58" i="12" s="1"/>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59" i="2"/>
  <c r="F261"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B151" i="14"/>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N184" i="12" s="1"/>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R168" i="12" s="1"/>
  <c r="C168" i="6"/>
  <c r="J163" i="6"/>
  <c r="E163" i="6"/>
  <c r="I162" i="6"/>
  <c r="M162" i="12" s="1"/>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R127" i="12" s="1"/>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R91" i="12" s="1"/>
  <c r="E91" i="6"/>
  <c r="J89" i="6"/>
  <c r="I88" i="6"/>
  <c r="Q88" i="12" s="1"/>
  <c r="C86" i="6"/>
  <c r="M86" i="6"/>
  <c r="E86" i="6"/>
  <c r="D83" i="6"/>
  <c r="H83" i="6"/>
  <c r="P83" i="12" s="1"/>
  <c r="L83" i="6"/>
  <c r="B83" i="6"/>
  <c r="F83" i="6"/>
  <c r="J83" i="6"/>
  <c r="N83" i="6"/>
  <c r="O79" i="6"/>
  <c r="G79" i="6"/>
  <c r="K75" i="6"/>
  <c r="S75" i="12" s="1"/>
  <c r="D71" i="6"/>
  <c r="H71" i="6"/>
  <c r="L71" i="12" s="1"/>
  <c r="L71" i="6"/>
  <c r="O71" i="12" s="1"/>
  <c r="B71" i="6"/>
  <c r="F71" i="6"/>
  <c r="J71" i="6"/>
  <c r="N71" i="6"/>
  <c r="L65" i="6"/>
  <c r="O65" i="12" s="1"/>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M133" i="12" s="1"/>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S59" i="12" s="1"/>
  <c r="G59" i="6"/>
  <c r="L55" i="6"/>
  <c r="O55" i="12" s="1"/>
  <c r="H55" i="6"/>
  <c r="D55" i="6"/>
  <c r="D51" i="6"/>
  <c r="H51" i="6"/>
  <c r="P51" i="12" s="1"/>
  <c r="L51" i="6"/>
  <c r="O51" i="12" s="1"/>
  <c r="C50" i="6"/>
  <c r="L50" i="5" s="1"/>
  <c r="N50" i="6"/>
  <c r="L48" i="6"/>
  <c r="O48" i="12" s="1"/>
  <c r="M47" i="6"/>
  <c r="H47" i="6"/>
  <c r="P47" i="12" s="1"/>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O35" i="12" s="1"/>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H22" i="6"/>
  <c r="P22" i="12" s="1"/>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R17" i="12" s="1"/>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57" i="2"/>
  <c r="G261"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G37" i="14" s="1"/>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61" i="2"/>
  <c r="H257" i="2"/>
  <c r="B192" i="2"/>
  <c r="R192" i="2"/>
  <c r="D192" i="2"/>
  <c r="H192" i="2"/>
  <c r="L192" i="2"/>
  <c r="P192" i="2"/>
  <c r="E260"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P160" i="2"/>
  <c r="C160" i="2"/>
  <c r="F160" i="2" s="1"/>
  <c r="H160" i="2"/>
  <c r="M160" i="2"/>
  <c r="S160" i="2"/>
  <c r="D158" i="2"/>
  <c r="H158" i="2"/>
  <c r="L158" i="2"/>
  <c r="P158" i="2"/>
  <c r="B158" i="2"/>
  <c r="M158" i="2"/>
  <c r="R158" i="2"/>
  <c r="E158" i="2"/>
  <c r="Q156" i="2"/>
  <c r="Q154" i="2"/>
  <c r="B152" i="2"/>
  <c r="R152" i="2"/>
  <c r="E152" i="2"/>
  <c r="P152" i="2"/>
  <c r="C152" i="2"/>
  <c r="H152" i="2"/>
  <c r="M152" i="2"/>
  <c r="S152" i="2"/>
  <c r="D150" i="2"/>
  <c r="H150" i="2"/>
  <c r="L150" i="2"/>
  <c r="P150" i="2"/>
  <c r="D3" i="21" s="1"/>
  <c r="B150" i="2"/>
  <c r="M150" i="2"/>
  <c r="R150" i="2"/>
  <c r="E3" i="21" s="1"/>
  <c r="E150" i="2"/>
  <c r="Q148" i="2"/>
  <c r="Q146" i="2"/>
  <c r="B144" i="2"/>
  <c r="R144" i="2"/>
  <c r="E144" i="2"/>
  <c r="G144" i="2" s="1"/>
  <c r="P144" i="2"/>
  <c r="C144" i="2"/>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58" i="2"/>
  <c r="L164" i="2"/>
  <c r="D162" i="2"/>
  <c r="H162" i="2"/>
  <c r="L162" i="2"/>
  <c r="P162" i="2"/>
  <c r="E162" i="2"/>
  <c r="B162" i="2"/>
  <c r="M162" i="2"/>
  <c r="R162" i="2"/>
  <c r="L156" i="2"/>
  <c r="D154" i="2"/>
  <c r="I3" i="21" s="1"/>
  <c r="H154" i="2"/>
  <c r="B3" i="21" s="1"/>
  <c r="L154" i="2"/>
  <c r="P154" i="2"/>
  <c r="E154" i="2"/>
  <c r="J3" i="21" s="1"/>
  <c r="B154" i="2"/>
  <c r="M154" i="2"/>
  <c r="R154" i="2"/>
  <c r="B148" i="2"/>
  <c r="R148" i="2"/>
  <c r="C148" i="2"/>
  <c r="H148" i="2"/>
  <c r="M148" i="2"/>
  <c r="S148" i="2"/>
  <c r="E148" i="2"/>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H4" i="21" s="1"/>
  <c r="S38" i="2"/>
  <c r="E38" i="2"/>
  <c r="J4" i="21" s="1"/>
  <c r="P38" i="2"/>
  <c r="D4" i="21" s="1"/>
  <c r="B38" i="2"/>
  <c r="H38" i="2"/>
  <c r="B4" i="21" s="1"/>
  <c r="M38" i="2"/>
  <c r="R38" i="2"/>
  <c r="E4" i="21" s="1"/>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61"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P119" i="12"/>
  <c r="R111" i="12"/>
  <c r="O109" i="6"/>
  <c r="K109" i="6"/>
  <c r="G109" i="6"/>
  <c r="C109" i="6"/>
  <c r="O105" i="6"/>
  <c r="K105" i="6"/>
  <c r="S105" i="12" s="1"/>
  <c r="G105" i="6"/>
  <c r="C105" i="6"/>
  <c r="S103" i="12"/>
  <c r="R103" i="12"/>
  <c r="O101" i="6"/>
  <c r="K101" i="6"/>
  <c r="S101" i="12" s="1"/>
  <c r="G101" i="6"/>
  <c r="C101" i="6"/>
  <c r="O97" i="6"/>
  <c r="K97" i="6"/>
  <c r="S97" i="12" s="1"/>
  <c r="G97" i="6"/>
  <c r="C97" i="6"/>
  <c r="L97" i="5" s="1"/>
  <c r="S95" i="12"/>
  <c r="O93" i="6"/>
  <c r="K93" i="6"/>
  <c r="N93" i="12" s="1"/>
  <c r="G93" i="6"/>
  <c r="C93" i="6"/>
  <c r="O89" i="6"/>
  <c r="K89" i="6"/>
  <c r="N89" i="12" s="1"/>
  <c r="G89" i="6"/>
  <c r="C89" i="6"/>
  <c r="L89" i="5" s="1"/>
  <c r="O85" i="6"/>
  <c r="K85" i="6"/>
  <c r="N85" i="12" s="1"/>
  <c r="G85" i="6"/>
  <c r="C85" i="6"/>
  <c r="L85" i="5" s="1"/>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E166" i="12"/>
  <c r="S16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E59" i="12"/>
  <c r="B59" i="12"/>
  <c r="Q51" i="12"/>
  <c r="F51" i="12"/>
  <c r="D64" i="12"/>
  <c r="B62" i="12"/>
  <c r="F62" i="12"/>
  <c r="R62" i="12"/>
  <c r="C55" i="12"/>
  <c r="G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D16" i="12"/>
  <c r="B12" i="12"/>
  <c r="F12" i="12"/>
  <c r="D12" i="12"/>
  <c r="B8" i="12"/>
  <c r="F8" i="12"/>
  <c r="D8" i="12"/>
  <c r="G35" i="12"/>
  <c r="G31"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F3" i="21" s="1"/>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G3" i="21" s="1"/>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D72" i="14"/>
  <c r="F70" i="14"/>
  <c r="B70" i="14"/>
  <c r="D68" i="14"/>
  <c r="F66" i="14"/>
  <c r="B66" i="14"/>
  <c r="D64" i="14"/>
  <c r="E62" i="14"/>
  <c r="B59" i="14"/>
  <c r="E56" i="14"/>
  <c r="C52" i="14"/>
  <c r="E51" i="14"/>
  <c r="B50" i="14"/>
  <c r="G50" i="14" s="1"/>
  <c r="F50" i="14"/>
  <c r="B48" i="14"/>
  <c r="B44" i="14"/>
  <c r="G44" i="14" s="1"/>
  <c r="F44" i="14"/>
  <c r="D44" i="14"/>
  <c r="D38" i="14"/>
  <c r="B38" i="14"/>
  <c r="F38" i="14"/>
  <c r="B28" i="14"/>
  <c r="F28" i="14"/>
  <c r="D28" i="14"/>
  <c r="D22" i="14"/>
  <c r="B22" i="14"/>
  <c r="F22" i="14"/>
  <c r="B54" i="14"/>
  <c r="F54" i="14"/>
  <c r="D42" i="14"/>
  <c r="B42" i="14"/>
  <c r="F42" i="14"/>
  <c r="E40"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L147" i="5" l="1"/>
  <c r="M147" i="5" s="1"/>
  <c r="L22" i="12"/>
  <c r="R59" i="12"/>
  <c r="S168" i="12"/>
  <c r="S91" i="12"/>
  <c r="S127" i="12"/>
  <c r="G160" i="2"/>
  <c r="Q73" i="12"/>
  <c r="H47" i="3"/>
  <c r="E87" i="3"/>
  <c r="J115" i="2"/>
  <c r="K115" i="2" s="1"/>
  <c r="G38" i="14"/>
  <c r="G74" i="14"/>
  <c r="G184" i="14"/>
  <c r="R16" i="12"/>
  <c r="S27" i="12"/>
  <c r="R12" i="12"/>
  <c r="J158" i="2"/>
  <c r="K158" i="2" s="1"/>
  <c r="F144" i="2"/>
  <c r="K111" i="3"/>
  <c r="K130" i="3"/>
  <c r="K3" i="21"/>
  <c r="N152" i="2"/>
  <c r="O152" i="2" s="1"/>
  <c r="H114" i="3"/>
  <c r="J57" i="2"/>
  <c r="K57" i="2" s="1"/>
  <c r="E55" i="5"/>
  <c r="F55" i="5" s="1"/>
  <c r="G55" i="5" s="1"/>
  <c r="E77" i="5"/>
  <c r="L67" i="5"/>
  <c r="M67" i="5" s="1"/>
  <c r="E56" i="5"/>
  <c r="E92" i="5"/>
  <c r="F92" i="5" s="1"/>
  <c r="G92" i="5" s="1"/>
  <c r="L109" i="5"/>
  <c r="M109" i="5" s="1"/>
  <c r="E116" i="5"/>
  <c r="L75" i="5"/>
  <c r="M75" i="5" s="1"/>
  <c r="L72" i="5"/>
  <c r="M72" i="5" s="1"/>
  <c r="E72" i="5"/>
  <c r="E68" i="5"/>
  <c r="L92" i="5"/>
  <c r="E93" i="5"/>
  <c r="F93" i="5" s="1"/>
  <c r="G93" i="5" s="1"/>
  <c r="L56" i="5"/>
  <c r="M56" i="5" s="1"/>
  <c r="L54" i="5"/>
  <c r="M54" i="5" s="1"/>
  <c r="L64" i="5"/>
  <c r="M64" i="5" s="1"/>
  <c r="E33" i="5"/>
  <c r="F33" i="5" s="1"/>
  <c r="G33" i="5" s="1"/>
  <c r="B6" i="28"/>
  <c r="L22" i="5"/>
  <c r="M22" i="5" s="1"/>
  <c r="E123" i="5"/>
  <c r="F123" i="5" s="1"/>
  <c r="G123" i="5" s="1"/>
  <c r="E140" i="5"/>
  <c r="F140" i="5" s="1"/>
  <c r="G140" i="5" s="1"/>
  <c r="G143" i="14"/>
  <c r="F147" i="2"/>
  <c r="G147" i="2"/>
  <c r="G148" i="2"/>
  <c r="F148" i="2"/>
  <c r="E162" i="5"/>
  <c r="L118" i="5"/>
  <c r="M118" i="5" s="1"/>
  <c r="E157" i="5"/>
  <c r="F157" i="5" s="1"/>
  <c r="G157" i="5" s="1"/>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31" i="11"/>
  <c r="E232" i="11" s="1"/>
  <c r="J231" i="11"/>
  <c r="H231" i="11"/>
  <c r="H232" i="11" s="1"/>
  <c r="N120" i="2"/>
  <c r="O120" i="2" s="1"/>
  <c r="D231" i="11"/>
  <c r="G231" i="11"/>
  <c r="I241" i="2"/>
  <c r="H241" i="2"/>
  <c r="K231" i="11"/>
  <c r="K232" i="11" s="1"/>
  <c r="M231" i="11"/>
  <c r="N231" i="11"/>
  <c r="N232" i="11" s="1"/>
  <c r="I64" i="8"/>
  <c r="F64" i="8"/>
  <c r="F65" i="8" s="1"/>
  <c r="C8" i="28"/>
  <c r="E50" i="5"/>
  <c r="E64" i="8"/>
  <c r="E65" i="8" s="1"/>
  <c r="E64" i="5"/>
  <c r="H64" i="8"/>
  <c r="H13" i="3"/>
  <c r="H36" i="3"/>
  <c r="E7" i="5"/>
  <c r="F7" i="5" s="1"/>
  <c r="G7" i="5" s="1"/>
  <c r="G236" i="3"/>
  <c r="G237" i="3" s="1"/>
  <c r="E81" i="5"/>
  <c r="E84" i="5"/>
  <c r="E21" i="5"/>
  <c r="F21" i="5" s="1"/>
  <c r="G21" i="5" s="1"/>
  <c r="E51" i="5"/>
  <c r="F51" i="5" s="1"/>
  <c r="G51" i="5" s="1"/>
  <c r="E76" i="5"/>
  <c r="F76" i="5" s="1"/>
  <c r="G76" i="5" s="1"/>
  <c r="I236" i="3"/>
  <c r="J236" i="3"/>
  <c r="J237" i="3" s="1"/>
  <c r="E132" i="5"/>
  <c r="F132" i="5" s="1"/>
  <c r="G132" i="5" s="1"/>
  <c r="H43" i="3"/>
  <c r="F236" i="3"/>
  <c r="E149" i="5"/>
  <c r="F149" i="5" s="1"/>
  <c r="G149" i="5" s="1"/>
  <c r="E19" i="5"/>
  <c r="F19" i="5" s="1"/>
  <c r="G19" i="5" s="1"/>
  <c r="E233" i="6"/>
  <c r="C233" i="6"/>
  <c r="S7" i="12"/>
  <c r="L233" i="6"/>
  <c r="M7" i="12"/>
  <c r="I233" i="6"/>
  <c r="L7" i="12"/>
  <c r="H233" i="6"/>
  <c r="F233" i="6"/>
  <c r="G233" i="6" s="1"/>
  <c r="N233" i="6"/>
  <c r="O233" i="6" s="1"/>
  <c r="B233" i="6"/>
  <c r="K233"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F134" i="5" s="1"/>
  <c r="G134" i="5" s="1"/>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M160" i="5" s="1"/>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I98" i="12" s="1"/>
  <c r="E80" i="7"/>
  <c r="G117" i="7"/>
  <c r="M164" i="7"/>
  <c r="O13" i="7"/>
  <c r="N68" i="7"/>
  <c r="L183" i="7"/>
  <c r="I13" i="7"/>
  <c r="I13" i="12" s="1"/>
  <c r="K91" i="7"/>
  <c r="G96" i="14"/>
  <c r="N62" i="12"/>
  <c r="Q27" i="12"/>
  <c r="K98" i="7"/>
  <c r="J98" i="12" s="1"/>
  <c r="I35" i="7"/>
  <c r="I35" i="12" s="1"/>
  <c r="J53" i="7"/>
  <c r="D35" i="7"/>
  <c r="E90" i="3"/>
  <c r="K122" i="3"/>
  <c r="K156" i="3"/>
  <c r="L25" i="7"/>
  <c r="K25" i="12" s="1"/>
  <c r="K20" i="3"/>
  <c r="K88" i="7"/>
  <c r="F134" i="7"/>
  <c r="M158" i="7"/>
  <c r="O155" i="7"/>
  <c r="B183" i="7"/>
  <c r="I96" i="7"/>
  <c r="I96" i="12" s="1"/>
  <c r="O88" i="7"/>
  <c r="H134" i="7"/>
  <c r="H134" i="12" s="1"/>
  <c r="G35" i="7"/>
  <c r="E28" i="3"/>
  <c r="D33" i="7"/>
  <c r="L104" i="12"/>
  <c r="R24" i="12"/>
  <c r="N156" i="12"/>
  <c r="L135" i="12"/>
  <c r="I90" i="7"/>
  <c r="I90" i="12" s="1"/>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49" i="2"/>
  <c r="L10" i="7"/>
  <c r="K10" i="12" s="1"/>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F128" i="5" s="1"/>
  <c r="G128" i="5" s="1"/>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48"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K127" i="12" s="1"/>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49"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50"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K40" i="3"/>
  <c r="H131" i="3"/>
  <c r="H96" i="3"/>
  <c r="K119" i="3"/>
  <c r="P79" i="5"/>
  <c r="P123" i="5"/>
  <c r="K32" i="3"/>
  <c r="H112" i="3"/>
  <c r="L64" i="12"/>
  <c r="D47" i="7"/>
  <c r="N73" i="2"/>
  <c r="O73" i="2" s="1"/>
  <c r="G152" i="2"/>
  <c r="O156" i="7"/>
  <c r="D187" i="7"/>
  <c r="J187" i="7"/>
  <c r="I47" i="7"/>
  <c r="I47" i="12" s="1"/>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47"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48"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48" i="2"/>
  <c r="L179" i="12"/>
  <c r="S170" i="12"/>
  <c r="L161" i="5"/>
  <c r="M161" i="5" s="1"/>
  <c r="J112" i="12"/>
  <c r="P95" i="5"/>
  <c r="F166" i="5"/>
  <c r="G166" i="5" s="1"/>
  <c r="E102" i="5"/>
  <c r="F102" i="5" s="1"/>
  <c r="G102" i="5" s="1"/>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48"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49" i="2"/>
  <c r="O164" i="12"/>
  <c r="N171" i="12"/>
  <c r="L176" i="12"/>
  <c r="L185" i="12"/>
  <c r="B247"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49"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47"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47"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50"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J138" i="5"/>
  <c r="H146" i="3"/>
  <c r="H178" i="3"/>
  <c r="J143" i="12"/>
  <c r="E75" i="3"/>
  <c r="J71" i="2"/>
  <c r="K71" i="2" s="1"/>
  <c r="G66" i="2"/>
  <c r="N74" i="2"/>
  <c r="O74" i="2" s="1"/>
  <c r="J160" i="2"/>
  <c r="K160" i="2" s="1"/>
  <c r="P118" i="5"/>
  <c r="N56" i="7"/>
  <c r="K137" i="7"/>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H122" i="3"/>
  <c r="H35" i="3"/>
  <c r="E145" i="3"/>
  <c r="N110" i="2"/>
  <c r="O110" i="2" s="1"/>
  <c r="J77" i="2"/>
  <c r="K77" i="2" s="1"/>
  <c r="G130" i="2"/>
  <c r="F56" i="7"/>
  <c r="N28" i="2"/>
  <c r="O28" i="2" s="1"/>
  <c r="G193" i="2"/>
  <c r="C175" i="7"/>
  <c r="N175" i="7"/>
  <c r="G150" i="7"/>
  <c r="C3" i="21" s="1"/>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J80" i="2"/>
  <c r="K80" i="2" s="1"/>
  <c r="G91" i="14"/>
  <c r="N133" i="12"/>
  <c r="G144" i="14"/>
  <c r="P34" i="12"/>
  <c r="S133" i="12"/>
  <c r="S165" i="12"/>
  <c r="M163" i="12"/>
  <c r="G73" i="2"/>
  <c r="G97" i="2"/>
  <c r="G121" i="2"/>
  <c r="F29" i="2"/>
  <c r="O191" i="5"/>
  <c r="O192" i="5" s="1"/>
  <c r="J183" i="2"/>
  <c r="K183" i="2" s="1"/>
  <c r="N68" i="2"/>
  <c r="O68" i="2" s="1"/>
  <c r="P137" i="12"/>
  <c r="E61" i="3"/>
  <c r="H107" i="3"/>
  <c r="K124" i="3"/>
  <c r="G167" i="2"/>
  <c r="G60" i="14"/>
  <c r="P76" i="5"/>
  <c r="P100" i="5"/>
  <c r="K92" i="3"/>
  <c r="L142" i="12"/>
  <c r="G134" i="14"/>
  <c r="P42" i="12"/>
  <c r="M140" i="12"/>
  <c r="K103" i="3"/>
  <c r="E62" i="5"/>
  <c r="F62" i="5" s="1"/>
  <c r="E22" i="3"/>
  <c r="E86" i="3"/>
  <c r="E110" i="5"/>
  <c r="F110" i="5" s="1"/>
  <c r="G110" i="5" s="1"/>
  <c r="H148" i="3"/>
  <c r="E261" i="2"/>
  <c r="J14" i="2"/>
  <c r="K14" i="2" s="1"/>
  <c r="N58" i="2"/>
  <c r="O58" i="2" s="1"/>
  <c r="F100" i="2"/>
  <c r="G127" i="14"/>
  <c r="P18" i="12"/>
  <c r="M120" i="12"/>
  <c r="L82" i="12"/>
  <c r="F103" i="5"/>
  <c r="G103" i="5" s="1"/>
  <c r="F145" i="5"/>
  <c r="G145" i="5" s="1"/>
  <c r="J160" i="5"/>
  <c r="G171" i="14"/>
  <c r="P50" i="12"/>
  <c r="M123" i="12"/>
  <c r="L74" i="12"/>
  <c r="R40" i="12"/>
  <c r="M132" i="5"/>
  <c r="H21" i="3"/>
  <c r="H79" i="3"/>
  <c r="H130" i="3"/>
  <c r="E169" i="3"/>
  <c r="H261"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41"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41"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6" i="28" l="1"/>
  <c r="H155" i="12"/>
  <c r="J136" i="12"/>
  <c r="D18" i="28"/>
  <c r="B16" i="28"/>
  <c r="C16" i="28"/>
  <c r="B15" i="28"/>
  <c r="I163" i="12"/>
  <c r="D8" i="28"/>
  <c r="J241" i="2"/>
  <c r="K241" i="2" s="1"/>
  <c r="D233" i="6" s="1"/>
  <c r="F234" i="7"/>
  <c r="F235" i="7" s="1"/>
  <c r="C245" i="7" s="1"/>
  <c r="E234" i="7"/>
  <c r="E235" i="7" s="1"/>
  <c r="B245" i="7" s="1"/>
  <c r="N234" i="7"/>
  <c r="N241" i="12"/>
  <c r="N242" i="12" s="1"/>
  <c r="J64" i="8"/>
  <c r="C73" i="8" s="1"/>
  <c r="H234" i="7"/>
  <c r="H235" i="7" s="1"/>
  <c r="B246" i="7" s="1"/>
  <c r="O241" i="12"/>
  <c r="O242" i="12" s="1"/>
  <c r="L241" i="12"/>
  <c r="L242" i="12" s="1"/>
  <c r="L234" i="7"/>
  <c r="C234" i="7"/>
  <c r="C235" i="7" s="1"/>
  <c r="I234" i="7"/>
  <c r="M241" i="12"/>
  <c r="M242" i="12" s="1"/>
  <c r="K234" i="7"/>
  <c r="K235" i="7" s="1"/>
  <c r="B247" i="7" s="1"/>
  <c r="H65" i="8"/>
  <c r="A73" i="8"/>
  <c r="M233" i="6"/>
  <c r="B234" i="7"/>
  <c r="B235"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50" i="2"/>
  <c r="D250"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41" i="2"/>
  <c r="O241" i="2" s="1"/>
  <c r="O234" i="7"/>
  <c r="O235" i="7" s="1"/>
  <c r="I235" i="7"/>
  <c r="C246" i="7" s="1"/>
  <c r="G58" i="5"/>
  <c r="F191" i="5"/>
  <c r="C241" i="6"/>
  <c r="J233" i="6"/>
  <c r="D232" i="11"/>
  <c r="F232" i="11" s="1"/>
  <c r="F231" i="11"/>
  <c r="N192" i="5"/>
  <c r="P192" i="5" s="1"/>
  <c r="P191" i="5"/>
  <c r="C240" i="6"/>
  <c r="G65" i="8"/>
  <c r="H6" i="6"/>
  <c r="K6" i="6"/>
  <c r="I32" i="12"/>
  <c r="M232" i="11"/>
  <c r="O232" i="11" s="1"/>
  <c r="O231" i="11"/>
  <c r="H236" i="3"/>
  <c r="F237" i="3"/>
  <c r="H237" i="3" s="1"/>
  <c r="B240" i="6"/>
  <c r="G247" i="2"/>
  <c r="C242" i="6"/>
  <c r="G64" i="8"/>
  <c r="B73" i="8"/>
  <c r="I65" i="8"/>
  <c r="K236" i="3"/>
  <c r="I237" i="3"/>
  <c r="K237" i="3" s="1"/>
  <c r="J191" i="5"/>
  <c r="I192" i="5"/>
  <c r="J192" i="5" s="1"/>
  <c r="B6" i="8"/>
  <c r="K6" i="7"/>
  <c r="E6" i="7"/>
  <c r="H6" i="7"/>
  <c r="B241" i="6"/>
  <c r="G248" i="2"/>
  <c r="F248" i="2" s="1"/>
  <c r="I231" i="11"/>
  <c r="G232" i="11"/>
  <c r="I232" i="11" s="1"/>
  <c r="L231" i="11"/>
  <c r="J232" i="11"/>
  <c r="L232" i="11" s="1"/>
  <c r="B242" i="6"/>
  <c r="G249" i="2"/>
  <c r="F249" i="2" s="1"/>
  <c r="D234" i="7" l="1"/>
  <c r="D235" i="7" s="1"/>
  <c r="I241" i="12"/>
  <c r="I242" i="12" s="1"/>
  <c r="J241" i="12"/>
  <c r="J242" i="12" s="1"/>
  <c r="H241" i="12"/>
  <c r="H242" i="12" s="1"/>
  <c r="K241" i="12"/>
  <c r="K242" i="12" s="1"/>
  <c r="J65" i="8"/>
  <c r="M191" i="5"/>
  <c r="N235" i="7"/>
  <c r="B248" i="7"/>
  <c r="G234" i="7"/>
  <c r="G235" i="7" s="1"/>
  <c r="B6" i="10"/>
  <c r="C6" i="8"/>
  <c r="E6" i="8"/>
  <c r="H6" i="8" s="1"/>
  <c r="G250" i="2"/>
  <c r="F247" i="2"/>
  <c r="F250" i="2" s="1"/>
  <c r="D245" i="7"/>
  <c r="J234" i="7"/>
  <c r="J235" i="7" s="1"/>
  <c r="G191" i="5"/>
  <c r="F192" i="5"/>
  <c r="G192" i="5" s="1"/>
  <c r="M234" i="7"/>
  <c r="M235" i="7" s="1"/>
  <c r="L235" i="7"/>
  <c r="C247" i="7" s="1"/>
  <c r="D247" i="7" s="1"/>
  <c r="H249" i="2" s="1"/>
  <c r="D240" i="6"/>
  <c r="H247" i="2" s="1"/>
  <c r="C243" i="6"/>
  <c r="D242" i="6"/>
  <c r="B243" i="6"/>
  <c r="D241" i="6"/>
  <c r="H248" i="2" s="1"/>
  <c r="D246" i="7"/>
  <c r="C248" i="7" l="1"/>
  <c r="D248" i="7" s="1"/>
  <c r="D243" i="6"/>
  <c r="H250"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<sst xmlns="http://schemas.openxmlformats.org/spreadsheetml/2006/main" count="3467" uniqueCount="700">
  <si>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</si>
  <si>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</si>
  <si>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</si>
  <si>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</si>
  <si>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</si>
  <si>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</si>
  <si>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</si>
  <si>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</si>
  <si>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</si>
  <si>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</si>
  <si>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</si>
  <si>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</si>
  <si>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</si>
  <si>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</si>
  <si>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</si>
  <si>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</si>
  <si>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</si>
  <si>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</si>
  <si>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</si>
  <si>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</si>
  <si>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</si>
  <si>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</si>
  <si>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</si>
  <si>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</si>
  <si>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</si>
  <si>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</si>
  <si>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</si>
  <si>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</si>
  <si>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</si>
  <si>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</si>
  <si>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</si>
  <si>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</si>
  <si>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</si>
  <si>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</si>
  <si>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</si>
  <si>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</si>
  <si>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</si>
  <si>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</si>
  <si>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</si>
  <si>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</si>
  <si>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</si>
  <si>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</si>
  <si>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</si>
  <si>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</si>
  <si>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</si>
  <si>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</si>
  <si>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</si>
  <si>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</si>
  <si>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</si>
  <si>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</si>
  <si>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</si>
  <si>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</si>
  <si>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</si>
  <si>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</si>
  <si>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</si>
  <si>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</si>
  <si>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</si>
  <si>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</si>
  <si>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</si>
  <si>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</si>
  <si>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</si>
  <si>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</si>
  <si>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</si>
  <si>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</si>
  <si>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</si>
  <si>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</si>
  <si>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</si>
  <si>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</si>
  <si>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</si>
  <si>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</si>
  <si>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</si>
  <si>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</si>
  <si>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</si>
  <si>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</si>
  <si>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</si>
  <si>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</si>
  <si>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</si>
  <si>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</si>
  <si>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</si>
  <si>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</si>
  <si>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</si>
  <si>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</si>
  <si>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</si>
  <si>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</si>
  <si>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</si>
  <si>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</si>
  <si>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</si>
  <si>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</si>
  <si>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</si>
  <si>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</si>
  <si>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</si>
  <si>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</si>
  <si>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</si>
  <si>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</si>
  <si>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</si>
  <si>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</si>
  <si>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</si>
  <si>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</si>
  <si>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</si>
  <si>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</si>
  <si>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</si>
  <si>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</si>
  <si>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</si>
  <si>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</si>
  <si>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</si>
  <si>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</si>
  <si>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</si>
  <si>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</si>
  <si>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</si>
  <si>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</si>
  <si>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</si>
  <si>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</si>
  <si>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</si>
  <si>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</si>
  <si>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</si>
  <si>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</si>
  <si>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</si>
  <si>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</si>
  <si>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</si>
  <si>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</si>
  <si>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</si>
  <si>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</si>
  <si>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</si>
  <si>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</si>
  <si>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</si>
  <si>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</si>
  <si>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</si>
  <si>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</si>
  <si>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</si>
  <si>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</si>
  <si>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</si>
  <si>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</si>
  <si>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</si>
  <si>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</si>
  <si>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</si>
  <si>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</si>
  <si>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</si>
  <si>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</si>
  <si>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</si>
  <si>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</si>
  <si>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</si>
  <si>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</si>
  <si>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</si>
  <si>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</si>
  <si>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</si>
  <si>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</si>
  <si>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</si>
  <si>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</si>
  <si>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</si>
  <si>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</si>
  <si>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</si>
  <si>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</si>
  <si>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</si>
  <si>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</si>
  <si>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</si>
  <si>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</si>
  <si>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</si>
  <si>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</si>
  <si>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</si>
  <si>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</si>
  <si>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</si>
  <si>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</si>
  <si>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</si>
  <si>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</si>
  <si>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</si>
  <si>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</si>
  <si>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</si>
  <si>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</si>
  <si>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</si>
  <si>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</si>
  <si>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</si>
  <si>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</si>
  <si>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</si>
  <si>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</si>
  <si>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</si>
  <si>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</si>
  <si>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</si>
  <si>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</si>
  <si>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</si>
  <si>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</si>
  <si>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</si>
  <si>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</si>
  <si>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</si>
  <si>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</si>
  <si>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</si>
  <si>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</si>
  <si>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</si>
  <si>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</si>
  <si>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</si>
  <si>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</si>
  <si>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</si>
  <si>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</si>
  <si>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</si>
  <si>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</si>
  <si>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</si>
  <si>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</si>
  <si>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</si>
  <si>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</si>
  <si>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</si>
  <si>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</si>
  <si>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</si>
  <si>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</si>
  <si>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</si>
  <si>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</si>
  <si>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</si>
  <si>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</si>
  <si>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</si>
  <si>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</si>
  <si>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</si>
  <si>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</si>
  <si>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</si>
  <si>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</si>
  <si>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</si>
  <si>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</si>
  <si>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</si>
  <si>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</si>
  <si>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</si>
  <si>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</si>
  <si>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</si>
  <si>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</si>
  <si>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</si>
  <si>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</si>
  <si>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</si>
  <si>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</si>
  <si>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</si>
  <si>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</si>
  <si>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</si>
  <si>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</si>
  <si>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</si>
  <si>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</si>
  <si>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</si>
  <si>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</si>
  <si>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</si>
  <si>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</si>
  <si>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</si>
  <si>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</si>
  <si>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</si>
  <si>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</si>
  <si>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</si>
  <si>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</si>
  <si>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</si>
  <si>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</si>
  <si>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</si>
  <si>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</si>
  <si>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</si>
  <si>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</si>
  <si>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</si>
  <si>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</si>
  <si>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</si>
  <si>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</si>
  <si>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</si>
  <si>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</si>
  <si>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</si>
  <si>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</si>
  <si>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</si>
  <si>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</si>
  <si>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</si>
  <si>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</si>
  <si>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</si>
  <si>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</si>
  <si>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</si>
  <si>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</si>
  <si>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</si>
  <si>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</si>
  <si>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</si>
  <si>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</si>
  <si>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</si>
  <si>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</si>
  <si>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</si>
  <si>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</si>
  <si>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</si>
  <si>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</si>
  <si>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</si>
  <si>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</si>
  <si>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</si>
  <si>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</si>
  <si>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</si>
  <si>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</si>
  <si>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</si>
  <si>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</si>
  <si>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</si>
  <si>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</si>
  <si>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</si>
  <si>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</si>
  <si>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</si>
  <si>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</si>
  <si>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</si>
  <si>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</si>
  <si>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</si>
  <si>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</si>
  <si>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</si>
  <si>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</si>
  <si>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</si>
  <si>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</si>
  <si>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</si>
  <si>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</si>
  <si>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</si>
  <si>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</si>
  <si>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</si>
  <si>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</si>
  <si>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</si>
  <si>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</si>
  <si>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</si>
  <si>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</si>
  <si>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</si>
  <si>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</si>
  <si>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</si>
  <si>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</si>
  <si>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</si>
  <si>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</si>
  <si>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</si>
  <si>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</si>
  <si>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</si>
  <si>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</si>
  <si>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</si>
  <si>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</si>
  <si>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</si>
  <si>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</si>
  <si>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</si>
  <si>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</si>
  <si>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</si>
  <si>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</si>
  <si>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</si>
  <si>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</si>
  <si>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</si>
  <si>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</si>
  <si>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</si>
  <si>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</si>
  <si>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</si>
  <si>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</si>
  <si>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</si>
  <si>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</si>
  <si>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</si>
  <si>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</si>
  <si>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</si>
  <si>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</si>
  <si>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</si>
  <si>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</si>
  <si>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</si>
  <si>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</si>
  <si>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</si>
  <si>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</si>
  <si>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</si>
  <si>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</si>
  <si>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</si>
  <si>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</si>
  <si>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</si>
  <si>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</si>
  <si>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</si>
  <si>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</si>
  <si>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</si>
  <si>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</si>
  <si>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</si>
  <si>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</si>
  <si>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</si>
  <si>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</si>
  <si>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</si>
  <si>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</si>
  <si>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</si>
  <si>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</si>
  <si>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</si>
  <si>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</si>
  <si>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</si>
  <si>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</si>
  <si>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</si>
  <si>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</si>
  <si>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</si>
  <si>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</si>
  <si>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</si>
  <si>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</si>
  <si>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</si>
  <si>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</si>
  <si>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</si>
  <si>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</si>
  <si>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</si>
  <si>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</si>
  <si>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</si>
  <si>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</si>
  <si>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</si>
  <si>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</si>
  <si>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</si>
  <si>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</si>
  <si>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</si>
  <si>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</si>
  <si>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</si>
  <si>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</si>
  <si>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</si>
  <si>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</si>
  <si>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</si>
  <si>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</si>
  <si>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</si>
  <si>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</si>
  <si>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</si>
  <si>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</si>
  <si>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</si>
  <si>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</si>
  <si>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</si>
  <si>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</si>
  <si>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</si>
  <si>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</si>
  <si>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</si>
  <si>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</si>
  <si>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</si>
  <si>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</si>
  <si>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</si>
  <si>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</si>
  <si>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</si>
  <si>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</si>
  <si>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</si>
  <si>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</si>
  <si>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</si>
  <si>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</si>
  <si>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</si>
  <si>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</si>
  <si>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</si>
  <si>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</si>
  <si>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</si>
  <si>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</si>
  <si>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</si>
  <si>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</si>
  <si>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</si>
  <si>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</si>
  <si>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</si>
  <si>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</si>
  <si>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</si>
  <si>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</si>
  <si>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</si>
  <si>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</si>
  <si>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</si>
  <si>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</si>
  <si>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</si>
  <si>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</si>
  <si>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</si>
  <si>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</si>
  <si>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</si>
  <si>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</si>
  <si>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</si>
  <si>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</si>
  <si>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</si>
  <si>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</si>
  <si>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</si>
  <si>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</si>
  <si>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</si>
  <si>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</si>
  <si>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</si>
  <si>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</si>
  <si>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</si>
  <si>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</si>
  <si>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</si>
  <si>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</si>
  <si>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</si>
  <si>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</si>
  <si>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</si>
  <si>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</si>
  <si>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</si>
  <si>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</si>
  <si>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</si>
  <si>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</si>
  <si>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</si>
  <si>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</si>
  <si>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</si>
  <si>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</si>
  <si>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</si>
  <si>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</si>
  <si>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</si>
  <si>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</si>
  <si>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</si>
  <si>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</si>
  <si>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</si>
  <si>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</si>
  <si>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</si>
  <si>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</si>
  <si>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</si>
  <si>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</si>
  <si>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</si>
  <si>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</si>
  <si>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</si>
  <si>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</si>
  <si>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</si>
  <si>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</si>
  <si>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</si>
  <si>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</si>
  <si>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</si>
  <si>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</si>
  <si>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</si>
  <si>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</si>
  <si>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</si>
  <si>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</si>
  <si>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</si>
  <si>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</si>
  <si>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</si>
  <si>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</si>
  <si>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</si>
  <si>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</si>
  <si>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</si>
  <si>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</si>
  <si>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</si>
  <si>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</si>
  <si>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</si>
  <si>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</si>
  <si>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</si>
  <si>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</si>
  <si>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</si>
  <si>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</si>
  <si>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</si>
  <si>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</si>
  <si>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</si>
  <si>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</si>
  <si>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</si>
  <si>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</si>
  <si>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</si>
  <si>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</si>
  <si>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</si>
  <si>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</si>
  <si>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</si>
  <si>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</si>
  <si>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</si>
  <si>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</si>
  <si>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</si>
  <si>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</si>
  <si>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</si>
  <si>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</si>
  <si>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</si>
  <si>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</si>
  <si>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</si>
  <si>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</si>
  <si>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</si>
  <si>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</si>
  <si>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</si>
  <si>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</si>
  <si>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</si>
  <si>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</si>
  <si>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</si>
  <si>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</si>
  <si>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</si>
  <si>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</si>
  <si>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</si>
  <si>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</si>
  <si>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</si>
  <si>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</si>
  <si>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</si>
  <si>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</si>
  <si>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</si>
  <si>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</si>
  <si>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</si>
  <si>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</si>
  <si>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</si>
  <si>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</si>
  <si>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</si>
  <si>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</si>
  <si>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</si>
  <si>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</si>
  <si>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</si>
  <si>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</si>
  <si>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</si>
  <si>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</si>
  <si>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</si>
  <si>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</si>
  <si>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</si>
  <si>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</si>
  <si>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</si>
  <si>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</si>
  <si>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</si>
  <si>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</si>
  <si>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</si>
  <si>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</si>
  <si>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</si>
  <si>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</si>
  <si>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</si>
  <si>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</si>
  <si>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</si>
  <si>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</si>
  <si>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</si>
  <si>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</si>
  <si>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</si>
  <si>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</si>
  <si>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</si>
  <si>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</si>
  <si>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</si>
  <si>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</si>
  <si>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</si>
  <si>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</si>
  <si>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</si>
  <si>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</si>
  <si>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</si>
  <si>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</si>
  <si>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</si>
  <si>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</si>
  <si>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</si>
  <si>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</si>
  <si>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</si>
  <si>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</si>
  <si>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</si>
  <si>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</si>
  <si>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</si>
  <si>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</si>
  <si>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</si>
  <si>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</si>
  <si>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</si>
  <si>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</si>
  <si>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</si>
  <si>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</si>
  <si>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</si>
  <si>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</si>
  <si>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</si>
  <si>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</si>
  <si>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</si>
  <si>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</si>
  <si>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</si>
  <si>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</si>
  <si>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</si>
  <si>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</si>
  <si>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</si>
  <si>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</si>
  <si>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</si>
  <si>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</si>
  <si>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</si>
  <si>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</si>
  <si>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</si>
  <si>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</si>
  <si>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</si>
  <si>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</si>
  <si>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</si>
  <si>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</si>
  <si>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</si>
  <si>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</si>
  <si>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</si>
  <si>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</si>
  <si>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</si>
  <si>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</si>
  <si>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</si>
  <si>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</si>
  <si>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</si>
  <si>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</si>
  <si>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</si>
  <si>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</si>
  <si>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</si>
  <si>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</si>
  <si>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</si>
  <si>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</si>
  <si>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</si>
  <si>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</si>
  <si>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</si>
  <si>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</si>
  <si>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</si>
  <si>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</si>
  <si>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</si>
  <si>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</si>
  <si>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</si>
  <si>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</si>
  <si>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</si>
  <si>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</si>
  <si>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</si>
  <si>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</si>
  <si>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</si>
  <si>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</si>
  <si>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</si>
  <si>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</si>
  <si>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</si>
  <si>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</si>
  <si>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</si>
  <si>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</si>
  <si>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IREDA</t>
  </si>
  <si>
    <t>PATANJALI</t>
  </si>
  <si>
    <t>ETERNAL</t>
  </si>
  <si>
    <t>HINDZINC</t>
  </si>
  <si>
    <t>INOXWIND</t>
  </si>
  <si>
    <t>PNBHOUSING</t>
  </si>
  <si>
    <t>BDL</t>
  </si>
  <si>
    <t>MANKIND</t>
  </si>
  <si>
    <t>MAZDOCK</t>
  </si>
  <si>
    <t>UNOMINDA</t>
  </si>
  <si>
    <t>RVNL</t>
  </si>
  <si>
    <t>KAYNES</t>
  </si>
  <si>
    <t>FORTIS</t>
  </si>
  <si>
    <t>BLUESTARCO</t>
  </si>
  <si>
    <t>PGEL</t>
  </si>
  <si>
    <t>AMBER</t>
  </si>
  <si>
    <t>360ONE</t>
  </si>
  <si>
    <t>KFINTECH</t>
  </si>
  <si>
    <t>SUZLON</t>
  </si>
  <si>
    <t>NUVAMA</t>
  </si>
  <si>
    <t>SAMMAANCAP</t>
  </si>
  <si>
    <t>POWERINDIA</t>
  </si>
  <si>
    <t>INDIAVIX</t>
  </si>
  <si>
    <t>TMPV</t>
  </si>
  <si>
    <t>PREMIERENE</t>
  </si>
  <si>
    <t>BAJAJHLDNG</t>
  </si>
  <si>
    <t>WAAREEENER</t>
  </si>
  <si>
    <t>SWIGGY</t>
  </si>
  <si>
    <t>LTM</t>
  </si>
  <si>
    <t>Short_Covering</t>
  </si>
  <si>
    <t>HYUNDAI</t>
  </si>
  <si>
    <t>ADANIPOWER</t>
  </si>
  <si>
    <t>COCHINSHIP</t>
  </si>
  <si>
    <t>VMM</t>
  </si>
  <si>
    <t>MOTILALOFS</t>
  </si>
  <si>
    <t>GODFRYPHLP</t>
  </si>
  <si>
    <t>FORCEMOT</t>
  </si>
  <si>
    <t>F&amp;O Market Trading Kit for 5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</si>
</sst>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2">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1"/>
  <sheetViews>
    <sheetView tabSelected="1" zoomScale="85" zoomScaleNormal="85" workbookViewId="0">
      <pane ySplit="10" topLeftCell="A95" activePane="bottomLeft" state="frozen"/>
      <selection activeCell="Q163" sqref="Q163"/>
      <selection pane="bottomLeft" activeCell="V106" sqref="V10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4" t="s">
        <v>699</v>
      </c>
      <c r="B6" s="235"/>
      <c r="C6" s="235"/>
      <c r="D6" s="235"/>
      <c r="E6" s="235"/>
      <c r="F6" s="235"/>
      <c r="G6" s="235"/>
      <c r="H6" s="235"/>
      <c r="I6" s="235"/>
      <c r="J6" s="235"/>
      <c r="K6" s="235"/>
      <c r="L6" s="235"/>
      <c r="M6" s="235"/>
      <c r="N6" s="235"/>
      <c r="O6" s="235"/>
      <c r="P6" s="235"/>
      <c r="Q6" s="235"/>
      <c r="R6" s="235"/>
      <c r="S6" s="236"/>
    </row>
    <row r="7" spans="1:19" x14ac:dyDescent="0.25">
      <c r="A7" s="237"/>
      <c r="B7" s="238"/>
      <c r="C7" s="238"/>
      <c r="D7" s="238"/>
      <c r="E7" s="238"/>
      <c r="F7" s="238"/>
      <c r="G7" s="238"/>
      <c r="H7" s="238"/>
      <c r="I7" s="238"/>
      <c r="J7" s="238"/>
      <c r="K7" s="238"/>
      <c r="L7" s="238"/>
      <c r="M7" s="238"/>
      <c r="N7" s="238"/>
      <c r="O7" s="238"/>
      <c r="P7" s="238"/>
      <c r="Q7" s="238"/>
      <c r="R7" s="238"/>
      <c r="S7" s="239"/>
    </row>
    <row r="8" spans="1:19" s="64" customFormat="1" ht="15" customHeight="1" x14ac:dyDescent="0.25">
      <c r="A8" s="240"/>
      <c r="B8" s="2"/>
      <c r="C8" s="242" t="s">
        <v>308</v>
      </c>
      <c r="D8" s="243"/>
      <c r="E8" s="243"/>
      <c r="F8" s="243"/>
      <c r="G8" s="244"/>
      <c r="H8" s="242" t="s">
        <v>309</v>
      </c>
      <c r="I8" s="243"/>
      <c r="J8" s="243"/>
      <c r="K8" s="244"/>
      <c r="L8" s="245" t="s">
        <v>310</v>
      </c>
      <c r="M8" s="246"/>
      <c r="N8" s="246"/>
      <c r="O8" s="247"/>
      <c r="P8" s="242" t="s">
        <v>311</v>
      </c>
      <c r="Q8" s="243"/>
      <c r="R8" s="243"/>
      <c r="S8" s="244"/>
    </row>
    <row r="9" spans="1:19" s="64" customFormat="1" x14ac:dyDescent="0.25">
      <c r="A9" s="241"/>
      <c r="B9" s="2"/>
      <c r="C9" s="2" t="s">
        <v>312</v>
      </c>
      <c r="D9" s="242" t="s">
        <v>313</v>
      </c>
      <c r="E9" s="243"/>
      <c r="F9" s="243"/>
      <c r="G9" s="244"/>
      <c r="H9" s="242" t="s">
        <v>314</v>
      </c>
      <c r="I9" s="243"/>
      <c r="J9" s="243"/>
      <c r="K9" s="244"/>
      <c r="L9" s="242" t="s">
        <v>315</v>
      </c>
      <c r="M9" s="243"/>
      <c r="N9" s="243"/>
      <c r="O9" s="244"/>
      <c r="P9" s="242" t="s">
        <v>316</v>
      </c>
      <c r="Q9" s="244"/>
      <c r="R9" s="242" t="s">
        <v>317</v>
      </c>
      <c r="S9" s="244"/>
    </row>
    <row r="10" spans="1:19" s="67" customFormat="1" ht="27" customHeight="1" x14ac:dyDescent="0.25">
      <c r="A10" s="65" t="s">
        <v>318</v>
      </c>
      <c r="B10" s="65" t="s">
        <v>319</v>
      </c>
      <c r="C10" s="66">
        <f>'Data Vlaue (Cr)'!A2</f>
        <v>46146</v>
      </c>
      <c r="D10" s="66">
        <f>'Data Vlaue (Cr)'!A2</f>
        <v>46146</v>
      </c>
      <c r="E10" s="65" t="s">
        <v>322</v>
      </c>
      <c r="F10" s="65" t="s">
        <v>320</v>
      </c>
      <c r="G10" s="65" t="s">
        <v>321</v>
      </c>
      <c r="H10" s="66">
        <f>D10</f>
        <v>46146</v>
      </c>
      <c r="I10" s="65" t="s">
        <v>322</v>
      </c>
      <c r="J10" s="65" t="s">
        <v>323</v>
      </c>
      <c r="K10" s="65" t="s">
        <v>324</v>
      </c>
      <c r="L10" s="66">
        <f>D10</f>
        <v>46146</v>
      </c>
      <c r="M10" s="65" t="s">
        <v>322</v>
      </c>
      <c r="N10" s="65" t="s">
        <v>323</v>
      </c>
      <c r="O10" s="65" t="s">
        <v>324</v>
      </c>
      <c r="P10" s="66">
        <f>D10</f>
        <v>46146</v>
      </c>
      <c r="Q10" s="65" t="s">
        <v>324</v>
      </c>
      <c r="R10" s="66">
        <f>D10</f>
        <v>46146</v>
      </c>
      <c r="S10" s="65" t="s">
        <v>324</v>
      </c>
    </row>
    <row r="11" spans="1:19" x14ac:dyDescent="0.25">
      <c r="A11" s="96" t="str">
        <f>'Data Vlaue (Cr)'!C2</f>
        <v>360ONE</v>
      </c>
      <c r="B11" s="75">
        <f>VLOOKUP($A11,'Data Vlaue (Cr)'!$C:$FB,2)</f>
        <v>500</v>
      </c>
      <c r="C11" s="75">
        <f>VLOOKUP($A11,'Data Vlaue (Cr)'!$C:$FB,8)</f>
        <v>1066.5</v>
      </c>
      <c r="D11" s="75">
        <f>VLOOKUP($A11,'Data Vlaue (Cr)'!$C:$FB,4)</f>
        <v>1072</v>
      </c>
      <c r="E11" s="75">
        <f>VLOOKUP($A11,'Data Vlaue (Cr)'!$C:$FB,5)</f>
        <v>1039.25</v>
      </c>
      <c r="F11" s="75">
        <f>D11-C11</f>
        <v>5.5</v>
      </c>
      <c r="G11" s="75">
        <f>(D11-E11)/D11*100</f>
        <v>3.0550373134328361</v>
      </c>
      <c r="H11" s="75">
        <f>VLOOKUP($A11,'Data Vlaue (Cr)'!$C:$FB,99)</f>
        <v>626</v>
      </c>
      <c r="I11" s="75">
        <f>VLOOKUP($A11,'Data Vlaue (Cr)'!$C:$FB,100)</f>
        <v>598</v>
      </c>
      <c r="J11" s="75">
        <f>H11-I11</f>
        <v>28</v>
      </c>
      <c r="K11" s="75">
        <f>J11/H11*100</f>
        <v>4.4728434504792327</v>
      </c>
      <c r="L11" s="75">
        <f>VLOOKUP($A11,'Data Vlaue (Cr)'!$C:$FB,67)</f>
        <v>404</v>
      </c>
      <c r="M11" s="75">
        <f>VLOOKUP($A11,'Data Vlaue (Cr)'!$C:$FB,68)</f>
        <v>240</v>
      </c>
      <c r="N11" s="75">
        <f>L11-M11</f>
        <v>164</v>
      </c>
      <c r="O11" s="75">
        <f>N11/L11*100</f>
        <v>40.594059405940598</v>
      </c>
      <c r="P11" s="75">
        <f>VLOOKUP($A11,'Data Vlaue (Cr)'!$C:$FB,119)</f>
        <v>0.5</v>
      </c>
      <c r="Q11" s="75">
        <f>VLOOKUP($A11,'Data Vlaue (Cr)'!$C:$FB,122)*100</f>
        <v>2.04</v>
      </c>
      <c r="R11" s="75">
        <f>VLOOKUP($A11,'Data Vlaue (Cr)'!$C:$FB,125)</f>
        <v>0.55000000000000004</v>
      </c>
      <c r="S11" s="75">
        <f>VLOOKUP($A11,'Data Vlaue (Cr)'!$C:$FB,128)*100</f>
        <v>-22.54</v>
      </c>
    </row>
    <row r="12" spans="1:19" x14ac:dyDescent="0.25">
      <c r="A12" s="96" t="str">
        <f>'Data Vlaue (Cr)'!C3</f>
        <v>ABB</v>
      </c>
      <c r="B12" s="75">
        <f>VLOOKUP($A12,'Data Vlaue (Cr)'!$C:$FB,2)</f>
        <v>125</v>
      </c>
      <c r="C12" s="75">
        <f>VLOOKUP($A12,'Data Vlaue (Cr)'!$C:$FB,8)</f>
        <v>7236.5</v>
      </c>
      <c r="D12" s="75">
        <f>VLOOKUP($A12,'Data Vlaue (Cr)'!$C:$FB,4)</f>
        <v>7263.5</v>
      </c>
      <c r="E12" s="75">
        <f>VLOOKUP($A12,'Data Vlaue (Cr)'!$C:$FB,5)</f>
        <v>7267</v>
      </c>
      <c r="F12" s="75">
        <f t="shared" ref="F12:F75" si="0">D12-C12</f>
        <v>27</v>
      </c>
      <c r="G12" s="75">
        <f t="shared" ref="G12:G74" si="1">(D12-E12)/D12*100</f>
        <v>-4.8186136160253322E-2</v>
      </c>
      <c r="H12" s="75">
        <f>VLOOKUP($A12,'Data Vlaue (Cr)'!$C:$FB,99)</f>
        <v>2577</v>
      </c>
      <c r="I12" s="75">
        <f>VLOOKUP($A12,'Data Vlaue (Cr)'!$C:$FB,100)</f>
        <v>2325</v>
      </c>
      <c r="J12" s="75">
        <f t="shared" ref="J12:J75" si="2">H12-I12</f>
        <v>252</v>
      </c>
      <c r="K12" s="75">
        <f t="shared" ref="K12:K75" si="3">J12/H12*100</f>
        <v>9.7788125727590227</v>
      </c>
      <c r="L12" s="75">
        <f>VLOOKUP($A12,'Data Vlaue (Cr)'!$C:$FB,67)</f>
        <v>1922</v>
      </c>
      <c r="M12" s="75">
        <f>VLOOKUP($A12,'Data Vlaue (Cr)'!$C:$FB,68)</f>
        <v>1254</v>
      </c>
      <c r="N12" s="75">
        <f t="shared" ref="N12:N75" si="4">L12-M12</f>
        <v>668</v>
      </c>
      <c r="O12" s="75">
        <f t="shared" ref="O12:O75" si="5">N12/L12*100</f>
        <v>34.755463059313215</v>
      </c>
      <c r="P12" s="75">
        <f>VLOOKUP($A12,'Data Vlaue (Cr)'!$C:$FB,119)</f>
        <v>0.52</v>
      </c>
      <c r="Q12" s="75">
        <f>VLOOKUP($A12,'Data Vlaue (Cr)'!$C:$FB,122)*100</f>
        <v>-20</v>
      </c>
      <c r="R12" s="75">
        <f>VLOOKUP($A12,'Data Vlaue (Cr)'!$C:$FB,125)</f>
        <v>0.3</v>
      </c>
      <c r="S12" s="75">
        <f>VLOOKUP($A12,'Data Vlaue (Cr)'!$C:$FB,128)*100</f>
        <v>-60</v>
      </c>
    </row>
    <row r="13" spans="1:19" x14ac:dyDescent="0.25">
      <c r="A13" s="96" t="str">
        <f>'Data Vlaue (Cr)'!C4</f>
        <v>ABCAPITAL</v>
      </c>
      <c r="B13" s="75">
        <f>VLOOKUP($A13,'Data Vlaue (Cr)'!$C:$FB,2)</f>
        <v>3100</v>
      </c>
      <c r="C13" s="75">
        <f>VLOOKUP($A13,'Data Vlaue (Cr)'!$C:$FB,8)</f>
        <v>345.85</v>
      </c>
      <c r="D13" s="75">
        <f>VLOOKUP($A13,'Data Vlaue (Cr)'!$C:$FB,4)</f>
        <v>346.5</v>
      </c>
      <c r="E13" s="75">
        <f>VLOOKUP($A13,'Data Vlaue (Cr)'!$C:$FB,5)</f>
        <v>347.55</v>
      </c>
      <c r="F13" s="75">
        <f t="shared" si="0"/>
        <v>0.64999999999997726</v>
      </c>
      <c r="G13" s="75">
        <f t="shared" si="1"/>
        <v>-0.30303030303030631</v>
      </c>
      <c r="H13" s="75">
        <f>VLOOKUP($A13,'Data Vlaue (Cr)'!$C:$FB,99)</f>
        <v>2489</v>
      </c>
      <c r="I13" s="75">
        <f>VLOOKUP($A13,'Data Vlaue (Cr)'!$C:$FB,100)</f>
        <v>2022</v>
      </c>
      <c r="J13" s="75">
        <f t="shared" si="2"/>
        <v>467</v>
      </c>
      <c r="K13" s="75">
        <f t="shared" si="3"/>
        <v>18.762555243069507</v>
      </c>
      <c r="L13" s="75">
        <f>VLOOKUP($A13,'Data Vlaue (Cr)'!$C:$FB,67)</f>
        <v>5918</v>
      </c>
      <c r="M13" s="75">
        <f>VLOOKUP($A13,'Data Vlaue (Cr)'!$C:$FB,68)</f>
        <v>916</v>
      </c>
      <c r="N13" s="75">
        <f t="shared" si="4"/>
        <v>5002</v>
      </c>
      <c r="O13" s="75">
        <f t="shared" si="5"/>
        <v>84.521797904697536</v>
      </c>
      <c r="P13" s="75">
        <f>VLOOKUP($A13,'Data Vlaue (Cr)'!$C:$FB,119)</f>
        <v>0.7</v>
      </c>
      <c r="Q13" s="75">
        <f>VLOOKUP($A13,'Data Vlaue (Cr)'!$C:$FB,122)*100</f>
        <v>-33.96</v>
      </c>
      <c r="R13" s="75">
        <f>VLOOKUP($A13,'Data Vlaue (Cr)'!$C:$FB,125)</f>
        <v>0.47</v>
      </c>
      <c r="S13" s="75">
        <f>VLOOKUP($A13,'Data Vlaue (Cr)'!$C:$FB,128)*100</f>
        <v>-22.95</v>
      </c>
    </row>
    <row r="14" spans="1:19" x14ac:dyDescent="0.25">
      <c r="A14" s="96" t="str">
        <f>'Data Vlaue (Cr)'!C5</f>
        <v>ADANIENSOL</v>
      </c>
      <c r="B14" s="75">
        <f>VLOOKUP($A14,'Data Vlaue (Cr)'!$C:$FB,2)</f>
        <v>675</v>
      </c>
      <c r="C14" s="75">
        <f>VLOOKUP($A14,'Data Vlaue (Cr)'!$C:$FB,8)</f>
        <v>1398.4</v>
      </c>
      <c r="D14" s="75">
        <f>VLOOKUP($A14,'Data Vlaue (Cr)'!$C:$FB,4)</f>
        <v>1406.9</v>
      </c>
      <c r="E14" s="75">
        <f>VLOOKUP($A14,'Data Vlaue (Cr)'!$C:$FB,5)</f>
        <v>1350.7</v>
      </c>
      <c r="F14" s="75">
        <f t="shared" si="0"/>
        <v>8.5</v>
      </c>
      <c r="G14" s="75">
        <f t="shared" si="1"/>
        <v>3.9945980524557569</v>
      </c>
      <c r="H14" s="75">
        <f>VLOOKUP($A14,'Data Vlaue (Cr)'!$C:$FB,99)</f>
        <v>4074</v>
      </c>
      <c r="I14" s="75">
        <f>VLOOKUP($A14,'Data Vlaue (Cr)'!$C:$FB,100)</f>
        <v>3901</v>
      </c>
      <c r="J14" s="75">
        <f t="shared" si="2"/>
        <v>173</v>
      </c>
      <c r="K14" s="75">
        <f t="shared" si="3"/>
        <v>4.2464408443789887</v>
      </c>
      <c r="L14" s="75">
        <f>VLOOKUP($A14,'Data Vlaue (Cr)'!$C:$FB,67)</f>
        <v>3746</v>
      </c>
      <c r="M14" s="75">
        <f>VLOOKUP($A14,'Data Vlaue (Cr)'!$C:$FB,68)</f>
        <v>3768</v>
      </c>
      <c r="N14" s="75">
        <f t="shared" si="4"/>
        <v>-22</v>
      </c>
      <c r="O14" s="75">
        <f>N14/L14*100</f>
        <v>-0.58729311265349704</v>
      </c>
      <c r="P14" s="75">
        <f>VLOOKUP($A14,'Data Vlaue (Cr)'!$C:$FB,119)</f>
        <v>0.82</v>
      </c>
      <c r="Q14" s="75">
        <f>VLOOKUP($A14,'Data Vlaue (Cr)'!$C:$FB,122)*100</f>
        <v>26.150000000000002</v>
      </c>
      <c r="R14" s="75">
        <f>VLOOKUP($A14,'Data Vlaue (Cr)'!$C:$FB,125)</f>
        <v>0.52</v>
      </c>
      <c r="S14" s="75">
        <f>VLOOKUP($A14,'Data Vlaue (Cr)'!$C:$FB,128)*100</f>
        <v>-17.46</v>
      </c>
    </row>
    <row r="15" spans="1:19" x14ac:dyDescent="0.25">
      <c r="A15" s="96" t="str">
        <f>'Data Vlaue (Cr)'!C6</f>
        <v>ADANIENT</v>
      </c>
      <c r="B15" s="75">
        <f>VLOOKUP($A15,'Data Vlaue (Cr)'!$C:$FB,2)</f>
        <v>309</v>
      </c>
      <c r="C15" s="75">
        <f>VLOOKUP($A15,'Data Vlaue (Cr)'!$C:$FB,8)</f>
        <v>2485.6999999999998</v>
      </c>
      <c r="D15" s="75">
        <f>VLOOKUP($A15,'Data Vlaue (Cr)'!$C:$FB,4)</f>
        <v>2490.6999999999998</v>
      </c>
      <c r="E15" s="75">
        <f>VLOOKUP($A15,'Data Vlaue (Cr)'!$C:$FB,5)</f>
        <v>2421.8000000000002</v>
      </c>
      <c r="F15" s="75">
        <f t="shared" si="0"/>
        <v>5</v>
      </c>
      <c r="G15" s="75">
        <f t="shared" si="1"/>
        <v>2.766290601035839</v>
      </c>
      <c r="H15" s="75">
        <f>VLOOKUP($A15,'Data Vlaue (Cr)'!$C:$FB,99)</f>
        <v>8117</v>
      </c>
      <c r="I15" s="75">
        <f>VLOOKUP($A15,'Data Vlaue (Cr)'!$C:$FB,100)</f>
        <v>7719</v>
      </c>
      <c r="J15" s="75">
        <f t="shared" si="2"/>
        <v>398</v>
      </c>
      <c r="K15" s="75">
        <f t="shared" si="3"/>
        <v>4.9032893926327459</v>
      </c>
      <c r="L15" s="75">
        <f>VLOOKUP($A15,'Data Vlaue (Cr)'!$C:$FB,67)</f>
        <v>12000</v>
      </c>
      <c r="M15" s="75">
        <f>VLOOKUP($A15,'Data Vlaue (Cr)'!$C:$FB,68)</f>
        <v>6471</v>
      </c>
      <c r="N15" s="75">
        <f t="shared" si="4"/>
        <v>5529</v>
      </c>
      <c r="O15" s="75">
        <f t="shared" si="5"/>
        <v>46.075000000000003</v>
      </c>
      <c r="P15" s="75">
        <f>VLOOKUP($A15,'Data Vlaue (Cr)'!$C:$FB,119)</f>
        <v>0.76</v>
      </c>
      <c r="Q15" s="75">
        <f>VLOOKUP($A15,'Data Vlaue (Cr)'!$C:$FB,122)*100</f>
        <v>1.3299999999999998</v>
      </c>
      <c r="R15" s="75">
        <f>VLOOKUP($A15,'Data Vlaue (Cr)'!$C:$FB,125)</f>
        <v>0.6</v>
      </c>
      <c r="S15" s="75">
        <f>VLOOKUP($A15,'Data Vlaue (Cr)'!$C:$FB,128)*100</f>
        <v>15.379999999999999</v>
      </c>
    </row>
    <row r="16" spans="1:19" x14ac:dyDescent="0.25">
      <c r="A16" s="96" t="str">
        <f>'Data Vlaue (Cr)'!C7</f>
        <v>ADANIGREEN</v>
      </c>
      <c r="B16" s="75">
        <f>VLOOKUP($A16,'Data Vlaue (Cr)'!$C:$FB,2)</f>
        <v>600</v>
      </c>
      <c r="C16" s="75">
        <f>VLOOKUP($A16,'Data Vlaue (Cr)'!$C:$FB,8)</f>
        <v>1290.7</v>
      </c>
      <c r="D16" s="75">
        <f>VLOOKUP($A16,'Data Vlaue (Cr)'!$C:$FB,4)</f>
        <v>1298.0999999999999</v>
      </c>
      <c r="E16" s="75">
        <f>VLOOKUP($A16,'Data Vlaue (Cr)'!$C:$FB,5)</f>
        <v>1235.2</v>
      </c>
      <c r="F16" s="75">
        <f t="shared" si="0"/>
        <v>7.3999999999998636</v>
      </c>
      <c r="G16" s="75">
        <f t="shared" si="1"/>
        <v>4.8455434866343019</v>
      </c>
      <c r="H16" s="75">
        <f>VLOOKUP($A16,'Data Vlaue (Cr)'!$C:$FB,99)</f>
        <v>4205</v>
      </c>
      <c r="I16" s="75">
        <f>VLOOKUP($A16,'Data Vlaue (Cr)'!$C:$FB,100)</f>
        <v>3889</v>
      </c>
      <c r="J16" s="75">
        <f t="shared" si="2"/>
        <v>316</v>
      </c>
      <c r="K16" s="75">
        <f t="shared" si="3"/>
        <v>7.5148632580261596</v>
      </c>
      <c r="L16" s="75">
        <f>VLOOKUP($A16,'Data Vlaue (Cr)'!$C:$FB,67)</f>
        <v>4024</v>
      </c>
      <c r="M16" s="75">
        <f>VLOOKUP($A16,'Data Vlaue (Cr)'!$C:$FB,68)</f>
        <v>1504</v>
      </c>
      <c r="N16" s="75">
        <f t="shared" si="4"/>
        <v>2520</v>
      </c>
      <c r="O16" s="75">
        <f t="shared" si="5"/>
        <v>62.624254473161031</v>
      </c>
      <c r="P16" s="75">
        <f>VLOOKUP($A16,'Data Vlaue (Cr)'!$C:$FB,119)</f>
        <v>0.76</v>
      </c>
      <c r="Q16" s="75">
        <f>VLOOKUP($A16,'Data Vlaue (Cr)'!$C:$FB,122)*100</f>
        <v>2.7</v>
      </c>
      <c r="R16" s="75">
        <f>VLOOKUP($A16,'Data Vlaue (Cr)'!$C:$FB,125)</f>
        <v>0.43</v>
      </c>
      <c r="S16" s="75">
        <f>VLOOKUP($A16,'Data Vlaue (Cr)'!$C:$FB,128)*100</f>
        <v>-46.910000000000004</v>
      </c>
    </row>
    <row r="17" spans="1:19" x14ac:dyDescent="0.25">
      <c r="A17" s="96" t="str">
        <f>'Data Vlaue (Cr)'!C8</f>
        <v>ADANIPORTS</v>
      </c>
      <c r="B17" s="75">
        <f>VLOOKUP($A17,'Data Vlaue (Cr)'!$C:$FB,2)</f>
        <v>475</v>
      </c>
      <c r="C17" s="75">
        <f>VLOOKUP($A17,'Data Vlaue (Cr)'!$C:$FB,8)</f>
        <v>1742.6</v>
      </c>
      <c r="D17" s="75">
        <f>VLOOKUP($A17,'Data Vlaue (Cr)'!$C:$FB,4)</f>
        <v>1748</v>
      </c>
      <c r="E17" s="75">
        <f>VLOOKUP($A17,'Data Vlaue (Cr)'!$C:$FB,5)</f>
        <v>1662.9</v>
      </c>
      <c r="F17" s="75">
        <f t="shared" si="0"/>
        <v>5.4000000000000909</v>
      </c>
      <c r="G17" s="75">
        <f t="shared" si="1"/>
        <v>4.8684210526315743</v>
      </c>
      <c r="H17" s="75">
        <f>VLOOKUP($A17,'Data Vlaue (Cr)'!$C:$FB,99)</f>
        <v>6416</v>
      </c>
      <c r="I17" s="75">
        <f>VLOOKUP($A17,'Data Vlaue (Cr)'!$C:$FB,100)</f>
        <v>5526</v>
      </c>
      <c r="J17" s="75">
        <f t="shared" si="2"/>
        <v>890</v>
      </c>
      <c r="K17" s="75">
        <f t="shared" si="3"/>
        <v>13.871571072319203</v>
      </c>
      <c r="L17" s="75">
        <f>VLOOKUP($A17,'Data Vlaue (Cr)'!$C:$FB,67)</f>
        <v>13082</v>
      </c>
      <c r="M17" s="75">
        <f>VLOOKUP($A17,'Data Vlaue (Cr)'!$C:$FB,68)</f>
        <v>9388</v>
      </c>
      <c r="N17" s="75">
        <f t="shared" si="4"/>
        <v>3694</v>
      </c>
      <c r="O17" s="75">
        <f t="shared" si="5"/>
        <v>28.237272588289251</v>
      </c>
      <c r="P17" s="75">
        <f>VLOOKUP($A17,'Data Vlaue (Cr)'!$C:$FB,119)</f>
        <v>0.81</v>
      </c>
      <c r="Q17" s="75">
        <f>VLOOKUP($A17,'Data Vlaue (Cr)'!$C:$FB,122)*100</f>
        <v>1.25</v>
      </c>
      <c r="R17" s="75">
        <f>VLOOKUP($A17,'Data Vlaue (Cr)'!$C:$FB,125)</f>
        <v>0.49</v>
      </c>
      <c r="S17" s="75">
        <f>VLOOKUP($A17,'Data Vlaue (Cr)'!$C:$FB,128)*100</f>
        <v>-16.950000000000003</v>
      </c>
    </row>
    <row r="18" spans="1:19" x14ac:dyDescent="0.25">
      <c r="A18" s="96" t="str">
        <f>'Data Vlaue (Cr)'!C9</f>
        <v>ADANIPOWER</v>
      </c>
      <c r="B18" s="75">
        <f>VLOOKUP($A18,'Data Vlaue (Cr)'!$C:$FB,2)</f>
        <v>3550</v>
      </c>
      <c r="C18" s="75">
        <f>VLOOKUP($A18,'Data Vlaue (Cr)'!$C:$FB,8)</f>
        <v>227.3</v>
      </c>
      <c r="D18" s="75">
        <f>VLOOKUP($A18,'Data Vlaue (Cr)'!$C:$FB,4)</f>
        <v>228.01</v>
      </c>
      <c r="E18" s="75">
        <f>VLOOKUP($A18,'Data Vlaue (Cr)'!$C:$FB,5)</f>
        <v>223.38</v>
      </c>
      <c r="F18" s="75">
        <f t="shared" si="0"/>
        <v>0.70999999999997954</v>
      </c>
      <c r="G18" s="75">
        <f t="shared" si="1"/>
        <v>2.0306126924257688</v>
      </c>
      <c r="H18" s="75">
        <f>VLOOKUP($A18,'Data Vlaue (Cr)'!$C:$FB,99)</f>
        <v>2911</v>
      </c>
      <c r="I18" s="75">
        <f>VLOOKUP($A18,'Data Vlaue (Cr)'!$C:$FB,100)</f>
        <v>2897</v>
      </c>
      <c r="J18" s="75">
        <f t="shared" si="2"/>
        <v>14</v>
      </c>
      <c r="K18" s="75">
        <f t="shared" si="3"/>
        <v>0.48093438680865686</v>
      </c>
      <c r="L18" s="75">
        <f>VLOOKUP($A18,'Data Vlaue (Cr)'!$C:$FB,67)</f>
        <v>3630</v>
      </c>
      <c r="M18" s="75">
        <f>VLOOKUP($A18,'Data Vlaue (Cr)'!$C:$FB,68)</f>
        <v>3774</v>
      </c>
      <c r="N18" s="75">
        <f t="shared" si="4"/>
        <v>-144</v>
      </c>
      <c r="O18" s="75">
        <f t="shared" si="5"/>
        <v>-3.9669421487603307</v>
      </c>
      <c r="P18" s="75">
        <f>VLOOKUP($A18,'Data Vlaue (Cr)'!$C:$FB,119)</f>
        <v>0.66</v>
      </c>
      <c r="Q18" s="75">
        <f>VLOOKUP($A18,'Data Vlaue (Cr)'!$C:$FB,122)*100</f>
        <v>3.1300000000000003</v>
      </c>
      <c r="R18" s="75">
        <f>VLOOKUP($A18,'Data Vlaue (Cr)'!$C:$FB,125)</f>
        <v>0.43</v>
      </c>
      <c r="S18" s="75">
        <f>VLOOKUP($A18,'Data Vlaue (Cr)'!$C:$FB,128)*100</f>
        <v>-2.27</v>
      </c>
    </row>
    <row r="19" spans="1:19" x14ac:dyDescent="0.25">
      <c r="A19" s="96" t="str">
        <f>'Data Vlaue (Cr)'!C10</f>
        <v>ALKEM</v>
      </c>
      <c r="B19" s="75">
        <f>VLOOKUP($A19,'Data Vlaue (Cr)'!$C:$FB,2)</f>
        <v>125</v>
      </c>
      <c r="C19" s="75">
        <f>VLOOKUP($A19,'Data Vlaue (Cr)'!$C:$FB,8)</f>
        <v>5360.5</v>
      </c>
      <c r="D19" s="75">
        <f>VLOOKUP($A19,'Data Vlaue (Cr)'!$C:$FB,4)</f>
        <v>5350</v>
      </c>
      <c r="E19" s="75">
        <f>VLOOKUP($A19,'Data Vlaue (Cr)'!$C:$FB,5)</f>
        <v>5393.5</v>
      </c>
      <c r="F19" s="75">
        <f t="shared" si="0"/>
        <v>-10.5</v>
      </c>
      <c r="G19" s="75">
        <f t="shared" si="1"/>
        <v>-0.81308411214953269</v>
      </c>
      <c r="H19" s="75">
        <f>VLOOKUP($A19,'Data Vlaue (Cr)'!$C:$FB,99)</f>
        <v>740</v>
      </c>
      <c r="I19" s="75">
        <f>VLOOKUP($A19,'Data Vlaue (Cr)'!$C:$FB,100)</f>
        <v>692</v>
      </c>
      <c r="J19" s="75">
        <f t="shared" si="2"/>
        <v>48</v>
      </c>
      <c r="K19" s="75">
        <f t="shared" si="3"/>
        <v>6.4864864864864868</v>
      </c>
      <c r="L19" s="75">
        <f>VLOOKUP($A19,'Data Vlaue (Cr)'!$C:$FB,67)</f>
        <v>198</v>
      </c>
      <c r="M19" s="75">
        <f>VLOOKUP($A19,'Data Vlaue (Cr)'!$C:$FB,68)</f>
        <v>242</v>
      </c>
      <c r="N19" s="75">
        <f t="shared" si="4"/>
        <v>-44</v>
      </c>
      <c r="O19" s="75">
        <f t="shared" si="5"/>
        <v>-22.222222222222221</v>
      </c>
      <c r="P19" s="75">
        <f>VLOOKUP($A19,'Data Vlaue (Cr)'!$C:$FB,119)</f>
        <v>0.66</v>
      </c>
      <c r="Q19" s="75">
        <f>VLOOKUP($A19,'Data Vlaue (Cr)'!$C:$FB,122)*100</f>
        <v>-23.26</v>
      </c>
      <c r="R19" s="75">
        <f>VLOOKUP($A19,'Data Vlaue (Cr)'!$C:$FB,125)</f>
        <v>0.39</v>
      </c>
      <c r="S19" s="75">
        <f>VLOOKUP($A19,'Data Vlaue (Cr)'!$C:$FB,128)*100</f>
        <v>-20.41</v>
      </c>
    </row>
    <row r="20" spans="1:19" x14ac:dyDescent="0.25">
      <c r="A20" s="96" t="str">
        <f>'Data Vlaue (Cr)'!C11</f>
        <v>AMBER</v>
      </c>
      <c r="B20" s="75">
        <f>VLOOKUP($A20,'Data Vlaue (Cr)'!$C:$FB,2)</f>
        <v>100</v>
      </c>
      <c r="C20" s="75">
        <f>VLOOKUP($A20,'Data Vlaue (Cr)'!$C:$FB,8)</f>
        <v>8007</v>
      </c>
      <c r="D20" s="75">
        <f>VLOOKUP($A20,'Data Vlaue (Cr)'!$C:$FB,4)</f>
        <v>8051</v>
      </c>
      <c r="E20" s="75">
        <f>VLOOKUP($A20,'Data Vlaue (Cr)'!$C:$FB,5)</f>
        <v>7996</v>
      </c>
      <c r="F20" s="75">
        <f t="shared" si="0"/>
        <v>44</v>
      </c>
      <c r="G20" s="75">
        <f t="shared" si="1"/>
        <v>0.68314495093777172</v>
      </c>
      <c r="H20" s="75">
        <f>VLOOKUP($A20,'Data Vlaue (Cr)'!$C:$FB,99)</f>
        <v>1483</v>
      </c>
      <c r="I20" s="75">
        <f>VLOOKUP($A20,'Data Vlaue (Cr)'!$C:$FB,100)</f>
        <v>1415</v>
      </c>
      <c r="J20" s="75">
        <f t="shared" si="2"/>
        <v>68</v>
      </c>
      <c r="K20" s="75">
        <f t="shared" si="3"/>
        <v>4.5853000674308833</v>
      </c>
      <c r="L20" s="75">
        <f>VLOOKUP($A20,'Data Vlaue (Cr)'!$C:$FB,67)</f>
        <v>505</v>
      </c>
      <c r="M20" s="75">
        <f>VLOOKUP($A20,'Data Vlaue (Cr)'!$C:$FB,68)</f>
        <v>779</v>
      </c>
      <c r="N20" s="75">
        <f t="shared" si="4"/>
        <v>-274</v>
      </c>
      <c r="O20" s="75">
        <f t="shared" si="5"/>
        <v>-54.257425742574263</v>
      </c>
      <c r="P20" s="75">
        <f>VLOOKUP($A20,'Data Vlaue (Cr)'!$C:$FB,119)</f>
        <v>0.5</v>
      </c>
      <c r="Q20" s="75">
        <f>VLOOKUP($A20,'Data Vlaue (Cr)'!$C:$FB,122)*100</f>
        <v>-5.66</v>
      </c>
      <c r="R20" s="75">
        <f>VLOOKUP($A20,'Data Vlaue (Cr)'!$C:$FB,125)</f>
        <v>0.47</v>
      </c>
      <c r="S20" s="75">
        <f>VLOOKUP($A20,'Data Vlaue (Cr)'!$C:$FB,128)*100</f>
        <v>-36.49</v>
      </c>
    </row>
    <row r="21" spans="1:19" x14ac:dyDescent="0.25">
      <c r="A21" s="96" t="str">
        <f>'Data Vlaue (Cr)'!C12</f>
        <v>AMBUJACEM</v>
      </c>
      <c r="B21" s="75">
        <f>VLOOKUP($A21,'Data Vlaue (Cr)'!$C:$FB,2)</f>
        <v>1050</v>
      </c>
      <c r="C21" s="75">
        <f>VLOOKUP($A21,'Data Vlaue (Cr)'!$C:$FB,8)</f>
        <v>445.3</v>
      </c>
      <c r="D21" s="75">
        <f>VLOOKUP($A21,'Data Vlaue (Cr)'!$C:$FB,4)</f>
        <v>447.35</v>
      </c>
      <c r="E21" s="75">
        <f>VLOOKUP($A21,'Data Vlaue (Cr)'!$C:$FB,5)</f>
        <v>446.8</v>
      </c>
      <c r="F21" s="75">
        <f t="shared" si="0"/>
        <v>2.0500000000000114</v>
      </c>
      <c r="G21" s="75">
        <f t="shared" si="1"/>
        <v>0.12294623896278337</v>
      </c>
      <c r="H21" s="75">
        <f>VLOOKUP($A21,'Data Vlaue (Cr)'!$C:$FB,99)</f>
        <v>4483</v>
      </c>
      <c r="I21" s="75">
        <f>VLOOKUP($A21,'Data Vlaue (Cr)'!$C:$FB,100)</f>
        <v>3714</v>
      </c>
      <c r="J21" s="75">
        <f t="shared" si="2"/>
        <v>769</v>
      </c>
      <c r="K21" s="75">
        <f t="shared" si="3"/>
        <v>17.153691724291768</v>
      </c>
      <c r="L21" s="75">
        <f>VLOOKUP($A21,'Data Vlaue (Cr)'!$C:$FB,67)</f>
        <v>6613</v>
      </c>
      <c r="M21" s="75">
        <f>VLOOKUP($A21,'Data Vlaue (Cr)'!$C:$FB,68)</f>
        <v>704</v>
      </c>
      <c r="N21" s="75">
        <f t="shared" si="4"/>
        <v>5909</v>
      </c>
      <c r="O21" s="75">
        <f t="shared" si="5"/>
        <v>89.354302132163923</v>
      </c>
      <c r="P21" s="75">
        <f>VLOOKUP($A21,'Data Vlaue (Cr)'!$C:$FB,119)</f>
        <v>0.55000000000000004</v>
      </c>
      <c r="Q21" s="75">
        <f>VLOOKUP($A21,'Data Vlaue (Cr)'!$C:$FB,122)*100</f>
        <v>-32.1</v>
      </c>
      <c r="R21" s="75">
        <f>VLOOKUP($A21,'Data Vlaue (Cr)'!$C:$FB,125)</f>
        <v>0.46</v>
      </c>
      <c r="S21" s="75">
        <f>VLOOKUP($A21,'Data Vlaue (Cr)'!$C:$FB,128)*100</f>
        <v>6.98</v>
      </c>
    </row>
    <row r="22" spans="1:19" x14ac:dyDescent="0.25">
      <c r="A22" s="96" t="str">
        <f>'Data Vlaue (Cr)'!C13</f>
        <v>ANGELONE</v>
      </c>
      <c r="B22" s="75">
        <f>VLOOKUP($A22,'Data Vlaue (Cr)'!$C:$FB,2)</f>
        <v>2500</v>
      </c>
      <c r="C22" s="75">
        <f>VLOOKUP($A22,'Data Vlaue (Cr)'!$C:$FB,8)</f>
        <v>307.7</v>
      </c>
      <c r="D22" s="75">
        <f>VLOOKUP($A22,'Data Vlaue (Cr)'!$C:$FB,4)</f>
        <v>309.5</v>
      </c>
      <c r="E22" s="75">
        <f>VLOOKUP($A22,'Data Vlaue (Cr)'!$C:$FB,5)</f>
        <v>310.38</v>
      </c>
      <c r="F22" s="75">
        <f t="shared" si="0"/>
        <v>1.8000000000000114</v>
      </c>
      <c r="G22" s="75">
        <f t="shared" si="1"/>
        <v>-0.2843295638125995</v>
      </c>
      <c r="H22" s="75">
        <f>VLOOKUP($A22,'Data Vlaue (Cr)'!$C:$FB,99)</f>
        <v>1324</v>
      </c>
      <c r="I22" s="75">
        <f>VLOOKUP($A22,'Data Vlaue (Cr)'!$C:$FB,100)</f>
        <v>1208</v>
      </c>
      <c r="J22" s="75">
        <f t="shared" si="2"/>
        <v>116</v>
      </c>
      <c r="K22" s="75">
        <f t="shared" si="3"/>
        <v>8.761329305135952</v>
      </c>
      <c r="L22" s="75">
        <f>VLOOKUP($A22,'Data Vlaue (Cr)'!$C:$FB,67)</f>
        <v>855</v>
      </c>
      <c r="M22" s="75">
        <f>VLOOKUP($A22,'Data Vlaue (Cr)'!$C:$FB,68)</f>
        <v>663</v>
      </c>
      <c r="N22" s="75">
        <f t="shared" si="4"/>
        <v>192</v>
      </c>
      <c r="O22" s="75">
        <f t="shared" si="5"/>
        <v>22.456140350877192</v>
      </c>
      <c r="P22" s="75">
        <f>VLOOKUP($A22,'Data Vlaue (Cr)'!$C:$FB,119)</f>
        <v>0.61</v>
      </c>
      <c r="Q22" s="75">
        <f>VLOOKUP($A22,'Data Vlaue (Cr)'!$C:$FB,122)*100</f>
        <v>-10.290000000000001</v>
      </c>
      <c r="R22" s="75">
        <f>VLOOKUP($A22,'Data Vlaue (Cr)'!$C:$FB,125)</f>
        <v>0.56000000000000005</v>
      </c>
      <c r="S22" s="75">
        <f>VLOOKUP($A22,'Data Vlaue (Cr)'!$C:$FB,128)*100</f>
        <v>-3.45</v>
      </c>
    </row>
    <row r="23" spans="1:19" x14ac:dyDescent="0.25">
      <c r="A23" s="96" t="str">
        <f>'Data Vlaue (Cr)'!C14</f>
        <v>APLAPOLLO</v>
      </c>
      <c r="B23" s="75">
        <f>VLOOKUP($A23,'Data Vlaue (Cr)'!$C:$FB,2)</f>
        <v>350</v>
      </c>
      <c r="C23" s="75">
        <f>VLOOKUP($A23,'Data Vlaue (Cr)'!$C:$FB,8)</f>
        <v>1873</v>
      </c>
      <c r="D23" s="75">
        <f>VLOOKUP($A23,'Data Vlaue (Cr)'!$C:$FB,4)</f>
        <v>1884.3</v>
      </c>
      <c r="E23" s="75">
        <f>VLOOKUP($A23,'Data Vlaue (Cr)'!$C:$FB,5)</f>
        <v>1916.3</v>
      </c>
      <c r="F23" s="75">
        <f t="shared" si="0"/>
        <v>11.299999999999955</v>
      </c>
      <c r="G23" s="75">
        <f t="shared" si="1"/>
        <v>-1.6982433795043252</v>
      </c>
      <c r="H23" s="75">
        <f>VLOOKUP($A23,'Data Vlaue (Cr)'!$C:$FB,99)</f>
        <v>1561</v>
      </c>
      <c r="I23" s="75">
        <f>VLOOKUP($A23,'Data Vlaue (Cr)'!$C:$FB,100)</f>
        <v>1244</v>
      </c>
      <c r="J23" s="75">
        <f t="shared" si="2"/>
        <v>317</v>
      </c>
      <c r="K23" s="75">
        <f t="shared" si="3"/>
        <v>20.307495195387574</v>
      </c>
      <c r="L23" s="75">
        <f>VLOOKUP($A23,'Data Vlaue (Cr)'!$C:$FB,67)</f>
        <v>2084</v>
      </c>
      <c r="M23" s="75">
        <f>VLOOKUP($A23,'Data Vlaue (Cr)'!$C:$FB,68)</f>
        <v>547</v>
      </c>
      <c r="N23" s="75">
        <f t="shared" si="4"/>
        <v>1537</v>
      </c>
      <c r="O23" s="75">
        <f t="shared" si="5"/>
        <v>73.752399232245679</v>
      </c>
      <c r="P23" s="75">
        <f>VLOOKUP($A23,'Data Vlaue (Cr)'!$C:$FB,119)</f>
        <v>0.56999999999999995</v>
      </c>
      <c r="Q23" s="75">
        <f>VLOOKUP($A23,'Data Vlaue (Cr)'!$C:$FB,122)*100</f>
        <v>-25</v>
      </c>
      <c r="R23" s="75">
        <f>VLOOKUP($A23,'Data Vlaue (Cr)'!$C:$FB,125)</f>
        <v>0.47</v>
      </c>
      <c r="S23" s="75">
        <f>VLOOKUP($A23,'Data Vlaue (Cr)'!$C:$FB,128)*100</f>
        <v>-38.159999999999997</v>
      </c>
    </row>
    <row r="24" spans="1:19" x14ac:dyDescent="0.25">
      <c r="A24" s="96" t="str">
        <f>'Data Vlaue (Cr)'!C15</f>
        <v>APOLLOHOSP</v>
      </c>
      <c r="B24" s="75">
        <f>VLOOKUP($A24,'Data Vlaue (Cr)'!$C:$FB,2)</f>
        <v>125</v>
      </c>
      <c r="C24" s="75">
        <f>VLOOKUP($A24,'Data Vlaue (Cr)'!$C:$FB,8)</f>
        <v>7737.5</v>
      </c>
      <c r="D24" s="75">
        <f>VLOOKUP($A24,'Data Vlaue (Cr)'!$C:$FB,4)</f>
        <v>7780</v>
      </c>
      <c r="E24" s="75">
        <f>VLOOKUP($A24,'Data Vlaue (Cr)'!$C:$FB,5)</f>
        <v>7679.5</v>
      </c>
      <c r="F24" s="75">
        <f t="shared" si="0"/>
        <v>42.5</v>
      </c>
      <c r="G24" s="75">
        <f t="shared" si="1"/>
        <v>1.2917737789203085</v>
      </c>
      <c r="H24" s="75">
        <f>VLOOKUP($A24,'Data Vlaue (Cr)'!$C:$FB,99)</f>
        <v>2399</v>
      </c>
      <c r="I24" s="75">
        <f>VLOOKUP($A24,'Data Vlaue (Cr)'!$C:$FB,100)</f>
        <v>2284</v>
      </c>
      <c r="J24" s="75">
        <f t="shared" si="2"/>
        <v>115</v>
      </c>
      <c r="K24" s="75">
        <f t="shared" si="3"/>
        <v>4.7936640266777824</v>
      </c>
      <c r="L24" s="75">
        <f>VLOOKUP($A24,'Data Vlaue (Cr)'!$C:$FB,67)</f>
        <v>1135</v>
      </c>
      <c r="M24" s="75">
        <f>VLOOKUP($A24,'Data Vlaue (Cr)'!$C:$FB,68)</f>
        <v>1095</v>
      </c>
      <c r="N24" s="75">
        <f t="shared" si="4"/>
        <v>40</v>
      </c>
      <c r="O24" s="75">
        <f t="shared" si="5"/>
        <v>3.5242290748898681</v>
      </c>
      <c r="P24" s="75">
        <f>VLOOKUP($A24,'Data Vlaue (Cr)'!$C:$FB,119)</f>
        <v>0.65</v>
      </c>
      <c r="Q24" s="75">
        <f>VLOOKUP($A24,'Data Vlaue (Cr)'!$C:$FB,122)*100</f>
        <v>0</v>
      </c>
      <c r="R24" s="75">
        <f>VLOOKUP($A24,'Data Vlaue (Cr)'!$C:$FB,125)</f>
        <v>0.62</v>
      </c>
      <c r="S24" s="75">
        <f>VLOOKUP($A24,'Data Vlaue (Cr)'!$C:$FB,128)*100</f>
        <v>-24.39</v>
      </c>
    </row>
    <row r="25" spans="1:19" x14ac:dyDescent="0.25">
      <c r="A25" s="96" t="str">
        <f>'Data Vlaue (Cr)'!C16</f>
        <v>ASHOKLEY</v>
      </c>
      <c r="B25" s="75">
        <f>VLOOKUP($A25,'Data Vlaue (Cr)'!$C:$FB,2)</f>
        <v>5000</v>
      </c>
      <c r="C25" s="75">
        <f>VLOOKUP($A25,'Data Vlaue (Cr)'!$C:$FB,8)</f>
        <v>160.77000000000001</v>
      </c>
      <c r="D25" s="75">
        <f>VLOOKUP($A25,'Data Vlaue (Cr)'!$C:$FB,4)</f>
        <v>160.62</v>
      </c>
      <c r="E25" s="75">
        <f>VLOOKUP($A25,'Data Vlaue (Cr)'!$C:$FB,5)</f>
        <v>162.44999999999999</v>
      </c>
      <c r="F25" s="75">
        <f t="shared" si="0"/>
        <v>-0.15000000000000568</v>
      </c>
      <c r="G25" s="75">
        <f t="shared" si="1"/>
        <v>-1.1393350765782493</v>
      </c>
      <c r="H25" s="75">
        <f>VLOOKUP($A25,'Data Vlaue (Cr)'!$C:$FB,99)</f>
        <v>4272</v>
      </c>
      <c r="I25" s="75">
        <f>VLOOKUP($A25,'Data Vlaue (Cr)'!$C:$FB,100)</f>
        <v>4029</v>
      </c>
      <c r="J25" s="75">
        <f t="shared" si="2"/>
        <v>243</v>
      </c>
      <c r="K25" s="75">
        <f t="shared" si="3"/>
        <v>5.6882022471910112</v>
      </c>
      <c r="L25" s="75">
        <f>VLOOKUP($A25,'Data Vlaue (Cr)'!$C:$FB,67)</f>
        <v>2074</v>
      </c>
      <c r="M25" s="75">
        <f>VLOOKUP($A25,'Data Vlaue (Cr)'!$C:$FB,68)</f>
        <v>2125</v>
      </c>
      <c r="N25" s="75">
        <f t="shared" si="4"/>
        <v>-51</v>
      </c>
      <c r="O25" s="75">
        <f t="shared" si="5"/>
        <v>-2.459016393442623</v>
      </c>
      <c r="P25" s="75">
        <f>VLOOKUP($A25,'Data Vlaue (Cr)'!$C:$FB,119)</f>
        <v>0.6</v>
      </c>
      <c r="Q25" s="75">
        <f>VLOOKUP($A25,'Data Vlaue (Cr)'!$C:$FB,122)*100</f>
        <v>-7.6899999999999995</v>
      </c>
      <c r="R25" s="75">
        <f>VLOOKUP($A25,'Data Vlaue (Cr)'!$C:$FB,125)</f>
        <v>0.43</v>
      </c>
      <c r="S25" s="75">
        <f>VLOOKUP($A25,'Data Vlaue (Cr)'!$C:$FB,128)*100</f>
        <v>-8.51</v>
      </c>
    </row>
    <row r="26" spans="1:19" x14ac:dyDescent="0.25">
      <c r="A26" s="96" t="str">
        <f>'Data Vlaue (Cr)'!C17</f>
        <v>ASIANPAINT</v>
      </c>
      <c r="B26" s="75">
        <f>VLOOKUP($A26,'Data Vlaue (Cr)'!$C:$FB,2)</f>
        <v>250</v>
      </c>
      <c r="C26" s="75">
        <f>VLOOKUP($A26,'Data Vlaue (Cr)'!$C:$FB,8)</f>
        <v>2448.1</v>
      </c>
      <c r="D26" s="75">
        <f>VLOOKUP($A26,'Data Vlaue (Cr)'!$C:$FB,4)</f>
        <v>2461.9</v>
      </c>
      <c r="E26" s="75">
        <f>VLOOKUP($A26,'Data Vlaue (Cr)'!$C:$FB,5)</f>
        <v>2457.1999999999998</v>
      </c>
      <c r="F26" s="75">
        <f t="shared" si="0"/>
        <v>13.800000000000182</v>
      </c>
      <c r="G26" s="75">
        <f t="shared" si="1"/>
        <v>0.19090946017304816</v>
      </c>
      <c r="H26" s="75">
        <f>VLOOKUP($A26,'Data Vlaue (Cr)'!$C:$FB,99)</f>
        <v>5202</v>
      </c>
      <c r="I26" s="75">
        <f>VLOOKUP($A26,'Data Vlaue (Cr)'!$C:$FB,100)</f>
        <v>4750</v>
      </c>
      <c r="J26" s="75">
        <f t="shared" si="2"/>
        <v>452</v>
      </c>
      <c r="K26" s="75">
        <f t="shared" si="3"/>
        <v>8.6889657823913868</v>
      </c>
      <c r="L26" s="75">
        <f>VLOOKUP($A26,'Data Vlaue (Cr)'!$C:$FB,67)</f>
        <v>2768</v>
      </c>
      <c r="M26" s="75">
        <f>VLOOKUP($A26,'Data Vlaue (Cr)'!$C:$FB,68)</f>
        <v>2318</v>
      </c>
      <c r="N26" s="75">
        <f t="shared" si="4"/>
        <v>450</v>
      </c>
      <c r="O26" s="75">
        <f t="shared" si="5"/>
        <v>16.257225433526013</v>
      </c>
      <c r="P26" s="75">
        <f>VLOOKUP($A26,'Data Vlaue (Cr)'!$C:$FB,119)</f>
        <v>0.85</v>
      </c>
      <c r="Q26" s="75">
        <f>VLOOKUP($A26,'Data Vlaue (Cr)'!$C:$FB,122)*100</f>
        <v>-18.27</v>
      </c>
      <c r="R26" s="75">
        <f>VLOOKUP($A26,'Data Vlaue (Cr)'!$C:$FB,125)</f>
        <v>0.64</v>
      </c>
      <c r="S26" s="75">
        <f>VLOOKUP($A26,'Data Vlaue (Cr)'!$C:$FB,128)*100</f>
        <v>-41.82</v>
      </c>
    </row>
    <row r="27" spans="1:19" x14ac:dyDescent="0.25">
      <c r="A27" s="96" t="str">
        <f>'Data Vlaue (Cr)'!C18</f>
        <v>ASTRAL</v>
      </c>
      <c r="B27" s="75">
        <f>VLOOKUP($A27,'Data Vlaue (Cr)'!$C:$FB,2)</f>
        <v>425</v>
      </c>
      <c r="C27" s="75">
        <f>VLOOKUP($A27,'Data Vlaue (Cr)'!$C:$FB,8)</f>
        <v>1559.6</v>
      </c>
      <c r="D27" s="75">
        <f>VLOOKUP($A27,'Data Vlaue (Cr)'!$C:$FB,4)</f>
        <v>1558.3</v>
      </c>
      <c r="E27" s="75">
        <f>VLOOKUP($A27,'Data Vlaue (Cr)'!$C:$FB,5)</f>
        <v>1533.2</v>
      </c>
      <c r="F27" s="75">
        <f t="shared" si="0"/>
        <v>-1.2999999999999545</v>
      </c>
      <c r="G27" s="75">
        <f t="shared" si="1"/>
        <v>1.6107296412757433</v>
      </c>
      <c r="H27" s="75">
        <f>VLOOKUP($A27,'Data Vlaue (Cr)'!$C:$FB,99)</f>
        <v>1779</v>
      </c>
      <c r="I27" s="75">
        <f>VLOOKUP($A27,'Data Vlaue (Cr)'!$C:$FB,100)</f>
        <v>1749</v>
      </c>
      <c r="J27" s="75">
        <f t="shared" si="2"/>
        <v>30</v>
      </c>
      <c r="K27" s="75">
        <f t="shared" si="3"/>
        <v>1.6863406408094435</v>
      </c>
      <c r="L27" s="75">
        <f>VLOOKUP($A27,'Data Vlaue (Cr)'!$C:$FB,67)</f>
        <v>545</v>
      </c>
      <c r="M27" s="75">
        <f>VLOOKUP($A27,'Data Vlaue (Cr)'!$C:$FB,68)</f>
        <v>515</v>
      </c>
      <c r="N27" s="75">
        <f t="shared" si="4"/>
        <v>30</v>
      </c>
      <c r="O27" s="75">
        <f t="shared" si="5"/>
        <v>5.5045871559633035</v>
      </c>
      <c r="P27" s="75">
        <f>VLOOKUP($A27,'Data Vlaue (Cr)'!$C:$FB,119)</f>
        <v>0.68</v>
      </c>
      <c r="Q27" s="75">
        <f>VLOOKUP($A27,'Data Vlaue (Cr)'!$C:$FB,122)*100</f>
        <v>-5.56</v>
      </c>
      <c r="R27" s="75">
        <f>VLOOKUP($A27,'Data Vlaue (Cr)'!$C:$FB,125)</f>
        <v>0.46</v>
      </c>
      <c r="S27" s="75">
        <f>VLOOKUP($A27,'Data Vlaue (Cr)'!$C:$FB,128)*100</f>
        <v>-13.209999999999999</v>
      </c>
    </row>
    <row r="28" spans="1:19" x14ac:dyDescent="0.25">
      <c r="A28" s="96" t="str">
        <f>'Data Vlaue (Cr)'!C19</f>
        <v>AUBANK</v>
      </c>
      <c r="B28" s="75">
        <f>VLOOKUP($A28,'Data Vlaue (Cr)'!$C:$FB,2)</f>
        <v>1000</v>
      </c>
      <c r="C28" s="75">
        <f>VLOOKUP($A28,'Data Vlaue (Cr)'!$C:$FB,8)</f>
        <v>1015</v>
      </c>
      <c r="D28" s="75">
        <f>VLOOKUP($A28,'Data Vlaue (Cr)'!$C:$FB,4)</f>
        <v>1021.1</v>
      </c>
      <c r="E28" s="75">
        <f>VLOOKUP($A28,'Data Vlaue (Cr)'!$C:$FB,5)</f>
        <v>1021.15</v>
      </c>
      <c r="F28" s="75">
        <f t="shared" si="0"/>
        <v>6.1000000000000227</v>
      </c>
      <c r="G28" s="75">
        <f t="shared" si="1"/>
        <v>-4.8966800509210187E-3</v>
      </c>
      <c r="H28" s="75">
        <f>VLOOKUP($A28,'Data Vlaue (Cr)'!$C:$FB,99)</f>
        <v>3941</v>
      </c>
      <c r="I28" s="75">
        <f>VLOOKUP($A28,'Data Vlaue (Cr)'!$C:$FB,100)</f>
        <v>3943</v>
      </c>
      <c r="J28" s="75">
        <f t="shared" si="2"/>
        <v>-2</v>
      </c>
      <c r="K28" s="75">
        <f t="shared" si="3"/>
        <v>-5.0748540979446845E-2</v>
      </c>
      <c r="L28" s="75">
        <f>VLOOKUP($A28,'Data Vlaue (Cr)'!$C:$FB,67)</f>
        <v>1263</v>
      </c>
      <c r="M28" s="75">
        <f>VLOOKUP($A28,'Data Vlaue (Cr)'!$C:$FB,68)</f>
        <v>1797</v>
      </c>
      <c r="N28" s="75">
        <f t="shared" si="4"/>
        <v>-534</v>
      </c>
      <c r="O28" s="75">
        <f t="shared" si="5"/>
        <v>-42.280285035629454</v>
      </c>
      <c r="P28" s="75">
        <f>VLOOKUP($A28,'Data Vlaue (Cr)'!$C:$FB,119)</f>
        <v>0.56000000000000005</v>
      </c>
      <c r="Q28" s="75">
        <f>VLOOKUP($A28,'Data Vlaue (Cr)'!$C:$FB,122)*100</f>
        <v>3.6999999999999997</v>
      </c>
      <c r="R28" s="75">
        <f>VLOOKUP($A28,'Data Vlaue (Cr)'!$C:$FB,125)</f>
        <v>0.52</v>
      </c>
      <c r="S28" s="75">
        <f>VLOOKUP($A28,'Data Vlaue (Cr)'!$C:$FB,128)*100</f>
        <v>-5.45</v>
      </c>
    </row>
    <row r="29" spans="1:19" x14ac:dyDescent="0.25">
      <c r="A29" s="96" t="str">
        <f>'Data Vlaue (Cr)'!C20</f>
        <v>AUROPHARMA</v>
      </c>
      <c r="B29" s="75">
        <f>VLOOKUP($A29,'Data Vlaue (Cr)'!$C:$FB,2)</f>
        <v>550</v>
      </c>
      <c r="C29" s="75">
        <f>VLOOKUP($A29,'Data Vlaue (Cr)'!$C:$FB,8)</f>
        <v>1376</v>
      </c>
      <c r="D29" s="75">
        <f>VLOOKUP($A29,'Data Vlaue (Cr)'!$C:$FB,4)</f>
        <v>1379.8</v>
      </c>
      <c r="E29" s="75">
        <f>VLOOKUP($A29,'Data Vlaue (Cr)'!$C:$FB,5)</f>
        <v>1396.4</v>
      </c>
      <c r="F29" s="75">
        <f t="shared" si="0"/>
        <v>3.7999999999999545</v>
      </c>
      <c r="G29" s="75">
        <f t="shared" si="1"/>
        <v>-1.2030729091172734</v>
      </c>
      <c r="H29" s="75">
        <f>VLOOKUP($A29,'Data Vlaue (Cr)'!$C:$FB,99)</f>
        <v>3307</v>
      </c>
      <c r="I29" s="75">
        <f>VLOOKUP($A29,'Data Vlaue (Cr)'!$C:$FB,100)</f>
        <v>3230</v>
      </c>
      <c r="J29" s="75">
        <f t="shared" si="2"/>
        <v>77</v>
      </c>
      <c r="K29" s="75">
        <f t="shared" si="3"/>
        <v>2.3283943150892048</v>
      </c>
      <c r="L29" s="75">
        <f>VLOOKUP($A29,'Data Vlaue (Cr)'!$C:$FB,67)</f>
        <v>561</v>
      </c>
      <c r="M29" s="75">
        <f>VLOOKUP($A29,'Data Vlaue (Cr)'!$C:$FB,68)</f>
        <v>368</v>
      </c>
      <c r="N29" s="75">
        <f t="shared" si="4"/>
        <v>193</v>
      </c>
      <c r="O29" s="75">
        <f t="shared" si="5"/>
        <v>34.402852049910877</v>
      </c>
      <c r="P29" s="75">
        <f>VLOOKUP($A29,'Data Vlaue (Cr)'!$C:$FB,119)</f>
        <v>0.56999999999999995</v>
      </c>
      <c r="Q29" s="75">
        <f>VLOOKUP($A29,'Data Vlaue (Cr)'!$C:$FB,122)*100</f>
        <v>-5</v>
      </c>
      <c r="R29" s="75">
        <f>VLOOKUP($A29,'Data Vlaue (Cr)'!$C:$FB,125)</f>
        <v>0.53</v>
      </c>
      <c r="S29" s="75">
        <f>VLOOKUP($A29,'Data Vlaue (Cr)'!$C:$FB,128)*100</f>
        <v>-10.17</v>
      </c>
    </row>
    <row r="30" spans="1:19" x14ac:dyDescent="0.25">
      <c r="A30" s="96" t="str">
        <f>'Data Vlaue (Cr)'!C21</f>
        <v>AXISBANK</v>
      </c>
      <c r="B30" s="75">
        <f>VLOOKUP($A30,'Data Vlaue (Cr)'!$C:$FB,2)</f>
        <v>625</v>
      </c>
      <c r="C30" s="75">
        <f>VLOOKUP($A30,'Data Vlaue (Cr)'!$C:$FB,8)</f>
        <v>1275.0999999999999</v>
      </c>
      <c r="D30" s="75">
        <f>VLOOKUP($A30,'Data Vlaue (Cr)'!$C:$FB,4)</f>
        <v>1282.2</v>
      </c>
      <c r="E30" s="75">
        <f>VLOOKUP($A30,'Data Vlaue (Cr)'!$C:$FB,5)</f>
        <v>1275.9000000000001</v>
      </c>
      <c r="F30" s="75">
        <f t="shared" si="0"/>
        <v>7.1000000000001364</v>
      </c>
      <c r="G30" s="75">
        <f t="shared" si="1"/>
        <v>0.49134300421150789</v>
      </c>
      <c r="H30" s="75">
        <f>VLOOKUP($A30,'Data Vlaue (Cr)'!$C:$FB,99)</f>
        <v>11757</v>
      </c>
      <c r="I30" s="75">
        <f>VLOOKUP($A30,'Data Vlaue (Cr)'!$C:$FB,100)</f>
        <v>11009</v>
      </c>
      <c r="J30" s="75">
        <f t="shared" si="2"/>
        <v>748</v>
      </c>
      <c r="K30" s="75">
        <f t="shared" si="3"/>
        <v>6.3621672195287911</v>
      </c>
      <c r="L30" s="75">
        <f>VLOOKUP($A30,'Data Vlaue (Cr)'!$C:$FB,67)</f>
        <v>4745</v>
      </c>
      <c r="M30" s="75">
        <f>VLOOKUP($A30,'Data Vlaue (Cr)'!$C:$FB,68)</f>
        <v>6723</v>
      </c>
      <c r="N30" s="75">
        <f t="shared" si="4"/>
        <v>-1978</v>
      </c>
      <c r="O30" s="75">
        <f t="shared" si="5"/>
        <v>-41.685985247629084</v>
      </c>
      <c r="P30" s="75">
        <f>VLOOKUP($A30,'Data Vlaue (Cr)'!$C:$FB,119)</f>
        <v>0.7</v>
      </c>
      <c r="Q30" s="75">
        <f>VLOOKUP($A30,'Data Vlaue (Cr)'!$C:$FB,122)*100</f>
        <v>0</v>
      </c>
      <c r="R30" s="75">
        <f>VLOOKUP($A30,'Data Vlaue (Cr)'!$C:$FB,125)</f>
        <v>0.49</v>
      </c>
      <c r="S30" s="75">
        <f>VLOOKUP($A30,'Data Vlaue (Cr)'!$C:$FB,128)*100</f>
        <v>-30.990000000000002</v>
      </c>
    </row>
    <row r="31" spans="1:19" x14ac:dyDescent="0.25">
      <c r="A31" s="96" t="str">
        <f>'Data Vlaue (Cr)'!C22</f>
        <v>BAJAJ-AUTO</v>
      </c>
      <c r="B31" s="75">
        <f>VLOOKUP($A31,'Data Vlaue (Cr)'!$C:$FB,2)</f>
        <v>75</v>
      </c>
      <c r="C31" s="75">
        <f>VLOOKUP($A31,'Data Vlaue (Cr)'!$C:$FB,8)</f>
        <v>10132</v>
      </c>
      <c r="D31" s="75">
        <f>VLOOKUP($A31,'Data Vlaue (Cr)'!$C:$FB,4)</f>
        <v>10170.5</v>
      </c>
      <c r="E31" s="75">
        <f>VLOOKUP($A31,'Data Vlaue (Cr)'!$C:$FB,5)</f>
        <v>10039</v>
      </c>
      <c r="F31" s="75">
        <f t="shared" si="0"/>
        <v>38.5</v>
      </c>
      <c r="G31" s="75">
        <f t="shared" si="1"/>
        <v>1.292955115284401</v>
      </c>
      <c r="H31" s="75">
        <f>VLOOKUP($A31,'Data Vlaue (Cr)'!$C:$FB,99)</f>
        <v>5257</v>
      </c>
      <c r="I31" s="75">
        <f>VLOOKUP($A31,'Data Vlaue (Cr)'!$C:$FB,100)</f>
        <v>4700</v>
      </c>
      <c r="J31" s="75">
        <f t="shared" si="2"/>
        <v>557</v>
      </c>
      <c r="K31" s="75">
        <f t="shared" si="3"/>
        <v>10.595396614038426</v>
      </c>
      <c r="L31" s="75">
        <f>VLOOKUP($A31,'Data Vlaue (Cr)'!$C:$FB,67)</f>
        <v>10097</v>
      </c>
      <c r="M31" s="75">
        <f>VLOOKUP($A31,'Data Vlaue (Cr)'!$C:$FB,68)</f>
        <v>13285</v>
      </c>
      <c r="N31" s="75">
        <f t="shared" si="4"/>
        <v>-3188</v>
      </c>
      <c r="O31" s="75">
        <f t="shared" si="5"/>
        <v>-31.573734772704764</v>
      </c>
      <c r="P31" s="75">
        <f>VLOOKUP($A31,'Data Vlaue (Cr)'!$C:$FB,119)</f>
        <v>0.79</v>
      </c>
      <c r="Q31" s="75">
        <f>VLOOKUP($A31,'Data Vlaue (Cr)'!$C:$FB,122)*100</f>
        <v>-11.24</v>
      </c>
      <c r="R31" s="75">
        <f>VLOOKUP($A31,'Data Vlaue (Cr)'!$C:$FB,125)</f>
        <v>0.56000000000000005</v>
      </c>
      <c r="S31" s="75">
        <f>VLOOKUP($A31,'Data Vlaue (Cr)'!$C:$FB,128)*100</f>
        <v>33.33</v>
      </c>
    </row>
    <row r="32" spans="1:19" x14ac:dyDescent="0.25">
      <c r="A32" s="96" t="str">
        <f>'Data Vlaue (Cr)'!C23</f>
        <v>BAJAJFINSV</v>
      </c>
      <c r="B32" s="75">
        <f>VLOOKUP($A32,'Data Vlaue (Cr)'!$C:$FB,2)</f>
        <v>250</v>
      </c>
      <c r="C32" s="75">
        <f>VLOOKUP($A32,'Data Vlaue (Cr)'!$C:$FB,8)</f>
        <v>1770.4</v>
      </c>
      <c r="D32" s="75">
        <f>VLOOKUP($A32,'Data Vlaue (Cr)'!$C:$FB,4)</f>
        <v>1780.2</v>
      </c>
      <c r="E32" s="75">
        <f>VLOOKUP($A32,'Data Vlaue (Cr)'!$C:$FB,5)</f>
        <v>1752.4</v>
      </c>
      <c r="F32" s="75">
        <f t="shared" si="0"/>
        <v>9.7999999999999545</v>
      </c>
      <c r="G32" s="75">
        <f t="shared" si="1"/>
        <v>1.561622289630376</v>
      </c>
      <c r="H32" s="75">
        <f>VLOOKUP($A32,'Data Vlaue (Cr)'!$C:$FB,99)</f>
        <v>3082</v>
      </c>
      <c r="I32" s="75">
        <f>VLOOKUP($A32,'Data Vlaue (Cr)'!$C:$FB,100)</f>
        <v>2939</v>
      </c>
      <c r="J32" s="75">
        <f t="shared" si="2"/>
        <v>143</v>
      </c>
      <c r="K32" s="75">
        <f t="shared" si="3"/>
        <v>4.6398442569759899</v>
      </c>
      <c r="L32" s="75">
        <f>VLOOKUP($A32,'Data Vlaue (Cr)'!$C:$FB,67)</f>
        <v>1737</v>
      </c>
      <c r="M32" s="75">
        <f>VLOOKUP($A32,'Data Vlaue (Cr)'!$C:$FB,68)</f>
        <v>3450</v>
      </c>
      <c r="N32" s="75">
        <f t="shared" si="4"/>
        <v>-1713</v>
      </c>
      <c r="O32" s="75">
        <f t="shared" si="5"/>
        <v>-98.618307426597582</v>
      </c>
      <c r="P32" s="75">
        <f>VLOOKUP($A32,'Data Vlaue (Cr)'!$C:$FB,119)</f>
        <v>1.05</v>
      </c>
      <c r="Q32" s="75">
        <f>VLOOKUP($A32,'Data Vlaue (Cr)'!$C:$FB,122)*100</f>
        <v>3.9600000000000004</v>
      </c>
      <c r="R32" s="75">
        <f>VLOOKUP($A32,'Data Vlaue (Cr)'!$C:$FB,125)</f>
        <v>0.66</v>
      </c>
      <c r="S32" s="75">
        <f>VLOOKUP($A32,'Data Vlaue (Cr)'!$C:$FB,128)*100</f>
        <v>4.7600000000000007</v>
      </c>
    </row>
    <row r="33" spans="1:19" x14ac:dyDescent="0.25">
      <c r="A33" s="96" t="str">
        <f>'Data Vlaue (Cr)'!C24</f>
        <v>BAJAJHLDNG</v>
      </c>
      <c r="B33" s="75">
        <f>VLOOKUP($A33,'Data Vlaue (Cr)'!$C:$FB,2)</f>
        <v>50</v>
      </c>
      <c r="C33" s="75">
        <f>VLOOKUP($A33,'Data Vlaue (Cr)'!$C:$FB,8)</f>
        <v>10376</v>
      </c>
      <c r="D33" s="75">
        <f>VLOOKUP($A33,'Data Vlaue (Cr)'!$C:$FB,4)</f>
        <v>10427</v>
      </c>
      <c r="E33" s="75">
        <f>VLOOKUP($A33,'Data Vlaue (Cr)'!$C:$FB,5)</f>
        <v>10336</v>
      </c>
      <c r="F33" s="75">
        <f t="shared" si="0"/>
        <v>51</v>
      </c>
      <c r="G33" s="75">
        <f t="shared" si="1"/>
        <v>0.87273424762635465</v>
      </c>
      <c r="H33" s="75">
        <f>VLOOKUP($A33,'Data Vlaue (Cr)'!$C:$FB,99)</f>
        <v>352</v>
      </c>
      <c r="I33" s="75">
        <f>VLOOKUP($A33,'Data Vlaue (Cr)'!$C:$FB,100)</f>
        <v>319</v>
      </c>
      <c r="J33" s="75">
        <f t="shared" si="2"/>
        <v>33</v>
      </c>
      <c r="K33" s="75">
        <f t="shared" si="3"/>
        <v>9.375</v>
      </c>
      <c r="L33" s="75">
        <f>VLOOKUP($A33,'Data Vlaue (Cr)'!$C:$FB,67)</f>
        <v>284</v>
      </c>
      <c r="M33" s="75">
        <f>VLOOKUP($A33,'Data Vlaue (Cr)'!$C:$FB,68)</f>
        <v>101</v>
      </c>
      <c r="N33" s="75">
        <f t="shared" si="4"/>
        <v>183</v>
      </c>
      <c r="O33" s="75">
        <f t="shared" si="5"/>
        <v>64.436619718309856</v>
      </c>
      <c r="P33" s="75">
        <f>VLOOKUP($A33,'Data Vlaue (Cr)'!$C:$FB,119)</f>
        <v>0.44</v>
      </c>
      <c r="Q33" s="75">
        <f>VLOOKUP($A33,'Data Vlaue (Cr)'!$C:$FB,122)*100</f>
        <v>-2.2200000000000002</v>
      </c>
      <c r="R33" s="75">
        <f>VLOOKUP($A33,'Data Vlaue (Cr)'!$C:$FB,125)</f>
        <v>0.15</v>
      </c>
      <c r="S33" s="75">
        <f>VLOOKUP($A33,'Data Vlaue (Cr)'!$C:$FB,128)*100</f>
        <v>-37.5</v>
      </c>
    </row>
    <row r="34" spans="1:19" x14ac:dyDescent="0.25">
      <c r="A34" s="96" t="str">
        <f>'Data Vlaue (Cr)'!C25</f>
        <v>BAJFINANCE</v>
      </c>
      <c r="B34" s="75">
        <f>VLOOKUP($A34,'Data Vlaue (Cr)'!$C:$FB,2)</f>
        <v>750</v>
      </c>
      <c r="C34" s="75">
        <f>VLOOKUP($A34,'Data Vlaue (Cr)'!$C:$FB,8)</f>
        <v>950.2</v>
      </c>
      <c r="D34" s="75">
        <f>VLOOKUP($A34,'Data Vlaue (Cr)'!$C:$FB,4)</f>
        <v>953.4</v>
      </c>
      <c r="E34" s="75">
        <f>VLOOKUP($A34,'Data Vlaue (Cr)'!$C:$FB,5)</f>
        <v>942.35</v>
      </c>
      <c r="F34" s="75">
        <f t="shared" si="0"/>
        <v>3.1999999999999318</v>
      </c>
      <c r="G34" s="75">
        <f t="shared" si="1"/>
        <v>1.1590098594503833</v>
      </c>
      <c r="H34" s="180">
        <f>VLOOKUP($A34,'Data Vlaue (Cr)'!$C:$FB,99)</f>
        <v>9583</v>
      </c>
      <c r="I34" s="180">
        <f>VLOOKUP($A34,'Data Vlaue (Cr)'!$C:$FB,100)</f>
        <v>9683</v>
      </c>
      <c r="J34" s="180">
        <f t="shared" si="2"/>
        <v>-100</v>
      </c>
      <c r="K34" s="180">
        <f t="shared" si="3"/>
        <v>-1.0435145570280706</v>
      </c>
      <c r="L34" s="180">
        <f>VLOOKUP($A34,'Data Vlaue (Cr)'!$C:$FB,67)</f>
        <v>5290</v>
      </c>
      <c r="M34" s="180">
        <f>VLOOKUP($A34,'Data Vlaue (Cr)'!$C:$FB,68)</f>
        <v>16752</v>
      </c>
      <c r="N34" s="180">
        <f t="shared" si="4"/>
        <v>-11462</v>
      </c>
      <c r="O34" s="180">
        <f t="shared" si="5"/>
        <v>-216.67296786389417</v>
      </c>
      <c r="P34" s="180">
        <f>VLOOKUP($A34,'Data Vlaue (Cr)'!$C:$FB,119)</f>
        <v>0.75</v>
      </c>
      <c r="Q34" s="180">
        <f>VLOOKUP($A34,'Data Vlaue (Cr)'!$C:$FB,122)*100</f>
        <v>5.63</v>
      </c>
      <c r="R34" s="180">
        <f>VLOOKUP($A34,'Data Vlaue (Cr)'!$C:$FB,125)</f>
        <v>0.63</v>
      </c>
      <c r="S34" s="180">
        <f>VLOOKUP($A34,'Data Vlaue (Cr)'!$C:$FB,128)*100</f>
        <v>14.549999999999999</v>
      </c>
    </row>
    <row r="35" spans="1:19" x14ac:dyDescent="0.25">
      <c r="A35" s="96" t="str">
        <f>'Data Vlaue (Cr)'!C26</f>
        <v>BANDHANBNK</v>
      </c>
      <c r="B35" s="75">
        <f>VLOOKUP($A35,'Data Vlaue (Cr)'!$C:$FB,2)</f>
        <v>3600</v>
      </c>
      <c r="C35" s="75">
        <f>VLOOKUP($A35,'Data Vlaue (Cr)'!$C:$FB,8)</f>
        <v>206.76</v>
      </c>
      <c r="D35" s="75">
        <f>VLOOKUP($A35,'Data Vlaue (Cr)'!$C:$FB,4)</f>
        <v>208.01</v>
      </c>
      <c r="E35" s="75">
        <f>VLOOKUP($A35,'Data Vlaue (Cr)'!$C:$FB,5)</f>
        <v>200.89</v>
      </c>
      <c r="F35" s="75">
        <f t="shared" si="0"/>
        <v>1.25</v>
      </c>
      <c r="G35" s="75">
        <f t="shared" si="1"/>
        <v>3.4229123599826954</v>
      </c>
      <c r="H35" s="75">
        <f>VLOOKUP($A35,'Data Vlaue (Cr)'!$C:$FB,99)</f>
        <v>3667</v>
      </c>
      <c r="I35" s="75">
        <f>VLOOKUP($A35,'Data Vlaue (Cr)'!$C:$FB,100)</f>
        <v>3382</v>
      </c>
      <c r="J35" s="75">
        <f t="shared" si="2"/>
        <v>285</v>
      </c>
      <c r="K35" s="75">
        <f t="shared" si="3"/>
        <v>7.7720207253886011</v>
      </c>
      <c r="L35" s="75">
        <f>VLOOKUP($A35,'Data Vlaue (Cr)'!$C:$FB,67)</f>
        <v>6000</v>
      </c>
      <c r="M35" s="75">
        <f>VLOOKUP($A35,'Data Vlaue (Cr)'!$C:$FB,68)</f>
        <v>3470</v>
      </c>
      <c r="N35" s="75">
        <f t="shared" si="4"/>
        <v>2530</v>
      </c>
      <c r="O35" s="75">
        <f t="shared" si="5"/>
        <v>42.166666666666671</v>
      </c>
      <c r="P35" s="75">
        <f>VLOOKUP($A35,'Data Vlaue (Cr)'!$C:$FB,119)</f>
        <v>0.74</v>
      </c>
      <c r="Q35" s="75">
        <f>VLOOKUP($A35,'Data Vlaue (Cr)'!$C:$FB,122)*100</f>
        <v>19.350000000000001</v>
      </c>
      <c r="R35" s="75">
        <f>VLOOKUP($A35,'Data Vlaue (Cr)'!$C:$FB,125)</f>
        <v>0.44</v>
      </c>
      <c r="S35" s="75">
        <f>VLOOKUP($A35,'Data Vlaue (Cr)'!$C:$FB,128)*100</f>
        <v>-24.14</v>
      </c>
    </row>
    <row r="36" spans="1:19" x14ac:dyDescent="0.25">
      <c r="A36" s="96" t="str">
        <f>'Data Vlaue (Cr)'!C27</f>
        <v>BANKBARODA</v>
      </c>
      <c r="B36" s="75">
        <f>VLOOKUP($A36,'Data Vlaue (Cr)'!$C:$FB,2)</f>
        <v>2925</v>
      </c>
      <c r="C36" s="75">
        <f>VLOOKUP($A36,'Data Vlaue (Cr)'!$C:$FB,8)</f>
        <v>265.10000000000002</v>
      </c>
      <c r="D36" s="75">
        <f>VLOOKUP($A36,'Data Vlaue (Cr)'!$C:$FB,4)</f>
        <v>266.60000000000002</v>
      </c>
      <c r="E36" s="75">
        <f>VLOOKUP($A36,'Data Vlaue (Cr)'!$C:$FB,5)</f>
        <v>265.10000000000002</v>
      </c>
      <c r="F36" s="75">
        <f t="shared" si="0"/>
        <v>1.5</v>
      </c>
      <c r="G36" s="75">
        <f t="shared" si="1"/>
        <v>0.56264066016504122</v>
      </c>
      <c r="H36" s="75">
        <f>VLOOKUP($A36,'Data Vlaue (Cr)'!$C:$FB,99)</f>
        <v>4560</v>
      </c>
      <c r="I36" s="75">
        <f>VLOOKUP($A36,'Data Vlaue (Cr)'!$C:$FB,100)</f>
        <v>4469</v>
      </c>
      <c r="J36" s="75">
        <f t="shared" si="2"/>
        <v>91</v>
      </c>
      <c r="K36" s="75">
        <f t="shared" si="3"/>
        <v>1.9956140350877192</v>
      </c>
      <c r="L36" s="75">
        <f>VLOOKUP($A36,'Data Vlaue (Cr)'!$C:$FB,67)</f>
        <v>1331</v>
      </c>
      <c r="M36" s="75">
        <f>VLOOKUP($A36,'Data Vlaue (Cr)'!$C:$FB,68)</f>
        <v>1402</v>
      </c>
      <c r="N36" s="75">
        <f t="shared" si="4"/>
        <v>-71</v>
      </c>
      <c r="O36" s="75">
        <f t="shared" si="5"/>
        <v>-5.334335086401202</v>
      </c>
      <c r="P36" s="75">
        <f>VLOOKUP($A36,'Data Vlaue (Cr)'!$C:$FB,119)</f>
        <v>0.81</v>
      </c>
      <c r="Q36" s="75">
        <f>VLOOKUP($A36,'Data Vlaue (Cr)'!$C:$FB,122)*100</f>
        <v>-3.5700000000000003</v>
      </c>
      <c r="R36" s="75">
        <f>VLOOKUP($A36,'Data Vlaue (Cr)'!$C:$FB,125)</f>
        <v>0.48</v>
      </c>
      <c r="S36" s="75">
        <f>VLOOKUP($A36,'Data Vlaue (Cr)'!$C:$FB,128)*100</f>
        <v>-18.64</v>
      </c>
    </row>
    <row r="37" spans="1:19" x14ac:dyDescent="0.25">
      <c r="A37" s="96" t="str">
        <f>'Data Vlaue (Cr)'!C28</f>
        <v>BANKINDIA</v>
      </c>
      <c r="B37" s="75">
        <f>VLOOKUP($A37,'Data Vlaue (Cr)'!$C:$FB,2)</f>
        <v>5200</v>
      </c>
      <c r="C37" s="75">
        <f>VLOOKUP($A37,'Data Vlaue (Cr)'!$C:$FB,8)</f>
        <v>138.66</v>
      </c>
      <c r="D37" s="75">
        <f>VLOOKUP($A37,'Data Vlaue (Cr)'!$C:$FB,4)</f>
        <v>139.51</v>
      </c>
      <c r="E37" s="75">
        <f>VLOOKUP($A37,'Data Vlaue (Cr)'!$C:$FB,5)</f>
        <v>140.51</v>
      </c>
      <c r="F37" s="75">
        <f t="shared" si="0"/>
        <v>0.84999999999999432</v>
      </c>
      <c r="G37" s="75">
        <f t="shared" si="1"/>
        <v>-0.7167944950182783</v>
      </c>
      <c r="H37" s="75">
        <f>VLOOKUP($A37,'Data Vlaue (Cr)'!$C:$FB,99)</f>
        <v>1214</v>
      </c>
      <c r="I37" s="75">
        <f>VLOOKUP($A37,'Data Vlaue (Cr)'!$C:$FB,100)</f>
        <v>1134</v>
      </c>
      <c r="J37" s="75">
        <f t="shared" si="2"/>
        <v>80</v>
      </c>
      <c r="K37" s="75">
        <f t="shared" si="3"/>
        <v>6.5897858319604614</v>
      </c>
      <c r="L37" s="75">
        <f>VLOOKUP($A37,'Data Vlaue (Cr)'!$C:$FB,67)</f>
        <v>463</v>
      </c>
      <c r="M37" s="75">
        <f>VLOOKUP($A37,'Data Vlaue (Cr)'!$C:$FB,68)</f>
        <v>437</v>
      </c>
      <c r="N37" s="75">
        <f t="shared" si="4"/>
        <v>26</v>
      </c>
      <c r="O37" s="75">
        <f t="shared" si="5"/>
        <v>5.615550755939525</v>
      </c>
      <c r="P37" s="75">
        <f>VLOOKUP($A37,'Data Vlaue (Cr)'!$C:$FB,119)</f>
        <v>0.83</v>
      </c>
      <c r="Q37" s="75">
        <f>VLOOKUP($A37,'Data Vlaue (Cr)'!$C:$FB,122)*100</f>
        <v>-6.74</v>
      </c>
      <c r="R37" s="75">
        <f>VLOOKUP($A37,'Data Vlaue (Cr)'!$C:$FB,125)</f>
        <v>0.46</v>
      </c>
      <c r="S37" s="75">
        <f>VLOOKUP($A37,'Data Vlaue (Cr)'!$C:$FB,128)*100</f>
        <v>-44.58</v>
      </c>
    </row>
    <row r="38" spans="1:19" x14ac:dyDescent="0.25">
      <c r="A38" s="96" t="str">
        <f>'Data Vlaue (Cr)'!C29</f>
        <v>BANKNIFTY</v>
      </c>
      <c r="B38" s="75">
        <f>VLOOKUP($A38,'Data Vlaue (Cr)'!$C:$FB,2)</f>
        <v>30</v>
      </c>
      <c r="C38" s="75">
        <f>VLOOKUP($A38,'Data Vlaue (Cr)'!$C:$FB,8)</f>
        <v>54878.5</v>
      </c>
      <c r="D38" s="75">
        <f>VLOOKUP($A38,'Data Vlaue (Cr)'!$C:$FB,4)</f>
        <v>55153.8</v>
      </c>
      <c r="E38" s="75">
        <f>VLOOKUP($A38,'Data Vlaue (Cr)'!$C:$FB,5)</f>
        <v>55195.199999999997</v>
      </c>
      <c r="F38" s="75">
        <f t="shared" si="0"/>
        <v>275.30000000000291</v>
      </c>
      <c r="G38" s="75">
        <f t="shared" si="1"/>
        <v>-7.5062824320344529E-2</v>
      </c>
      <c r="H38" s="75">
        <f>VLOOKUP($A38,'Data Vlaue (Cr)'!$C:$FB,99)</f>
        <v>150293</v>
      </c>
      <c r="I38" s="75">
        <f>VLOOKUP($A38,'Data Vlaue (Cr)'!$C:$FB,100)</f>
        <v>138599</v>
      </c>
      <c r="J38" s="75">
        <f t="shared" si="2"/>
        <v>11694</v>
      </c>
      <c r="K38" s="75">
        <f t="shared" si="3"/>
        <v>7.7808015010679146</v>
      </c>
      <c r="L38" s="75">
        <f>VLOOKUP($A38,'Data Vlaue (Cr)'!$C:$FB,67)</f>
        <v>284065</v>
      </c>
      <c r="M38" s="75">
        <f>VLOOKUP($A38,'Data Vlaue (Cr)'!$C:$FB,68)</f>
        <v>276003</v>
      </c>
      <c r="N38" s="75">
        <f t="shared" si="4"/>
        <v>8062</v>
      </c>
      <c r="O38" s="75">
        <f t="shared" si="5"/>
        <v>2.8380828331543837</v>
      </c>
      <c r="P38" s="75">
        <f>VLOOKUP($A38,'Data Vlaue (Cr)'!$C:$FB,119)</f>
        <v>0.87</v>
      </c>
      <c r="Q38" s="75">
        <f>VLOOKUP($A38,'Data Vlaue (Cr)'!$C:$FB,122)*100</f>
        <v>-3.3300000000000005</v>
      </c>
      <c r="R38" s="75">
        <f>VLOOKUP($A38,'Data Vlaue (Cr)'!$C:$FB,125)</f>
        <v>0.75</v>
      </c>
      <c r="S38" s="75">
        <f>VLOOKUP($A38,'Data Vlaue (Cr)'!$C:$FB,128)*100</f>
        <v>-20.21</v>
      </c>
    </row>
    <row r="39" spans="1:19" x14ac:dyDescent="0.25">
      <c r="A39" s="96" t="str">
        <f>'Data Vlaue (Cr)'!C30</f>
        <v>BDL</v>
      </c>
      <c r="B39" s="75">
        <f>VLOOKUP($A39,'Data Vlaue (Cr)'!$C:$FB,2)</f>
        <v>350</v>
      </c>
      <c r="C39" s="75">
        <f>VLOOKUP($A39,'Data Vlaue (Cr)'!$C:$FB,8)</f>
        <v>1372.4</v>
      </c>
      <c r="D39" s="75">
        <f>VLOOKUP($A39,'Data Vlaue (Cr)'!$C:$FB,4)</f>
        <v>1377.2</v>
      </c>
      <c r="E39" s="75">
        <f>VLOOKUP($A39,'Data Vlaue (Cr)'!$C:$FB,5)</f>
        <v>1368.6</v>
      </c>
      <c r="F39" s="75">
        <f t="shared" si="0"/>
        <v>4.7999999999999545</v>
      </c>
      <c r="G39" s="75">
        <f t="shared" si="1"/>
        <v>0.62445541678769501</v>
      </c>
      <c r="H39" s="75">
        <f>VLOOKUP($A39,'Data Vlaue (Cr)'!$C:$FB,99)</f>
        <v>891</v>
      </c>
      <c r="I39" s="75">
        <f>VLOOKUP($A39,'Data Vlaue (Cr)'!$C:$FB,100)</f>
        <v>866</v>
      </c>
      <c r="J39" s="75">
        <f t="shared" si="2"/>
        <v>25</v>
      </c>
      <c r="K39" s="75">
        <f t="shared" si="3"/>
        <v>2.8058361391694726</v>
      </c>
      <c r="L39" s="75">
        <f>VLOOKUP($A39,'Data Vlaue (Cr)'!$C:$FB,67)</f>
        <v>663</v>
      </c>
      <c r="M39" s="75">
        <f>VLOOKUP($A39,'Data Vlaue (Cr)'!$C:$FB,68)</f>
        <v>507</v>
      </c>
      <c r="N39" s="75">
        <f t="shared" si="4"/>
        <v>156</v>
      </c>
      <c r="O39" s="75">
        <f t="shared" si="5"/>
        <v>23.52941176470588</v>
      </c>
      <c r="P39" s="75">
        <f>VLOOKUP($A39,'Data Vlaue (Cr)'!$C:$FB,119)</f>
        <v>0.54</v>
      </c>
      <c r="Q39" s="75">
        <f>VLOOKUP($A39,'Data Vlaue (Cr)'!$C:$FB,122)*100</f>
        <v>-3.5700000000000003</v>
      </c>
      <c r="R39" s="75">
        <f>VLOOKUP($A39,'Data Vlaue (Cr)'!$C:$FB,125)</f>
        <v>0.31</v>
      </c>
      <c r="S39" s="75">
        <f>VLOOKUP($A39,'Data Vlaue (Cr)'!$C:$FB,128)*100</f>
        <v>-56.940000000000005</v>
      </c>
    </row>
    <row r="40" spans="1:19" x14ac:dyDescent="0.25">
      <c r="A40" s="96" t="str">
        <f>'Data Vlaue (Cr)'!C31</f>
        <v>BEL</v>
      </c>
      <c r="B40" s="75">
        <f>VLOOKUP($A40,'Data Vlaue (Cr)'!$C:$FB,2)</f>
        <v>1425</v>
      </c>
      <c r="C40" s="75">
        <f>VLOOKUP($A40,'Data Vlaue (Cr)'!$C:$FB,8)</f>
        <v>433.55</v>
      </c>
      <c r="D40" s="75">
        <f>VLOOKUP($A40,'Data Vlaue (Cr)'!$C:$FB,4)</f>
        <v>435.75</v>
      </c>
      <c r="E40" s="75">
        <f>VLOOKUP($A40,'Data Vlaue (Cr)'!$C:$FB,5)</f>
        <v>433.95</v>
      </c>
      <c r="F40" s="75">
        <f t="shared" si="0"/>
        <v>2.1999999999999886</v>
      </c>
      <c r="G40" s="75">
        <f t="shared" si="1"/>
        <v>0.41308089500860851</v>
      </c>
      <c r="H40" s="75">
        <f>VLOOKUP($A40,'Data Vlaue (Cr)'!$C:$FB,99)</f>
        <v>7696</v>
      </c>
      <c r="I40" s="75">
        <f>VLOOKUP($A40,'Data Vlaue (Cr)'!$C:$FB,100)</f>
        <v>7365</v>
      </c>
      <c r="J40" s="75">
        <f t="shared" si="2"/>
        <v>331</v>
      </c>
      <c r="K40" s="75">
        <f t="shared" si="3"/>
        <v>4.3009355509355505</v>
      </c>
      <c r="L40" s="75">
        <f>VLOOKUP($A40,'Data Vlaue (Cr)'!$C:$FB,67)</f>
        <v>2605</v>
      </c>
      <c r="M40" s="75">
        <f>VLOOKUP($A40,'Data Vlaue (Cr)'!$C:$FB,68)</f>
        <v>2898</v>
      </c>
      <c r="N40" s="75">
        <f t="shared" si="4"/>
        <v>-293</v>
      </c>
      <c r="O40" s="75">
        <f t="shared" si="5"/>
        <v>-11.247600767754319</v>
      </c>
      <c r="P40" s="75">
        <f>VLOOKUP($A40,'Data Vlaue (Cr)'!$C:$FB,119)</f>
        <v>0.63</v>
      </c>
      <c r="Q40" s="75">
        <f>VLOOKUP($A40,'Data Vlaue (Cr)'!$C:$FB,122)*100</f>
        <v>-3.08</v>
      </c>
      <c r="R40" s="75">
        <f>VLOOKUP($A40,'Data Vlaue (Cr)'!$C:$FB,125)</f>
        <v>0.44</v>
      </c>
      <c r="S40" s="75">
        <f>VLOOKUP($A40,'Data Vlaue (Cr)'!$C:$FB,128)*100</f>
        <v>-2.2200000000000002</v>
      </c>
    </row>
    <row r="41" spans="1:19" x14ac:dyDescent="0.25">
      <c r="A41" s="96" t="str">
        <f>'Data Vlaue (Cr)'!C32</f>
        <v>BHARATFORG</v>
      </c>
      <c r="B41" s="75">
        <f>VLOOKUP($A41,'Data Vlaue (Cr)'!$C:$FB,2)</f>
        <v>500</v>
      </c>
      <c r="C41" s="75">
        <f>VLOOKUP($A41,'Data Vlaue (Cr)'!$C:$FB,8)</f>
        <v>1845.8</v>
      </c>
      <c r="D41" s="75">
        <f>VLOOKUP($A41,'Data Vlaue (Cr)'!$C:$FB,4)</f>
        <v>1847.4</v>
      </c>
      <c r="E41" s="75">
        <f>VLOOKUP($A41,'Data Vlaue (Cr)'!$C:$FB,5)</f>
        <v>1891.5</v>
      </c>
      <c r="F41" s="75">
        <f t="shared" si="0"/>
        <v>1.6000000000001364</v>
      </c>
      <c r="G41" s="75">
        <f t="shared" si="1"/>
        <v>-2.3871386813900566</v>
      </c>
      <c r="H41" s="75">
        <f>VLOOKUP($A41,'Data Vlaue (Cr)'!$C:$FB,99)</f>
        <v>2119</v>
      </c>
      <c r="I41" s="75">
        <f>VLOOKUP($A41,'Data Vlaue (Cr)'!$C:$FB,100)</f>
        <v>1969</v>
      </c>
      <c r="J41" s="75">
        <f t="shared" si="2"/>
        <v>150</v>
      </c>
      <c r="K41" s="75">
        <f t="shared" si="3"/>
        <v>7.0788107597923551</v>
      </c>
      <c r="L41" s="75">
        <f>VLOOKUP($A41,'Data Vlaue (Cr)'!$C:$FB,67)</f>
        <v>1642</v>
      </c>
      <c r="M41" s="75">
        <f>VLOOKUP($A41,'Data Vlaue (Cr)'!$C:$FB,68)</f>
        <v>1311</v>
      </c>
      <c r="N41" s="75">
        <f t="shared" si="4"/>
        <v>331</v>
      </c>
      <c r="O41" s="75">
        <f t="shared" si="5"/>
        <v>20.158343483556639</v>
      </c>
      <c r="P41" s="75">
        <f>VLOOKUP($A41,'Data Vlaue (Cr)'!$C:$FB,119)</f>
        <v>0.65</v>
      </c>
      <c r="Q41" s="75">
        <f>VLOOKUP($A41,'Data Vlaue (Cr)'!$C:$FB,122)*100</f>
        <v>-16.669999999999998</v>
      </c>
      <c r="R41" s="75">
        <f>VLOOKUP($A41,'Data Vlaue (Cr)'!$C:$FB,125)</f>
        <v>0.7</v>
      </c>
      <c r="S41" s="75">
        <f>VLOOKUP($A41,'Data Vlaue (Cr)'!$C:$FB,128)*100</f>
        <v>-16.669999999999998</v>
      </c>
    </row>
    <row r="42" spans="1:19" x14ac:dyDescent="0.25">
      <c r="A42" s="96" t="str">
        <f>'Data Vlaue (Cr)'!C33</f>
        <v>BHARTIARTL</v>
      </c>
      <c r="B42" s="75">
        <f>VLOOKUP($A42,'Data Vlaue (Cr)'!$C:$FB,2)</f>
        <v>475</v>
      </c>
      <c r="C42" s="75">
        <f>VLOOKUP($A42,'Data Vlaue (Cr)'!$C:$FB,8)</f>
        <v>1827.1</v>
      </c>
      <c r="D42" s="75">
        <f>VLOOKUP($A42,'Data Vlaue (Cr)'!$C:$FB,4)</f>
        <v>1837.4</v>
      </c>
      <c r="E42" s="75">
        <f>VLOOKUP($A42,'Data Vlaue (Cr)'!$C:$FB,5)</f>
        <v>1896.4</v>
      </c>
      <c r="F42" s="75">
        <f t="shared" si="0"/>
        <v>10.300000000000182</v>
      </c>
      <c r="G42" s="75">
        <f t="shared" si="1"/>
        <v>-3.2110591052574287</v>
      </c>
      <c r="H42" s="75">
        <f>VLOOKUP($A42,'Data Vlaue (Cr)'!$C:$FB,99)</f>
        <v>14160</v>
      </c>
      <c r="I42" s="75">
        <f>VLOOKUP($A42,'Data Vlaue (Cr)'!$C:$FB,100)</f>
        <v>12871</v>
      </c>
      <c r="J42" s="75">
        <f t="shared" si="2"/>
        <v>1289</v>
      </c>
      <c r="K42" s="75">
        <f t="shared" si="3"/>
        <v>9.1031073446327682</v>
      </c>
      <c r="L42" s="75">
        <f>VLOOKUP($A42,'Data Vlaue (Cr)'!$C:$FB,67)</f>
        <v>8024</v>
      </c>
      <c r="M42" s="75">
        <f>VLOOKUP($A42,'Data Vlaue (Cr)'!$C:$FB,68)</f>
        <v>6333</v>
      </c>
      <c r="N42" s="75">
        <f t="shared" si="4"/>
        <v>1691</v>
      </c>
      <c r="O42" s="75">
        <f t="shared" si="5"/>
        <v>21.074277168494515</v>
      </c>
      <c r="P42" s="75">
        <f>VLOOKUP($A42,'Data Vlaue (Cr)'!$C:$FB,119)</f>
        <v>0.63</v>
      </c>
      <c r="Q42" s="75">
        <f>VLOOKUP($A42,'Data Vlaue (Cr)'!$C:$FB,122)*100</f>
        <v>-24.099999999999998</v>
      </c>
      <c r="R42" s="75">
        <f>VLOOKUP($A42,'Data Vlaue (Cr)'!$C:$FB,125)</f>
        <v>0.56999999999999995</v>
      </c>
      <c r="S42" s="75">
        <f>VLOOKUP($A42,'Data Vlaue (Cr)'!$C:$FB,128)*100</f>
        <v>16.329999999999998</v>
      </c>
    </row>
    <row r="43" spans="1:19" x14ac:dyDescent="0.25">
      <c r="A43" s="96" t="str">
        <f>'Data Vlaue (Cr)'!C34</f>
        <v>BHEL</v>
      </c>
      <c r="B43" s="75">
        <f>VLOOKUP($A43,'Data Vlaue (Cr)'!$C:$FB,2)</f>
        <v>2625</v>
      </c>
      <c r="C43" s="75">
        <f>VLOOKUP($A43,'Data Vlaue (Cr)'!$C:$FB,8)</f>
        <v>377.05</v>
      </c>
      <c r="D43" s="75">
        <f>VLOOKUP($A43,'Data Vlaue (Cr)'!$C:$FB,4)</f>
        <v>379.75</v>
      </c>
      <c r="E43" s="75">
        <f>VLOOKUP($A43,'Data Vlaue (Cr)'!$C:$FB,5)</f>
        <v>354.52</v>
      </c>
      <c r="F43" s="75">
        <f t="shared" si="0"/>
        <v>2.6999999999999886</v>
      </c>
      <c r="G43" s="75">
        <f t="shared" si="1"/>
        <v>6.6438446346280502</v>
      </c>
      <c r="H43" s="75">
        <f>VLOOKUP($A43,'Data Vlaue (Cr)'!$C:$FB,99)</f>
        <v>8762</v>
      </c>
      <c r="I43" s="75">
        <f>VLOOKUP($A43,'Data Vlaue (Cr)'!$C:$FB,100)</f>
        <v>6475</v>
      </c>
      <c r="J43" s="75">
        <f t="shared" si="2"/>
        <v>2287</v>
      </c>
      <c r="K43" s="75">
        <f t="shared" si="3"/>
        <v>26.101346724492124</v>
      </c>
      <c r="L43" s="75">
        <f>VLOOKUP($A43,'Data Vlaue (Cr)'!$C:$FB,67)</f>
        <v>24941</v>
      </c>
      <c r="M43" s="75">
        <f>VLOOKUP($A43,'Data Vlaue (Cr)'!$C:$FB,68)</f>
        <v>3250</v>
      </c>
      <c r="N43" s="75">
        <f t="shared" si="4"/>
        <v>21691</v>
      </c>
      <c r="O43" s="75">
        <f t="shared" si="5"/>
        <v>86.96924742392045</v>
      </c>
      <c r="P43" s="75">
        <f>VLOOKUP($A43,'Data Vlaue (Cr)'!$C:$FB,119)</f>
        <v>0.82</v>
      </c>
      <c r="Q43" s="75">
        <f>VLOOKUP($A43,'Data Vlaue (Cr)'!$C:$FB,122)*100</f>
        <v>-12.770000000000001</v>
      </c>
      <c r="R43" s="75">
        <f>VLOOKUP($A43,'Data Vlaue (Cr)'!$C:$FB,125)</f>
        <v>0.66</v>
      </c>
      <c r="S43" s="75">
        <f>VLOOKUP($A43,'Data Vlaue (Cr)'!$C:$FB,128)*100</f>
        <v>22.220000000000002</v>
      </c>
    </row>
    <row r="44" spans="1:19" x14ac:dyDescent="0.25">
      <c r="A44" s="96" t="str">
        <f>'Data Vlaue (Cr)'!C35</f>
        <v>BIOCON</v>
      </c>
      <c r="B44" s="75">
        <f>VLOOKUP($A44,'Data Vlaue (Cr)'!$C:$FB,2)</f>
        <v>2500</v>
      </c>
      <c r="C44" s="75">
        <f>VLOOKUP($A44,'Data Vlaue (Cr)'!$C:$FB,8)</f>
        <v>360.6</v>
      </c>
      <c r="D44" s="75">
        <f>VLOOKUP($A44,'Data Vlaue (Cr)'!$C:$FB,4)</f>
        <v>362.7</v>
      </c>
      <c r="E44" s="75">
        <f>VLOOKUP($A44,'Data Vlaue (Cr)'!$C:$FB,5)</f>
        <v>361.1</v>
      </c>
      <c r="F44" s="75">
        <f t="shared" si="0"/>
        <v>2.0999999999999659</v>
      </c>
      <c r="G44" s="75">
        <f t="shared" si="1"/>
        <v>0.44113592500688337</v>
      </c>
      <c r="H44" s="75">
        <f>VLOOKUP($A44,'Data Vlaue (Cr)'!$C:$FB,99)</f>
        <v>2386</v>
      </c>
      <c r="I44" s="75">
        <f>VLOOKUP($A44,'Data Vlaue (Cr)'!$C:$FB,100)</f>
        <v>2370</v>
      </c>
      <c r="J44" s="75">
        <f t="shared" si="2"/>
        <v>16</v>
      </c>
      <c r="K44" s="75">
        <f t="shared" si="3"/>
        <v>0.67057837384744345</v>
      </c>
      <c r="L44" s="75">
        <f>VLOOKUP($A44,'Data Vlaue (Cr)'!$C:$FB,67)</f>
        <v>811</v>
      </c>
      <c r="M44" s="75">
        <f>VLOOKUP($A44,'Data Vlaue (Cr)'!$C:$FB,68)</f>
        <v>819</v>
      </c>
      <c r="N44" s="75">
        <f t="shared" si="4"/>
        <v>-8</v>
      </c>
      <c r="O44" s="75">
        <f t="shared" si="5"/>
        <v>-0.98643649815043155</v>
      </c>
      <c r="P44" s="75">
        <f>VLOOKUP($A44,'Data Vlaue (Cr)'!$C:$FB,119)</f>
        <v>0.47</v>
      </c>
      <c r="Q44" s="75">
        <f>VLOOKUP($A44,'Data Vlaue (Cr)'!$C:$FB,122)*100</f>
        <v>0</v>
      </c>
      <c r="R44" s="75">
        <f>VLOOKUP($A44,'Data Vlaue (Cr)'!$C:$FB,125)</f>
        <v>0.37</v>
      </c>
      <c r="S44" s="75">
        <f>VLOOKUP($A44,'Data Vlaue (Cr)'!$C:$FB,128)*100</f>
        <v>23.330000000000002</v>
      </c>
    </row>
    <row r="45" spans="1:19" x14ac:dyDescent="0.25">
      <c r="A45" s="96" t="str">
        <f>'Data Vlaue (Cr)'!C36</f>
        <v>BLUESTARCO</v>
      </c>
      <c r="B45" s="75">
        <f>VLOOKUP($A45,'Data Vlaue (Cr)'!$C:$FB,2)</f>
        <v>325</v>
      </c>
      <c r="C45" s="75">
        <f>VLOOKUP($A45,'Data Vlaue (Cr)'!$C:$FB,8)</f>
        <v>1802.2</v>
      </c>
      <c r="D45" s="75">
        <f>VLOOKUP($A45,'Data Vlaue (Cr)'!$C:$FB,4)</f>
        <v>1801.4</v>
      </c>
      <c r="E45" s="75">
        <f>VLOOKUP($A45,'Data Vlaue (Cr)'!$C:$FB,5)</f>
        <v>1766.4</v>
      </c>
      <c r="F45" s="75">
        <f t="shared" si="0"/>
        <v>-0.79999999999995453</v>
      </c>
      <c r="G45" s="75">
        <f t="shared" si="1"/>
        <v>1.9429332741201288</v>
      </c>
      <c r="H45" s="75">
        <f>VLOOKUP($A45,'Data Vlaue (Cr)'!$C:$FB,99)</f>
        <v>806</v>
      </c>
      <c r="I45" s="75">
        <f>VLOOKUP($A45,'Data Vlaue (Cr)'!$C:$FB,100)</f>
        <v>811</v>
      </c>
      <c r="J45" s="75">
        <f t="shared" si="2"/>
        <v>-5</v>
      </c>
      <c r="K45" s="75">
        <f t="shared" si="3"/>
        <v>-0.62034739454094301</v>
      </c>
      <c r="L45" s="75">
        <f>VLOOKUP($A45,'Data Vlaue (Cr)'!$C:$FB,67)</f>
        <v>331</v>
      </c>
      <c r="M45" s="75">
        <f>VLOOKUP($A45,'Data Vlaue (Cr)'!$C:$FB,68)</f>
        <v>559</v>
      </c>
      <c r="N45" s="75">
        <f t="shared" si="4"/>
        <v>-228</v>
      </c>
      <c r="O45" s="75">
        <f t="shared" si="5"/>
        <v>-68.882175226586099</v>
      </c>
      <c r="P45" s="75">
        <f>VLOOKUP($A45,'Data Vlaue (Cr)'!$C:$FB,119)</f>
        <v>0.7</v>
      </c>
      <c r="Q45" s="75">
        <f>VLOOKUP($A45,'Data Vlaue (Cr)'!$C:$FB,122)*100</f>
        <v>6.0600000000000005</v>
      </c>
      <c r="R45" s="75">
        <f>VLOOKUP($A45,'Data Vlaue (Cr)'!$C:$FB,125)</f>
        <v>0.49</v>
      </c>
      <c r="S45" s="75">
        <f>VLOOKUP($A45,'Data Vlaue (Cr)'!$C:$FB,128)*100</f>
        <v>-22.220000000000002</v>
      </c>
    </row>
    <row r="46" spans="1:19" x14ac:dyDescent="0.25">
      <c r="A46" s="96" t="str">
        <f>'Data Vlaue (Cr)'!C37</f>
        <v>BOSCHLTD</v>
      </c>
      <c r="B46" s="75">
        <f>VLOOKUP($A46,'Data Vlaue (Cr)'!$C:$FB,2)</f>
        <v>25</v>
      </c>
      <c r="C46" s="75">
        <f>VLOOKUP($A46,'Data Vlaue (Cr)'!$C:$FB,8)</f>
        <v>35850</v>
      </c>
      <c r="D46" s="75">
        <f>VLOOKUP($A46,'Data Vlaue (Cr)'!$C:$FB,4)</f>
        <v>35930</v>
      </c>
      <c r="E46" s="75">
        <f>VLOOKUP($A46,'Data Vlaue (Cr)'!$C:$FB,5)</f>
        <v>36230</v>
      </c>
      <c r="F46" s="75">
        <f t="shared" si="0"/>
        <v>80</v>
      </c>
      <c r="G46" s="75">
        <f t="shared" si="1"/>
        <v>-0.8349568605622042</v>
      </c>
      <c r="H46" s="75">
        <f>VLOOKUP($A46,'Data Vlaue (Cr)'!$C:$FB,99)</f>
        <v>1170</v>
      </c>
      <c r="I46" s="75">
        <f>VLOOKUP($A46,'Data Vlaue (Cr)'!$C:$FB,100)</f>
        <v>1102</v>
      </c>
      <c r="J46" s="75">
        <f t="shared" si="2"/>
        <v>68</v>
      </c>
      <c r="K46" s="75">
        <f t="shared" si="3"/>
        <v>5.8119658119658117</v>
      </c>
      <c r="L46" s="75">
        <f>VLOOKUP($A46,'Data Vlaue (Cr)'!$C:$FB,67)</f>
        <v>330</v>
      </c>
      <c r="M46" s="75">
        <f>VLOOKUP($A46,'Data Vlaue (Cr)'!$C:$FB,68)</f>
        <v>338</v>
      </c>
      <c r="N46" s="75">
        <f t="shared" si="4"/>
        <v>-8</v>
      </c>
      <c r="O46" s="75">
        <f t="shared" si="5"/>
        <v>-2.4242424242424243</v>
      </c>
      <c r="P46" s="75">
        <f>VLOOKUP($A46,'Data Vlaue (Cr)'!$C:$FB,119)</f>
        <v>0.79</v>
      </c>
      <c r="Q46" s="75">
        <f>VLOOKUP($A46,'Data Vlaue (Cr)'!$C:$FB,122)*100</f>
        <v>-1.25</v>
      </c>
      <c r="R46" s="75">
        <f>VLOOKUP($A46,'Data Vlaue (Cr)'!$C:$FB,125)</f>
        <v>0.7</v>
      </c>
      <c r="S46" s="75">
        <f>VLOOKUP($A46,'Data Vlaue (Cr)'!$C:$FB,128)*100</f>
        <v>-39.660000000000004</v>
      </c>
    </row>
    <row r="47" spans="1:19" x14ac:dyDescent="0.25">
      <c r="A47" s="96" t="str">
        <f>'Data Vlaue (Cr)'!C38</f>
        <v>BPCL</v>
      </c>
      <c r="B47" s="75">
        <f>VLOOKUP($A47,'Data Vlaue (Cr)'!$C:$FB,2)</f>
        <v>1975</v>
      </c>
      <c r="C47" s="75">
        <f>VLOOKUP($A47,'Data Vlaue (Cr)'!$C:$FB,8)</f>
        <v>301.7</v>
      </c>
      <c r="D47" s="75">
        <f>VLOOKUP($A47,'Data Vlaue (Cr)'!$C:$FB,4)</f>
        <v>303.55</v>
      </c>
      <c r="E47" s="75">
        <f>VLOOKUP($A47,'Data Vlaue (Cr)'!$C:$FB,5)</f>
        <v>302.3</v>
      </c>
      <c r="F47" s="75">
        <f t="shared" si="0"/>
        <v>1.8500000000000227</v>
      </c>
      <c r="G47" s="75">
        <f t="shared" si="1"/>
        <v>0.41179377367814202</v>
      </c>
      <c r="H47" s="75">
        <f>VLOOKUP($A47,'Data Vlaue (Cr)'!$C:$FB,99)</f>
        <v>2592</v>
      </c>
      <c r="I47" s="75">
        <f>VLOOKUP($A47,'Data Vlaue (Cr)'!$C:$FB,100)</f>
        <v>2433</v>
      </c>
      <c r="J47" s="75">
        <f t="shared" si="2"/>
        <v>159</v>
      </c>
      <c r="K47" s="75">
        <f t="shared" si="3"/>
        <v>6.1342592592592595</v>
      </c>
      <c r="L47" s="75">
        <f>VLOOKUP($A47,'Data Vlaue (Cr)'!$C:$FB,67)</f>
        <v>846</v>
      </c>
      <c r="M47" s="75">
        <f>VLOOKUP($A47,'Data Vlaue (Cr)'!$C:$FB,68)</f>
        <v>1070</v>
      </c>
      <c r="N47" s="75">
        <f t="shared" si="4"/>
        <v>-224</v>
      </c>
      <c r="O47" s="75">
        <f t="shared" si="5"/>
        <v>-26.477541371158392</v>
      </c>
      <c r="P47" s="75">
        <f>VLOOKUP($A47,'Data Vlaue (Cr)'!$C:$FB,119)</f>
        <v>0.64</v>
      </c>
      <c r="Q47" s="75">
        <f>VLOOKUP($A47,'Data Vlaue (Cr)'!$C:$FB,122)*100</f>
        <v>8.4699999999999989</v>
      </c>
      <c r="R47" s="75">
        <f>VLOOKUP($A47,'Data Vlaue (Cr)'!$C:$FB,125)</f>
        <v>0.75</v>
      </c>
      <c r="S47" s="75">
        <f>VLOOKUP($A47,'Data Vlaue (Cr)'!$C:$FB,128)*100</f>
        <v>10.290000000000001</v>
      </c>
    </row>
    <row r="48" spans="1:19" x14ac:dyDescent="0.25">
      <c r="A48" s="96" t="str">
        <f>'Data Vlaue (Cr)'!C39</f>
        <v>BRITANNIA</v>
      </c>
      <c r="B48" s="75">
        <f>VLOOKUP($A48,'Data Vlaue (Cr)'!$C:$FB,2)</f>
        <v>125</v>
      </c>
      <c r="C48" s="75">
        <f>VLOOKUP($A48,'Data Vlaue (Cr)'!$C:$FB,8)</f>
        <v>5792.5</v>
      </c>
      <c r="D48" s="75">
        <f>VLOOKUP($A48,'Data Vlaue (Cr)'!$C:$FB,4)</f>
        <v>5807</v>
      </c>
      <c r="E48" s="75">
        <f>VLOOKUP($A48,'Data Vlaue (Cr)'!$C:$FB,5)</f>
        <v>5746.5</v>
      </c>
      <c r="F48" s="75">
        <f t="shared" si="0"/>
        <v>14.5</v>
      </c>
      <c r="G48" s="75">
        <f t="shared" si="1"/>
        <v>1.0418460478732565</v>
      </c>
      <c r="H48" s="75">
        <f>VLOOKUP($A48,'Data Vlaue (Cr)'!$C:$FB,99)</f>
        <v>2249</v>
      </c>
      <c r="I48" s="75">
        <f>VLOOKUP($A48,'Data Vlaue (Cr)'!$C:$FB,100)</f>
        <v>2151</v>
      </c>
      <c r="J48" s="75">
        <f t="shared" si="2"/>
        <v>98</v>
      </c>
      <c r="K48" s="75">
        <f t="shared" si="3"/>
        <v>4.3574922187638947</v>
      </c>
      <c r="L48" s="75">
        <f>VLOOKUP($A48,'Data Vlaue (Cr)'!$C:$FB,67)</f>
        <v>1177</v>
      </c>
      <c r="M48" s="75">
        <f>VLOOKUP($A48,'Data Vlaue (Cr)'!$C:$FB,68)</f>
        <v>829</v>
      </c>
      <c r="N48" s="75">
        <f t="shared" si="4"/>
        <v>348</v>
      </c>
      <c r="O48" s="75">
        <f t="shared" si="5"/>
        <v>29.566694987255737</v>
      </c>
      <c r="P48" s="75">
        <f>VLOOKUP($A48,'Data Vlaue (Cr)'!$C:$FB,119)</f>
        <v>0.73</v>
      </c>
      <c r="Q48" s="75">
        <f>VLOOKUP($A48,'Data Vlaue (Cr)'!$C:$FB,122)*100</f>
        <v>-3.95</v>
      </c>
      <c r="R48" s="75">
        <f>VLOOKUP($A48,'Data Vlaue (Cr)'!$C:$FB,125)</f>
        <v>0.4</v>
      </c>
      <c r="S48" s="75">
        <f>VLOOKUP($A48,'Data Vlaue (Cr)'!$C:$FB,128)*100</f>
        <v>-24.529999999999998</v>
      </c>
    </row>
    <row r="49" spans="1:19" x14ac:dyDescent="0.25">
      <c r="A49" s="96" t="str">
        <f>'Data Vlaue (Cr)'!C40</f>
        <v>BSE</v>
      </c>
      <c r="B49" s="75">
        <f>VLOOKUP($A49,'Data Vlaue (Cr)'!$C:$FB,2)</f>
        <v>375</v>
      </c>
      <c r="C49" s="75">
        <f>VLOOKUP($A49,'Data Vlaue (Cr)'!$C:$FB,8)</f>
        <v>3711.3</v>
      </c>
      <c r="D49" s="75">
        <f>VLOOKUP($A49,'Data Vlaue (Cr)'!$C:$FB,4)</f>
        <v>3712.8</v>
      </c>
      <c r="E49" s="75">
        <f>VLOOKUP($A49,'Data Vlaue (Cr)'!$C:$FB,5)</f>
        <v>3657.7</v>
      </c>
      <c r="F49" s="75">
        <f t="shared" si="0"/>
        <v>1.5</v>
      </c>
      <c r="G49" s="75">
        <f t="shared" si="1"/>
        <v>1.4840551605257584</v>
      </c>
      <c r="H49" s="75">
        <f>VLOOKUP($A49,'Data Vlaue (Cr)'!$C:$FB,99)</f>
        <v>6092</v>
      </c>
      <c r="I49" s="75">
        <f>VLOOKUP($A49,'Data Vlaue (Cr)'!$C:$FB,100)</f>
        <v>5763</v>
      </c>
      <c r="J49" s="75">
        <f t="shared" si="2"/>
        <v>329</v>
      </c>
      <c r="K49" s="75">
        <f t="shared" si="3"/>
        <v>5.4005252790544978</v>
      </c>
      <c r="L49" s="75">
        <f>VLOOKUP($A49,'Data Vlaue (Cr)'!$C:$FB,67)</f>
        <v>8059</v>
      </c>
      <c r="M49" s="75">
        <f>VLOOKUP($A49,'Data Vlaue (Cr)'!$C:$FB,68)</f>
        <v>5273</v>
      </c>
      <c r="N49" s="75">
        <f t="shared" si="4"/>
        <v>2786</v>
      </c>
      <c r="O49" s="75">
        <f t="shared" si="5"/>
        <v>34.570045911403405</v>
      </c>
      <c r="P49" s="75">
        <f>VLOOKUP($A49,'Data Vlaue (Cr)'!$C:$FB,119)</f>
        <v>0.83</v>
      </c>
      <c r="Q49" s="75">
        <f>VLOOKUP($A49,'Data Vlaue (Cr)'!$C:$FB,122)*100</f>
        <v>-8.7900000000000009</v>
      </c>
      <c r="R49" s="75">
        <f>VLOOKUP($A49,'Data Vlaue (Cr)'!$C:$FB,125)</f>
        <v>0.62</v>
      </c>
      <c r="S49" s="75">
        <f>VLOOKUP($A49,'Data Vlaue (Cr)'!$C:$FB,128)*100</f>
        <v>-36.730000000000004</v>
      </c>
    </row>
    <row r="50" spans="1:19" x14ac:dyDescent="0.25">
      <c r="A50" s="96" t="str">
        <f>'Data Vlaue (Cr)'!C41</f>
        <v>CAMS</v>
      </c>
      <c r="B50" s="75">
        <f>VLOOKUP($A50,'Data Vlaue (Cr)'!$C:$FB,2)</f>
        <v>750</v>
      </c>
      <c r="C50" s="75">
        <f>VLOOKUP($A50,'Data Vlaue (Cr)'!$C:$FB,8)</f>
        <v>730.85</v>
      </c>
      <c r="D50" s="75">
        <f>VLOOKUP($A50,'Data Vlaue (Cr)'!$C:$FB,4)</f>
        <v>724.9</v>
      </c>
      <c r="E50" s="75">
        <f>VLOOKUP($A50,'Data Vlaue (Cr)'!$C:$FB,5)</f>
        <v>729</v>
      </c>
      <c r="F50" s="75">
        <f t="shared" si="0"/>
        <v>-5.9500000000000455</v>
      </c>
      <c r="G50" s="75">
        <f t="shared" si="1"/>
        <v>-0.56559525451786774</v>
      </c>
      <c r="H50" s="75">
        <f>VLOOKUP($A50,'Data Vlaue (Cr)'!$C:$FB,99)</f>
        <v>911</v>
      </c>
      <c r="I50" s="75">
        <f>VLOOKUP($A50,'Data Vlaue (Cr)'!$C:$FB,100)</f>
        <v>756</v>
      </c>
      <c r="J50" s="75">
        <f t="shared" si="2"/>
        <v>155</v>
      </c>
      <c r="K50" s="75">
        <f t="shared" si="3"/>
        <v>17.014270032930845</v>
      </c>
      <c r="L50" s="75">
        <f>VLOOKUP($A50,'Data Vlaue (Cr)'!$C:$FB,67)</f>
        <v>789</v>
      </c>
      <c r="M50" s="75">
        <f>VLOOKUP($A50,'Data Vlaue (Cr)'!$C:$FB,68)</f>
        <v>864</v>
      </c>
      <c r="N50" s="75">
        <f t="shared" si="4"/>
        <v>-75</v>
      </c>
      <c r="O50" s="75">
        <f t="shared" si="5"/>
        <v>-9.5057034220532319</v>
      </c>
      <c r="P50" s="75">
        <f>VLOOKUP($A50,'Data Vlaue (Cr)'!$C:$FB,119)</f>
        <v>0.85</v>
      </c>
      <c r="Q50" s="75">
        <f>VLOOKUP($A50,'Data Vlaue (Cr)'!$C:$FB,122)*100</f>
        <v>0</v>
      </c>
      <c r="R50" s="75">
        <f>VLOOKUP($A50,'Data Vlaue (Cr)'!$C:$FB,125)</f>
        <v>0.78</v>
      </c>
      <c r="S50" s="75">
        <f>VLOOKUP($A50,'Data Vlaue (Cr)'!$C:$FB,128)*100</f>
        <v>-40.910000000000004</v>
      </c>
    </row>
    <row r="51" spans="1:19" x14ac:dyDescent="0.25">
      <c r="A51" s="96" t="str">
        <f>'Data Vlaue (Cr)'!C42</f>
        <v>CANBK</v>
      </c>
      <c r="B51" s="75">
        <f>VLOOKUP($A51,'Data Vlaue (Cr)'!$C:$FB,2)</f>
        <v>6750</v>
      </c>
      <c r="C51" s="75">
        <f>VLOOKUP($A51,'Data Vlaue (Cr)'!$C:$FB,8)</f>
        <v>134.80000000000001</v>
      </c>
      <c r="D51" s="75">
        <f>VLOOKUP($A51,'Data Vlaue (Cr)'!$C:$FB,4)</f>
        <v>135.22999999999999</v>
      </c>
      <c r="E51" s="75">
        <f>VLOOKUP($A51,'Data Vlaue (Cr)'!$C:$FB,5)</f>
        <v>135.44999999999999</v>
      </c>
      <c r="F51" s="75">
        <f t="shared" si="0"/>
        <v>0.4299999999999784</v>
      </c>
      <c r="G51" s="75">
        <f t="shared" si="1"/>
        <v>-0.16268579457220947</v>
      </c>
      <c r="H51" s="75">
        <f>VLOOKUP($A51,'Data Vlaue (Cr)'!$C:$FB,99)</f>
        <v>4672</v>
      </c>
      <c r="I51" s="75">
        <f>VLOOKUP($A51,'Data Vlaue (Cr)'!$C:$FB,100)</f>
        <v>4441</v>
      </c>
      <c r="J51" s="75">
        <f t="shared" si="2"/>
        <v>231</v>
      </c>
      <c r="K51" s="75">
        <f t="shared" si="3"/>
        <v>4.9443493150684938</v>
      </c>
      <c r="L51" s="75">
        <f>VLOOKUP($A51,'Data Vlaue (Cr)'!$C:$FB,67)</f>
        <v>1574</v>
      </c>
      <c r="M51" s="75">
        <f>VLOOKUP($A51,'Data Vlaue (Cr)'!$C:$FB,68)</f>
        <v>1688</v>
      </c>
      <c r="N51" s="75">
        <f t="shared" si="4"/>
        <v>-114</v>
      </c>
      <c r="O51" s="75">
        <f t="shared" si="5"/>
        <v>-7.2426937738246506</v>
      </c>
      <c r="P51" s="75">
        <f>VLOOKUP($A51,'Data Vlaue (Cr)'!$C:$FB,119)</f>
        <v>0.98</v>
      </c>
      <c r="Q51" s="75">
        <f>VLOOKUP($A51,'Data Vlaue (Cr)'!$C:$FB,122)*100</f>
        <v>-5.7700000000000005</v>
      </c>
      <c r="R51" s="75">
        <f>VLOOKUP($A51,'Data Vlaue (Cr)'!$C:$FB,125)</f>
        <v>0.61</v>
      </c>
      <c r="S51" s="75">
        <f>VLOOKUP($A51,'Data Vlaue (Cr)'!$C:$FB,128)*100</f>
        <v>-23.75</v>
      </c>
    </row>
    <row r="52" spans="1:19" x14ac:dyDescent="0.25">
      <c r="A52" s="96" t="str">
        <f>'Data Vlaue (Cr)'!C43</f>
        <v>CDSL</v>
      </c>
      <c r="B52" s="75">
        <f>VLOOKUP($A52,'Data Vlaue (Cr)'!$C:$FB,2)</f>
        <v>475</v>
      </c>
      <c r="C52" s="75">
        <f>VLOOKUP($A52,'Data Vlaue (Cr)'!$C:$FB,8)</f>
        <v>1238.3</v>
      </c>
      <c r="D52" s="75">
        <f>VLOOKUP($A52,'Data Vlaue (Cr)'!$C:$FB,4)</f>
        <v>1241</v>
      </c>
      <c r="E52" s="75">
        <f>VLOOKUP($A52,'Data Vlaue (Cr)'!$C:$FB,5)</f>
        <v>1270.7</v>
      </c>
      <c r="F52" s="75">
        <f t="shared" si="0"/>
        <v>2.7000000000000455</v>
      </c>
      <c r="G52" s="75">
        <f t="shared" si="1"/>
        <v>-2.393231265108787</v>
      </c>
      <c r="H52" s="75">
        <f>VLOOKUP($A52,'Data Vlaue (Cr)'!$C:$FB,99)</f>
        <v>2848</v>
      </c>
      <c r="I52" s="75">
        <f>VLOOKUP($A52,'Data Vlaue (Cr)'!$C:$FB,100)</f>
        <v>2521</v>
      </c>
      <c r="J52" s="75">
        <f t="shared" si="2"/>
        <v>327</v>
      </c>
      <c r="K52" s="75">
        <f t="shared" si="3"/>
        <v>11.481741573033707</v>
      </c>
      <c r="L52" s="75">
        <f>VLOOKUP($A52,'Data Vlaue (Cr)'!$C:$FB,67)</f>
        <v>3633</v>
      </c>
      <c r="M52" s="75">
        <f>VLOOKUP($A52,'Data Vlaue (Cr)'!$C:$FB,68)</f>
        <v>1654</v>
      </c>
      <c r="N52" s="75">
        <f t="shared" si="4"/>
        <v>1979</v>
      </c>
      <c r="O52" s="75">
        <f t="shared" si="5"/>
        <v>54.472887420864303</v>
      </c>
      <c r="P52" s="75">
        <f>VLOOKUP($A52,'Data Vlaue (Cr)'!$C:$FB,119)</f>
        <v>0.74</v>
      </c>
      <c r="Q52" s="75">
        <f>VLOOKUP($A52,'Data Vlaue (Cr)'!$C:$FB,122)*100</f>
        <v>-19.57</v>
      </c>
      <c r="R52" s="75">
        <f>VLOOKUP($A52,'Data Vlaue (Cr)'!$C:$FB,125)</f>
        <v>0.88</v>
      </c>
      <c r="S52" s="75">
        <f>VLOOKUP($A52,'Data Vlaue (Cr)'!$C:$FB,128)*100</f>
        <v>11.39</v>
      </c>
    </row>
    <row r="53" spans="1:19" x14ac:dyDescent="0.25">
      <c r="A53" s="96" t="str">
        <f>'Data Vlaue (Cr)'!C44</f>
        <v>CGPOWER</v>
      </c>
      <c r="B53" s="75">
        <f>VLOOKUP($A53,'Data Vlaue (Cr)'!$C:$FB,2)</f>
        <v>850</v>
      </c>
      <c r="C53" s="75">
        <f>VLOOKUP($A53,'Data Vlaue (Cr)'!$C:$FB,8)</f>
        <v>802.3</v>
      </c>
      <c r="D53" s="75">
        <f>VLOOKUP($A53,'Data Vlaue (Cr)'!$C:$FB,4)</f>
        <v>807</v>
      </c>
      <c r="E53" s="75">
        <f>VLOOKUP($A53,'Data Vlaue (Cr)'!$C:$FB,5)</f>
        <v>818.45</v>
      </c>
      <c r="F53" s="75">
        <f t="shared" si="0"/>
        <v>4.7000000000000455</v>
      </c>
      <c r="G53" s="75">
        <f t="shared" si="1"/>
        <v>-1.4188351920693985</v>
      </c>
      <c r="H53" s="75">
        <f>VLOOKUP($A53,'Data Vlaue (Cr)'!$C:$FB,99)</f>
        <v>2222</v>
      </c>
      <c r="I53" s="75">
        <f>VLOOKUP($A53,'Data Vlaue (Cr)'!$C:$FB,100)</f>
        <v>2090</v>
      </c>
      <c r="J53" s="75">
        <f t="shared" si="2"/>
        <v>132</v>
      </c>
      <c r="K53" s="75">
        <f t="shared" si="3"/>
        <v>5.9405940594059405</v>
      </c>
      <c r="L53" s="75">
        <f>VLOOKUP($A53,'Data Vlaue (Cr)'!$C:$FB,67)</f>
        <v>867</v>
      </c>
      <c r="M53" s="75">
        <f>VLOOKUP($A53,'Data Vlaue (Cr)'!$C:$FB,68)</f>
        <v>705</v>
      </c>
      <c r="N53" s="75">
        <f t="shared" si="4"/>
        <v>162</v>
      </c>
      <c r="O53" s="75">
        <f t="shared" si="5"/>
        <v>18.685121107266436</v>
      </c>
      <c r="P53" s="75">
        <f>VLOOKUP($A53,'Data Vlaue (Cr)'!$C:$FB,119)</f>
        <v>0.64</v>
      </c>
      <c r="Q53" s="75">
        <f>VLOOKUP($A53,'Data Vlaue (Cr)'!$C:$FB,122)*100</f>
        <v>-22.89</v>
      </c>
      <c r="R53" s="75">
        <f>VLOOKUP($A53,'Data Vlaue (Cr)'!$C:$FB,125)</f>
        <v>0.42</v>
      </c>
      <c r="S53" s="75">
        <f>VLOOKUP($A53,'Data Vlaue (Cr)'!$C:$FB,128)*100</f>
        <v>-40</v>
      </c>
    </row>
    <row r="54" spans="1:19" x14ac:dyDescent="0.25">
      <c r="A54" s="96" t="str">
        <f>'Data Vlaue (Cr)'!C45</f>
        <v>CHOLAFIN</v>
      </c>
      <c r="B54" s="75">
        <f>VLOOKUP($A54,'Data Vlaue (Cr)'!$C:$FB,2)</f>
        <v>625</v>
      </c>
      <c r="C54" s="75">
        <f>VLOOKUP($A54,'Data Vlaue (Cr)'!$C:$FB,8)</f>
        <v>1639.5</v>
      </c>
      <c r="D54" s="75">
        <f>VLOOKUP($A54,'Data Vlaue (Cr)'!$C:$FB,4)</f>
        <v>1644.2</v>
      </c>
      <c r="E54" s="75">
        <f>VLOOKUP($A54,'Data Vlaue (Cr)'!$C:$FB,5)</f>
        <v>1573</v>
      </c>
      <c r="F54" s="75">
        <f t="shared" si="0"/>
        <v>4.7000000000000455</v>
      </c>
      <c r="G54" s="75">
        <f t="shared" si="1"/>
        <v>4.3303734338888242</v>
      </c>
      <c r="H54" s="75">
        <f>VLOOKUP($A54,'Data Vlaue (Cr)'!$C:$FB,99)</f>
        <v>3992</v>
      </c>
      <c r="I54" s="75">
        <f>VLOOKUP($A54,'Data Vlaue (Cr)'!$C:$FB,100)</f>
        <v>4011</v>
      </c>
      <c r="J54" s="75">
        <f t="shared" si="2"/>
        <v>-19</v>
      </c>
      <c r="K54" s="75">
        <f t="shared" si="3"/>
        <v>-0.47595190380761526</v>
      </c>
      <c r="L54" s="75">
        <f>VLOOKUP($A54,'Data Vlaue (Cr)'!$C:$FB,67)</f>
        <v>4438</v>
      </c>
      <c r="M54" s="75">
        <f>VLOOKUP($A54,'Data Vlaue (Cr)'!$C:$FB,68)</f>
        <v>6208</v>
      </c>
      <c r="N54" s="75">
        <f t="shared" si="4"/>
        <v>-1770</v>
      </c>
      <c r="O54" s="75">
        <f t="shared" si="5"/>
        <v>-39.882830103650292</v>
      </c>
      <c r="P54" s="75">
        <f>VLOOKUP($A54,'Data Vlaue (Cr)'!$C:$FB,119)</f>
        <v>0.86</v>
      </c>
      <c r="Q54" s="75">
        <f>VLOOKUP($A54,'Data Vlaue (Cr)'!$C:$FB,122)*100</f>
        <v>19.439999999999998</v>
      </c>
      <c r="R54" s="75">
        <f>VLOOKUP($A54,'Data Vlaue (Cr)'!$C:$FB,125)</f>
        <v>0.48</v>
      </c>
      <c r="S54" s="75">
        <f>VLOOKUP($A54,'Data Vlaue (Cr)'!$C:$FB,128)*100</f>
        <v>-15.790000000000001</v>
      </c>
    </row>
    <row r="55" spans="1:19" x14ac:dyDescent="0.25">
      <c r="A55" s="96" t="str">
        <f>'Data Vlaue (Cr)'!C46</f>
        <v>CIPLA</v>
      </c>
      <c r="B55" s="75">
        <f>VLOOKUP($A55,'Data Vlaue (Cr)'!$C:$FB,2)</f>
        <v>375</v>
      </c>
      <c r="C55" s="75">
        <f>VLOOKUP($A55,'Data Vlaue (Cr)'!$C:$FB,8)</f>
        <v>1335</v>
      </c>
      <c r="D55" s="75">
        <f>VLOOKUP($A55,'Data Vlaue (Cr)'!$C:$FB,4)</f>
        <v>1338.8</v>
      </c>
      <c r="E55" s="75">
        <f>VLOOKUP($A55,'Data Vlaue (Cr)'!$C:$FB,5)</f>
        <v>1315.2</v>
      </c>
      <c r="F55" s="75">
        <f t="shared" si="0"/>
        <v>3.7999999999999545</v>
      </c>
      <c r="G55" s="75">
        <f t="shared" si="1"/>
        <v>1.7627726322079409</v>
      </c>
      <c r="H55" s="75">
        <f>VLOOKUP($A55,'Data Vlaue (Cr)'!$C:$FB,99)</f>
        <v>2742</v>
      </c>
      <c r="I55" s="75">
        <f>VLOOKUP($A55,'Data Vlaue (Cr)'!$C:$FB,100)</f>
        <v>2670</v>
      </c>
      <c r="J55" s="75">
        <f t="shared" si="2"/>
        <v>72</v>
      </c>
      <c r="K55" s="75">
        <f t="shared" si="3"/>
        <v>2.6258205689277898</v>
      </c>
      <c r="L55" s="75">
        <f>VLOOKUP($A55,'Data Vlaue (Cr)'!$C:$FB,67)</f>
        <v>1061</v>
      </c>
      <c r="M55" s="75">
        <f>VLOOKUP($A55,'Data Vlaue (Cr)'!$C:$FB,68)</f>
        <v>1085</v>
      </c>
      <c r="N55" s="75">
        <f t="shared" si="4"/>
        <v>-24</v>
      </c>
      <c r="O55" s="75">
        <f t="shared" si="5"/>
        <v>-2.2620169651272386</v>
      </c>
      <c r="P55" s="75">
        <f>VLOOKUP($A55,'Data Vlaue (Cr)'!$C:$FB,119)</f>
        <v>0.69</v>
      </c>
      <c r="Q55" s="75">
        <f>VLOOKUP($A55,'Data Vlaue (Cr)'!$C:$FB,122)*100</f>
        <v>0</v>
      </c>
      <c r="R55" s="75">
        <f>VLOOKUP($A55,'Data Vlaue (Cr)'!$C:$FB,125)</f>
        <v>0.37</v>
      </c>
      <c r="S55" s="75">
        <f>VLOOKUP($A55,'Data Vlaue (Cr)'!$C:$FB,128)*100</f>
        <v>8.82</v>
      </c>
    </row>
    <row r="56" spans="1:19" x14ac:dyDescent="0.25">
      <c r="A56" s="96" t="str">
        <f>'Data Vlaue (Cr)'!C47</f>
        <v>COALINDIA</v>
      </c>
      <c r="B56" s="75">
        <f>VLOOKUP($A56,'Data Vlaue (Cr)'!$C:$FB,2)</f>
        <v>1350</v>
      </c>
      <c r="C56" s="75">
        <f>VLOOKUP($A56,'Data Vlaue (Cr)'!$C:$FB,8)</f>
        <v>479.95</v>
      </c>
      <c r="D56" s="75">
        <f>VLOOKUP($A56,'Data Vlaue (Cr)'!$C:$FB,4)</f>
        <v>481.2</v>
      </c>
      <c r="E56" s="75">
        <f>VLOOKUP($A56,'Data Vlaue (Cr)'!$C:$FB,5)</f>
        <v>483.75</v>
      </c>
      <c r="F56" s="75">
        <f t="shared" si="0"/>
        <v>1.25</v>
      </c>
      <c r="G56" s="75">
        <f t="shared" si="1"/>
        <v>-0.52992518703242131</v>
      </c>
      <c r="H56" s="75">
        <f>VLOOKUP($A56,'Data Vlaue (Cr)'!$C:$FB,99)</f>
        <v>4629</v>
      </c>
      <c r="I56" s="75">
        <f>VLOOKUP($A56,'Data Vlaue (Cr)'!$C:$FB,100)</f>
        <v>4626</v>
      </c>
      <c r="J56" s="75">
        <f t="shared" si="2"/>
        <v>3</v>
      </c>
      <c r="K56" s="75">
        <f t="shared" si="3"/>
        <v>6.4808813998703821E-2</v>
      </c>
      <c r="L56" s="75">
        <f>VLOOKUP($A56,'Data Vlaue (Cr)'!$C:$FB,67)</f>
        <v>2694</v>
      </c>
      <c r="M56" s="75">
        <f>VLOOKUP($A56,'Data Vlaue (Cr)'!$C:$FB,68)</f>
        <v>5487</v>
      </c>
      <c r="N56" s="75">
        <f t="shared" si="4"/>
        <v>-2793</v>
      </c>
      <c r="O56" s="75">
        <f t="shared" si="5"/>
        <v>-103.67483296213808</v>
      </c>
      <c r="P56" s="75">
        <f>VLOOKUP($A56,'Data Vlaue (Cr)'!$C:$FB,119)</f>
        <v>0.68</v>
      </c>
      <c r="Q56" s="75">
        <f>VLOOKUP($A56,'Data Vlaue (Cr)'!$C:$FB,122)*100</f>
        <v>-4.2299999999999995</v>
      </c>
      <c r="R56" s="75">
        <f>VLOOKUP($A56,'Data Vlaue (Cr)'!$C:$FB,125)</f>
        <v>0.71</v>
      </c>
      <c r="S56" s="75">
        <f>VLOOKUP($A56,'Data Vlaue (Cr)'!$C:$FB,128)*100</f>
        <v>54.35</v>
      </c>
    </row>
    <row r="57" spans="1:19" x14ac:dyDescent="0.25">
      <c r="A57" s="96" t="str">
        <f>'Data Vlaue (Cr)'!C48</f>
        <v>COCHINSHIP</v>
      </c>
      <c r="B57" s="75">
        <f>VLOOKUP($A57,'Data Vlaue (Cr)'!$C:$FB,2)</f>
        <v>400</v>
      </c>
      <c r="C57" s="75">
        <f>VLOOKUP($A57,'Data Vlaue (Cr)'!$C:$FB,8)</f>
        <v>1719.3</v>
      </c>
      <c r="D57" s="75">
        <f>VLOOKUP($A57,'Data Vlaue (Cr)'!$C:$FB,4)</f>
        <v>1729.2</v>
      </c>
      <c r="E57" s="75">
        <f>VLOOKUP($A57,'Data Vlaue (Cr)'!$C:$FB,5)</f>
        <v>1739.8</v>
      </c>
      <c r="F57" s="75">
        <f t="shared" si="0"/>
        <v>9.9000000000000909</v>
      </c>
      <c r="G57" s="75">
        <f t="shared" si="1"/>
        <v>-0.6130002313208367</v>
      </c>
      <c r="H57" s="75">
        <f>VLOOKUP($A57,'Data Vlaue (Cr)'!$C:$FB,99)</f>
        <v>772</v>
      </c>
      <c r="I57" s="75">
        <f>VLOOKUP($A57,'Data Vlaue (Cr)'!$C:$FB,100)</f>
        <v>757</v>
      </c>
      <c r="J57" s="75">
        <f t="shared" si="2"/>
        <v>15</v>
      </c>
      <c r="K57" s="75">
        <f t="shared" si="3"/>
        <v>1.9430051813471503</v>
      </c>
      <c r="L57" s="75">
        <f>VLOOKUP($A57,'Data Vlaue (Cr)'!$C:$FB,67)</f>
        <v>448</v>
      </c>
      <c r="M57" s="75">
        <f>VLOOKUP($A57,'Data Vlaue (Cr)'!$C:$FB,68)</f>
        <v>457</v>
      </c>
      <c r="N57" s="75">
        <f t="shared" si="4"/>
        <v>-9</v>
      </c>
      <c r="O57" s="75">
        <f t="shared" si="5"/>
        <v>-2.0089285714285716</v>
      </c>
      <c r="P57" s="75">
        <f>VLOOKUP($A57,'Data Vlaue (Cr)'!$C:$FB,119)</f>
        <v>0.67</v>
      </c>
      <c r="Q57" s="75">
        <f>VLOOKUP($A57,'Data Vlaue (Cr)'!$C:$FB,122)*100</f>
        <v>-2.9000000000000004</v>
      </c>
      <c r="R57" s="75">
        <f>VLOOKUP($A57,'Data Vlaue (Cr)'!$C:$FB,125)</f>
        <v>0.38</v>
      </c>
      <c r="S57" s="75">
        <f>VLOOKUP($A57,'Data Vlaue (Cr)'!$C:$FB,128)*100</f>
        <v>-35.589999999999996</v>
      </c>
    </row>
    <row r="58" spans="1:19" x14ac:dyDescent="0.25">
      <c r="A58" s="96" t="str">
        <f>'Data Vlaue (Cr)'!C49</f>
        <v>COFORGE</v>
      </c>
      <c r="B58" s="75">
        <f>VLOOKUP($A58,'Data Vlaue (Cr)'!$C:$FB,2)</f>
        <v>375</v>
      </c>
      <c r="C58" s="75">
        <f>VLOOKUP($A58,'Data Vlaue (Cr)'!$C:$FB,8)</f>
        <v>1151.5999999999999</v>
      </c>
      <c r="D58" s="75">
        <f>VLOOKUP($A58,'Data Vlaue (Cr)'!$C:$FB,4)</f>
        <v>1154.8</v>
      </c>
      <c r="E58" s="75">
        <f>VLOOKUP($A58,'Data Vlaue (Cr)'!$C:$FB,5)</f>
        <v>1194.4000000000001</v>
      </c>
      <c r="F58" s="75">
        <f t="shared" si="0"/>
        <v>3.2000000000000455</v>
      </c>
      <c r="G58" s="75">
        <f t="shared" si="1"/>
        <v>-3.4291652234153216</v>
      </c>
      <c r="H58" s="75">
        <f>VLOOKUP($A58,'Data Vlaue (Cr)'!$C:$FB,99)</f>
        <v>3351</v>
      </c>
      <c r="I58" s="75">
        <f>VLOOKUP($A58,'Data Vlaue (Cr)'!$C:$FB,100)</f>
        <v>3232</v>
      </c>
      <c r="J58" s="75">
        <f t="shared" si="2"/>
        <v>119</v>
      </c>
      <c r="K58" s="75">
        <f t="shared" si="3"/>
        <v>3.5511787526111607</v>
      </c>
      <c r="L58" s="75">
        <f>VLOOKUP($A58,'Data Vlaue (Cr)'!$C:$FB,67)</f>
        <v>2000</v>
      </c>
      <c r="M58" s="75">
        <f>VLOOKUP($A58,'Data Vlaue (Cr)'!$C:$FB,68)</f>
        <v>820</v>
      </c>
      <c r="N58" s="75">
        <f t="shared" si="4"/>
        <v>1180</v>
      </c>
      <c r="O58" s="75">
        <f t="shared" si="5"/>
        <v>59</v>
      </c>
      <c r="P58" s="75">
        <f>VLOOKUP($A58,'Data Vlaue (Cr)'!$C:$FB,119)</f>
        <v>0.61</v>
      </c>
      <c r="Q58" s="75">
        <f>VLOOKUP($A58,'Data Vlaue (Cr)'!$C:$FB,122)*100</f>
        <v>-3.17</v>
      </c>
      <c r="R58" s="75">
        <f>VLOOKUP($A58,'Data Vlaue (Cr)'!$C:$FB,125)</f>
        <v>0.57999999999999996</v>
      </c>
      <c r="S58" s="75">
        <f>VLOOKUP($A58,'Data Vlaue (Cr)'!$C:$FB,128)*100</f>
        <v>-30.95</v>
      </c>
    </row>
    <row r="59" spans="1:19" x14ac:dyDescent="0.25">
      <c r="A59" s="96" t="str">
        <f>'Data Vlaue (Cr)'!C50</f>
        <v>COLPAL</v>
      </c>
      <c r="B59" s="75">
        <f>VLOOKUP($A59,'Data Vlaue (Cr)'!$C:$FB,2)</f>
        <v>225</v>
      </c>
      <c r="C59" s="75">
        <f>VLOOKUP($A59,'Data Vlaue (Cr)'!$C:$FB,8)</f>
        <v>2172.9</v>
      </c>
      <c r="D59" s="75">
        <f>VLOOKUP($A59,'Data Vlaue (Cr)'!$C:$FB,4)</f>
        <v>2169.3000000000002</v>
      </c>
      <c r="E59" s="75">
        <f>VLOOKUP($A59,'Data Vlaue (Cr)'!$C:$FB,5)</f>
        <v>2091.6</v>
      </c>
      <c r="F59" s="75">
        <f t="shared" si="0"/>
        <v>-3.5999999999999091</v>
      </c>
      <c r="G59" s="75">
        <f t="shared" si="1"/>
        <v>3.5818005808325384</v>
      </c>
      <c r="H59" s="75">
        <f>VLOOKUP($A59,'Data Vlaue (Cr)'!$C:$FB,99)</f>
        <v>1547</v>
      </c>
      <c r="I59" s="75">
        <f>VLOOKUP($A59,'Data Vlaue (Cr)'!$C:$FB,100)</f>
        <v>1489</v>
      </c>
      <c r="J59" s="75">
        <f t="shared" si="2"/>
        <v>58</v>
      </c>
      <c r="K59" s="75">
        <f t="shared" si="3"/>
        <v>3.7491919844861021</v>
      </c>
      <c r="L59" s="75">
        <f>VLOOKUP($A59,'Data Vlaue (Cr)'!$C:$FB,67)</f>
        <v>1019</v>
      </c>
      <c r="M59" s="75">
        <f>VLOOKUP($A59,'Data Vlaue (Cr)'!$C:$FB,68)</f>
        <v>696</v>
      </c>
      <c r="N59" s="75">
        <f t="shared" si="4"/>
        <v>323</v>
      </c>
      <c r="O59" s="75">
        <f t="shared" si="5"/>
        <v>31.697742885181551</v>
      </c>
      <c r="P59" s="75">
        <f>VLOOKUP($A59,'Data Vlaue (Cr)'!$C:$FB,119)</f>
        <v>0.66</v>
      </c>
      <c r="Q59" s="75">
        <f>VLOOKUP($A59,'Data Vlaue (Cr)'!$C:$FB,122)*100</f>
        <v>-4.3499999999999996</v>
      </c>
      <c r="R59" s="75">
        <f>VLOOKUP($A59,'Data Vlaue (Cr)'!$C:$FB,125)</f>
        <v>0.31</v>
      </c>
      <c r="S59" s="75">
        <f>VLOOKUP($A59,'Data Vlaue (Cr)'!$C:$FB,128)*100</f>
        <v>-63.1</v>
      </c>
    </row>
    <row r="60" spans="1:19" x14ac:dyDescent="0.25">
      <c r="A60" s="96" t="str">
        <f>'Data Vlaue (Cr)'!C51</f>
        <v>CONCOR</v>
      </c>
      <c r="B60" s="75">
        <f>VLOOKUP($A60,'Data Vlaue (Cr)'!$C:$FB,2)</f>
        <v>1250</v>
      </c>
      <c r="C60" s="75">
        <f>VLOOKUP($A60,'Data Vlaue (Cr)'!$C:$FB,8)</f>
        <v>516.35</v>
      </c>
      <c r="D60" s="75">
        <f>VLOOKUP($A60,'Data Vlaue (Cr)'!$C:$FB,4)</f>
        <v>519.45000000000005</v>
      </c>
      <c r="E60" s="75">
        <f>VLOOKUP($A60,'Data Vlaue (Cr)'!$C:$FB,5)</f>
        <v>511.3</v>
      </c>
      <c r="F60" s="75">
        <f t="shared" si="0"/>
        <v>3.1000000000000227</v>
      </c>
      <c r="G60" s="75">
        <f t="shared" si="1"/>
        <v>1.5689671768216447</v>
      </c>
      <c r="H60" s="75">
        <f>VLOOKUP($A60,'Data Vlaue (Cr)'!$C:$FB,99)</f>
        <v>1624</v>
      </c>
      <c r="I60" s="75">
        <f>VLOOKUP($A60,'Data Vlaue (Cr)'!$C:$FB,100)</f>
        <v>1611</v>
      </c>
      <c r="J60" s="75">
        <f t="shared" si="2"/>
        <v>13</v>
      </c>
      <c r="K60" s="75">
        <f t="shared" si="3"/>
        <v>0.8004926108374385</v>
      </c>
      <c r="L60" s="75">
        <f>VLOOKUP($A60,'Data Vlaue (Cr)'!$C:$FB,67)</f>
        <v>274</v>
      </c>
      <c r="M60" s="75">
        <f>VLOOKUP($A60,'Data Vlaue (Cr)'!$C:$FB,68)</f>
        <v>231</v>
      </c>
      <c r="N60" s="75">
        <f t="shared" si="4"/>
        <v>43</v>
      </c>
      <c r="O60" s="75">
        <f t="shared" si="5"/>
        <v>15.693430656934307</v>
      </c>
      <c r="P60" s="75">
        <f>VLOOKUP($A60,'Data Vlaue (Cr)'!$C:$FB,119)</f>
        <v>0.71</v>
      </c>
      <c r="Q60" s="75">
        <f>VLOOKUP($A60,'Data Vlaue (Cr)'!$C:$FB,122)*100</f>
        <v>-5.33</v>
      </c>
      <c r="R60" s="75">
        <f>VLOOKUP($A60,'Data Vlaue (Cr)'!$C:$FB,125)</f>
        <v>0.33</v>
      </c>
      <c r="S60" s="75">
        <f>VLOOKUP($A60,'Data Vlaue (Cr)'!$C:$FB,128)*100</f>
        <v>-23.26</v>
      </c>
    </row>
    <row r="61" spans="1:19" x14ac:dyDescent="0.25">
      <c r="A61" s="96" t="str">
        <f>'Data Vlaue (Cr)'!C52</f>
        <v>CROMPTON</v>
      </c>
      <c r="B61" s="75">
        <f>VLOOKUP($A61,'Data Vlaue (Cr)'!$C:$FB,2)</f>
        <v>1800</v>
      </c>
      <c r="C61" s="75">
        <f>VLOOKUP($A61,'Data Vlaue (Cr)'!$C:$FB,8)</f>
        <v>277.95</v>
      </c>
      <c r="D61" s="75">
        <f>VLOOKUP($A61,'Data Vlaue (Cr)'!$C:$FB,4)</f>
        <v>278.7</v>
      </c>
      <c r="E61" s="75">
        <f>VLOOKUP($A61,'Data Vlaue (Cr)'!$C:$FB,5)</f>
        <v>273.17</v>
      </c>
      <c r="F61" s="75">
        <f t="shared" si="0"/>
        <v>0.75</v>
      </c>
      <c r="G61" s="75">
        <f t="shared" si="1"/>
        <v>1.984212414782911</v>
      </c>
      <c r="H61" s="75">
        <f>VLOOKUP($A61,'Data Vlaue (Cr)'!$C:$FB,99)</f>
        <v>2054</v>
      </c>
      <c r="I61" s="75">
        <f>VLOOKUP($A61,'Data Vlaue (Cr)'!$C:$FB,100)</f>
        <v>1948</v>
      </c>
      <c r="J61" s="75">
        <f t="shared" si="2"/>
        <v>106</v>
      </c>
      <c r="K61" s="75">
        <f t="shared" si="3"/>
        <v>5.1606621226874392</v>
      </c>
      <c r="L61" s="75">
        <f>VLOOKUP($A61,'Data Vlaue (Cr)'!$C:$FB,67)</f>
        <v>891</v>
      </c>
      <c r="M61" s="75">
        <f>VLOOKUP($A61,'Data Vlaue (Cr)'!$C:$FB,68)</f>
        <v>978</v>
      </c>
      <c r="N61" s="75">
        <f t="shared" si="4"/>
        <v>-87</v>
      </c>
      <c r="O61" s="75">
        <f t="shared" si="5"/>
        <v>-9.7643097643097647</v>
      </c>
      <c r="P61" s="75">
        <f>VLOOKUP($A61,'Data Vlaue (Cr)'!$C:$FB,119)</f>
        <v>0.46</v>
      </c>
      <c r="Q61" s="75">
        <f>VLOOKUP($A61,'Data Vlaue (Cr)'!$C:$FB,122)*100</f>
        <v>0</v>
      </c>
      <c r="R61" s="75">
        <f>VLOOKUP($A61,'Data Vlaue (Cr)'!$C:$FB,125)</f>
        <v>0.45</v>
      </c>
      <c r="S61" s="75">
        <f>VLOOKUP($A61,'Data Vlaue (Cr)'!$C:$FB,128)*100</f>
        <v>-8.16</v>
      </c>
    </row>
    <row r="62" spans="1:19" x14ac:dyDescent="0.25">
      <c r="A62" s="96" t="str">
        <f>'Data Vlaue (Cr)'!C53</f>
        <v>CUMMINSIND</v>
      </c>
      <c r="B62" s="75">
        <f>VLOOKUP($A62,'Data Vlaue (Cr)'!$C:$FB,2)</f>
        <v>200</v>
      </c>
      <c r="C62" s="75">
        <f>VLOOKUP($A62,'Data Vlaue (Cr)'!$C:$FB,8)</f>
        <v>5289</v>
      </c>
      <c r="D62" s="75">
        <f>VLOOKUP($A62,'Data Vlaue (Cr)'!$C:$FB,4)</f>
        <v>5293.5</v>
      </c>
      <c r="E62" s="75">
        <f>VLOOKUP($A62,'Data Vlaue (Cr)'!$C:$FB,5)</f>
        <v>5299.8</v>
      </c>
      <c r="F62" s="75">
        <f t="shared" si="0"/>
        <v>4.5</v>
      </c>
      <c r="G62" s="75">
        <f t="shared" si="1"/>
        <v>-0.11901388495324798</v>
      </c>
      <c r="H62" s="75">
        <f>VLOOKUP($A62,'Data Vlaue (Cr)'!$C:$FB,99)</f>
        <v>2623</v>
      </c>
      <c r="I62" s="75">
        <f>VLOOKUP($A62,'Data Vlaue (Cr)'!$C:$FB,100)</f>
        <v>2555</v>
      </c>
      <c r="J62" s="75">
        <f t="shared" si="2"/>
        <v>68</v>
      </c>
      <c r="K62" s="75">
        <f t="shared" si="3"/>
        <v>2.5924513915364087</v>
      </c>
      <c r="L62" s="75">
        <f>VLOOKUP($A62,'Data Vlaue (Cr)'!$C:$FB,67)</f>
        <v>922</v>
      </c>
      <c r="M62" s="75">
        <f>VLOOKUP($A62,'Data Vlaue (Cr)'!$C:$FB,68)</f>
        <v>856</v>
      </c>
      <c r="N62" s="75">
        <f t="shared" si="4"/>
        <v>66</v>
      </c>
      <c r="O62" s="75">
        <f t="shared" si="5"/>
        <v>7.1583514099783088</v>
      </c>
      <c r="P62" s="75">
        <f>VLOOKUP($A62,'Data Vlaue (Cr)'!$C:$FB,119)</f>
        <v>0.71</v>
      </c>
      <c r="Q62" s="75">
        <f>VLOOKUP($A62,'Data Vlaue (Cr)'!$C:$FB,122)*100</f>
        <v>-18.39</v>
      </c>
      <c r="R62" s="75">
        <f>VLOOKUP($A62,'Data Vlaue (Cr)'!$C:$FB,125)</f>
        <v>0.38</v>
      </c>
      <c r="S62" s="75">
        <f>VLOOKUP($A62,'Data Vlaue (Cr)'!$C:$FB,128)*100</f>
        <v>-53.66</v>
      </c>
    </row>
    <row r="63" spans="1:19" x14ac:dyDescent="0.25">
      <c r="A63" s="96" t="str">
        <f>'Data Vlaue (Cr)'!C54</f>
        <v>DABUR</v>
      </c>
      <c r="B63" s="75">
        <f>VLOOKUP($A63,'Data Vlaue (Cr)'!$C:$FB,2)</f>
        <v>1250</v>
      </c>
      <c r="C63" s="75">
        <f>VLOOKUP($A63,'Data Vlaue (Cr)'!$C:$FB,8)</f>
        <v>445.65</v>
      </c>
      <c r="D63" s="75">
        <f>VLOOKUP($A63,'Data Vlaue (Cr)'!$C:$FB,4)</f>
        <v>447.2</v>
      </c>
      <c r="E63" s="75">
        <f>VLOOKUP($A63,'Data Vlaue (Cr)'!$C:$FB,5)</f>
        <v>444.1</v>
      </c>
      <c r="F63" s="75">
        <f t="shared" si="0"/>
        <v>1.5500000000000114</v>
      </c>
      <c r="G63" s="75">
        <f t="shared" si="1"/>
        <v>0.69320214669051117</v>
      </c>
      <c r="H63" s="75">
        <f>VLOOKUP($A63,'Data Vlaue (Cr)'!$C:$FB,99)</f>
        <v>1749</v>
      </c>
      <c r="I63" s="75">
        <f>VLOOKUP($A63,'Data Vlaue (Cr)'!$C:$FB,100)</f>
        <v>1693</v>
      </c>
      <c r="J63" s="75">
        <f t="shared" si="2"/>
        <v>56</v>
      </c>
      <c r="K63" s="75">
        <f t="shared" si="3"/>
        <v>3.2018296169239568</v>
      </c>
      <c r="L63" s="75">
        <f>VLOOKUP($A63,'Data Vlaue (Cr)'!$C:$FB,67)</f>
        <v>425</v>
      </c>
      <c r="M63" s="75">
        <f>VLOOKUP($A63,'Data Vlaue (Cr)'!$C:$FB,68)</f>
        <v>669</v>
      </c>
      <c r="N63" s="75">
        <f t="shared" si="4"/>
        <v>-244</v>
      </c>
      <c r="O63" s="75">
        <f t="shared" si="5"/>
        <v>-57.411764705882348</v>
      </c>
      <c r="P63" s="75">
        <f>VLOOKUP($A63,'Data Vlaue (Cr)'!$C:$FB,119)</f>
        <v>0.64</v>
      </c>
      <c r="Q63" s="75">
        <f>VLOOKUP($A63,'Data Vlaue (Cr)'!$C:$FB,122)*100</f>
        <v>-5.88</v>
      </c>
      <c r="R63" s="75">
        <f>VLOOKUP($A63,'Data Vlaue (Cr)'!$C:$FB,125)</f>
        <v>0.42</v>
      </c>
      <c r="S63" s="75">
        <f>VLOOKUP($A63,'Data Vlaue (Cr)'!$C:$FB,128)*100</f>
        <v>-14.29</v>
      </c>
    </row>
    <row r="64" spans="1:19" x14ac:dyDescent="0.25">
      <c r="A64" s="96" t="str">
        <f>'Data Vlaue (Cr)'!C55</f>
        <v>DALBHARAT</v>
      </c>
      <c r="B64" s="75">
        <f>VLOOKUP($A64,'Data Vlaue (Cr)'!$C:$FB,2)</f>
        <v>325</v>
      </c>
      <c r="C64" s="75">
        <f>VLOOKUP($A64,'Data Vlaue (Cr)'!$C:$FB,8)</f>
        <v>1983.3</v>
      </c>
      <c r="D64" s="75">
        <f>VLOOKUP($A64,'Data Vlaue (Cr)'!$C:$FB,4)</f>
        <v>1988.2</v>
      </c>
      <c r="E64" s="75">
        <f>VLOOKUP($A64,'Data Vlaue (Cr)'!$C:$FB,5)</f>
        <v>1916.5</v>
      </c>
      <c r="F64" s="75">
        <f t="shared" si="0"/>
        <v>4.9000000000000909</v>
      </c>
      <c r="G64" s="75">
        <f t="shared" si="1"/>
        <v>3.6062770345035728</v>
      </c>
      <c r="H64" s="75">
        <f>VLOOKUP($A64,'Data Vlaue (Cr)'!$C:$FB,99)</f>
        <v>792</v>
      </c>
      <c r="I64" s="75">
        <f>VLOOKUP($A64,'Data Vlaue (Cr)'!$C:$FB,100)</f>
        <v>706</v>
      </c>
      <c r="J64" s="75">
        <f t="shared" si="2"/>
        <v>86</v>
      </c>
      <c r="K64" s="75">
        <f t="shared" si="3"/>
        <v>10.85858585858586</v>
      </c>
      <c r="L64" s="75">
        <f>VLOOKUP($A64,'Data Vlaue (Cr)'!$C:$FB,67)</f>
        <v>894</v>
      </c>
      <c r="M64" s="75">
        <f>VLOOKUP($A64,'Data Vlaue (Cr)'!$C:$FB,68)</f>
        <v>511</v>
      </c>
      <c r="N64" s="75">
        <f t="shared" si="4"/>
        <v>383</v>
      </c>
      <c r="O64" s="75">
        <f t="shared" si="5"/>
        <v>42.841163310961967</v>
      </c>
      <c r="P64" s="75">
        <f>VLOOKUP($A64,'Data Vlaue (Cr)'!$C:$FB,119)</f>
        <v>0.64</v>
      </c>
      <c r="Q64" s="75">
        <f>VLOOKUP($A64,'Data Vlaue (Cr)'!$C:$FB,122)*100</f>
        <v>1.59</v>
      </c>
      <c r="R64" s="75">
        <f>VLOOKUP($A64,'Data Vlaue (Cr)'!$C:$FB,125)</f>
        <v>0.52</v>
      </c>
      <c r="S64" s="75">
        <f>VLOOKUP($A64,'Data Vlaue (Cr)'!$C:$FB,128)*100</f>
        <v>-35</v>
      </c>
    </row>
    <row r="65" spans="1:19" x14ac:dyDescent="0.25">
      <c r="A65" s="96" t="str">
        <f>'Data Vlaue (Cr)'!C56</f>
        <v>DELHIVERY</v>
      </c>
      <c r="B65" s="75">
        <f>VLOOKUP($A65,'Data Vlaue (Cr)'!$C:$FB,2)</f>
        <v>2075</v>
      </c>
      <c r="C65" s="75">
        <f>VLOOKUP($A65,'Data Vlaue (Cr)'!$C:$FB,8)</f>
        <v>467.35</v>
      </c>
      <c r="D65" s="75">
        <f>VLOOKUP($A65,'Data Vlaue (Cr)'!$C:$FB,4)</f>
        <v>469.4</v>
      </c>
      <c r="E65" s="75">
        <f>VLOOKUP($A65,'Data Vlaue (Cr)'!$C:$FB,5)</f>
        <v>469.35</v>
      </c>
      <c r="F65" s="75">
        <f t="shared" si="0"/>
        <v>2.0499999999999545</v>
      </c>
      <c r="G65" s="75">
        <f t="shared" si="1"/>
        <v>1.0651896037484987E-2</v>
      </c>
      <c r="H65" s="75">
        <f>VLOOKUP($A65,'Data Vlaue (Cr)'!$C:$FB,99)</f>
        <v>1763</v>
      </c>
      <c r="I65" s="75">
        <f>VLOOKUP($A65,'Data Vlaue (Cr)'!$C:$FB,100)</f>
        <v>1755</v>
      </c>
      <c r="J65" s="75">
        <f t="shared" si="2"/>
        <v>8</v>
      </c>
      <c r="K65" s="75">
        <f t="shared" si="3"/>
        <v>0.45377197958026094</v>
      </c>
      <c r="L65" s="75">
        <f>VLOOKUP($A65,'Data Vlaue (Cr)'!$C:$FB,67)</f>
        <v>491</v>
      </c>
      <c r="M65" s="75">
        <f>VLOOKUP($A65,'Data Vlaue (Cr)'!$C:$FB,68)</f>
        <v>487</v>
      </c>
      <c r="N65" s="75">
        <f t="shared" si="4"/>
        <v>4</v>
      </c>
      <c r="O65" s="75">
        <f t="shared" si="5"/>
        <v>0.81466395112016288</v>
      </c>
      <c r="P65" s="75">
        <f>VLOOKUP($A65,'Data Vlaue (Cr)'!$C:$FB,119)</f>
        <v>0.38</v>
      </c>
      <c r="Q65" s="75">
        <f>VLOOKUP($A65,'Data Vlaue (Cr)'!$C:$FB,122)*100</f>
        <v>-2.56</v>
      </c>
      <c r="R65" s="75">
        <f>VLOOKUP($A65,'Data Vlaue (Cr)'!$C:$FB,125)</f>
        <v>0.33</v>
      </c>
      <c r="S65" s="75">
        <f>VLOOKUP($A65,'Data Vlaue (Cr)'!$C:$FB,128)*100</f>
        <v>-19.509999999999998</v>
      </c>
    </row>
    <row r="66" spans="1:19" x14ac:dyDescent="0.25">
      <c r="A66" s="96" t="str">
        <f>'Data Vlaue (Cr)'!C57</f>
        <v>DIVISLAB</v>
      </c>
      <c r="B66" s="75">
        <f>VLOOKUP($A66,'Data Vlaue (Cr)'!$C:$FB,2)</f>
        <v>100</v>
      </c>
      <c r="C66" s="75">
        <f>VLOOKUP($A66,'Data Vlaue (Cr)'!$C:$FB,8)</f>
        <v>6619.5</v>
      </c>
      <c r="D66" s="75">
        <f>VLOOKUP($A66,'Data Vlaue (Cr)'!$C:$FB,4)</f>
        <v>6639</v>
      </c>
      <c r="E66" s="75">
        <f>VLOOKUP($A66,'Data Vlaue (Cr)'!$C:$FB,5)</f>
        <v>6541</v>
      </c>
      <c r="F66" s="75">
        <f t="shared" si="0"/>
        <v>19.5</v>
      </c>
      <c r="G66" s="75">
        <f t="shared" si="1"/>
        <v>1.4761259225787016</v>
      </c>
      <c r="H66" s="75">
        <f>VLOOKUP($A66,'Data Vlaue (Cr)'!$C:$FB,99)</f>
        <v>2261</v>
      </c>
      <c r="I66" s="75">
        <f>VLOOKUP($A66,'Data Vlaue (Cr)'!$C:$FB,100)</f>
        <v>2147</v>
      </c>
      <c r="J66" s="75">
        <f t="shared" si="2"/>
        <v>114</v>
      </c>
      <c r="K66" s="75">
        <f t="shared" si="3"/>
        <v>5.0420168067226889</v>
      </c>
      <c r="L66" s="75">
        <f>VLOOKUP($A66,'Data Vlaue (Cr)'!$C:$FB,67)</f>
        <v>1193</v>
      </c>
      <c r="M66" s="75">
        <f>VLOOKUP($A66,'Data Vlaue (Cr)'!$C:$FB,68)</f>
        <v>672</v>
      </c>
      <c r="N66" s="75">
        <f t="shared" si="4"/>
        <v>521</v>
      </c>
      <c r="O66" s="75">
        <f t="shared" si="5"/>
        <v>43.671416596814758</v>
      </c>
      <c r="P66" s="75">
        <f>VLOOKUP($A66,'Data Vlaue (Cr)'!$C:$FB,119)</f>
        <v>0.74</v>
      </c>
      <c r="Q66" s="75">
        <f>VLOOKUP($A66,'Data Vlaue (Cr)'!$C:$FB,122)*100</f>
        <v>-1.3299999999999998</v>
      </c>
      <c r="R66" s="75">
        <f>VLOOKUP($A66,'Data Vlaue (Cr)'!$C:$FB,125)</f>
        <v>0.35</v>
      </c>
      <c r="S66" s="75">
        <f>VLOOKUP($A66,'Data Vlaue (Cr)'!$C:$FB,128)*100</f>
        <v>-25.53</v>
      </c>
    </row>
    <row r="67" spans="1:19" x14ac:dyDescent="0.25">
      <c r="A67" s="96" t="str">
        <f>'Data Vlaue (Cr)'!C58</f>
        <v>DIXON</v>
      </c>
      <c r="B67" s="75">
        <f>VLOOKUP($A67,'Data Vlaue (Cr)'!$C:$FB,2)</f>
        <v>50</v>
      </c>
      <c r="C67" s="75">
        <f>VLOOKUP($A67,'Data Vlaue (Cr)'!$C:$FB,8)</f>
        <v>11408</v>
      </c>
      <c r="D67" s="75">
        <f>VLOOKUP($A67,'Data Vlaue (Cr)'!$C:$FB,4)</f>
        <v>11472</v>
      </c>
      <c r="E67" s="75">
        <f>VLOOKUP($A67,'Data Vlaue (Cr)'!$C:$FB,5)</f>
        <v>11234.5</v>
      </c>
      <c r="F67" s="75">
        <f t="shared" si="0"/>
        <v>64</v>
      </c>
      <c r="G67" s="75">
        <f t="shared" si="1"/>
        <v>2.0702580195258018</v>
      </c>
      <c r="H67" s="75">
        <f>VLOOKUP($A67,'Data Vlaue (Cr)'!$C:$FB,99)</f>
        <v>5515</v>
      </c>
      <c r="I67" s="75">
        <f>VLOOKUP($A67,'Data Vlaue (Cr)'!$C:$FB,100)</f>
        <v>5442</v>
      </c>
      <c r="J67" s="75">
        <f t="shared" si="2"/>
        <v>73</v>
      </c>
      <c r="K67" s="75">
        <f t="shared" si="3"/>
        <v>1.3236627379873074</v>
      </c>
      <c r="L67" s="75">
        <f>VLOOKUP($A67,'Data Vlaue (Cr)'!$C:$FB,67)</f>
        <v>2419</v>
      </c>
      <c r="M67" s="75">
        <f>VLOOKUP($A67,'Data Vlaue (Cr)'!$C:$FB,68)</f>
        <v>2971</v>
      </c>
      <c r="N67" s="75">
        <f t="shared" si="4"/>
        <v>-552</v>
      </c>
      <c r="O67" s="75">
        <f t="shared" si="5"/>
        <v>-22.819346837536173</v>
      </c>
      <c r="P67" s="75">
        <f>VLOOKUP($A67,'Data Vlaue (Cr)'!$C:$FB,119)</f>
        <v>0.94</v>
      </c>
      <c r="Q67" s="75">
        <f>VLOOKUP($A67,'Data Vlaue (Cr)'!$C:$FB,122)*100</f>
        <v>2.17</v>
      </c>
      <c r="R67" s="75">
        <f>VLOOKUP($A67,'Data Vlaue (Cr)'!$C:$FB,125)</f>
        <v>0.74</v>
      </c>
      <c r="S67" s="75">
        <f>VLOOKUP($A67,'Data Vlaue (Cr)'!$C:$FB,128)*100</f>
        <v>10.45</v>
      </c>
    </row>
    <row r="68" spans="1:19" x14ac:dyDescent="0.25">
      <c r="A68" s="96" t="str">
        <f>'Data Vlaue (Cr)'!C59</f>
        <v>DLF</v>
      </c>
      <c r="B68" s="75">
        <f>VLOOKUP($A68,'Data Vlaue (Cr)'!$C:$FB,2)</f>
        <v>825</v>
      </c>
      <c r="C68" s="75">
        <f>VLOOKUP($A68,'Data Vlaue (Cr)'!$C:$FB,8)</f>
        <v>607.20000000000005</v>
      </c>
      <c r="D68" s="75">
        <f>VLOOKUP($A68,'Data Vlaue (Cr)'!$C:$FB,4)</f>
        <v>608.79999999999995</v>
      </c>
      <c r="E68" s="75">
        <f>VLOOKUP($A68,'Data Vlaue (Cr)'!$C:$FB,5)</f>
        <v>590.35</v>
      </c>
      <c r="F68" s="75">
        <f t="shared" si="0"/>
        <v>1.5999999999999091</v>
      </c>
      <c r="G68" s="75">
        <f t="shared" si="1"/>
        <v>3.0305519053876369</v>
      </c>
      <c r="H68" s="75">
        <f>VLOOKUP($A68,'Data Vlaue (Cr)'!$C:$FB,99)</f>
        <v>3558</v>
      </c>
      <c r="I68" s="75">
        <f>VLOOKUP($A68,'Data Vlaue (Cr)'!$C:$FB,100)</f>
        <v>3465</v>
      </c>
      <c r="J68" s="75">
        <f t="shared" si="2"/>
        <v>93</v>
      </c>
      <c r="K68" s="75">
        <f t="shared" si="3"/>
        <v>2.6138279932546373</v>
      </c>
      <c r="L68" s="75">
        <f>VLOOKUP($A68,'Data Vlaue (Cr)'!$C:$FB,67)</f>
        <v>1314</v>
      </c>
      <c r="M68" s="75">
        <f>VLOOKUP($A68,'Data Vlaue (Cr)'!$C:$FB,68)</f>
        <v>1037</v>
      </c>
      <c r="N68" s="75">
        <f t="shared" si="4"/>
        <v>277</v>
      </c>
      <c r="O68" s="75">
        <f t="shared" si="5"/>
        <v>21.080669710806696</v>
      </c>
      <c r="P68" s="75">
        <f>VLOOKUP($A68,'Data Vlaue (Cr)'!$C:$FB,119)</f>
        <v>0.81</v>
      </c>
      <c r="Q68" s="75">
        <f>VLOOKUP($A68,'Data Vlaue (Cr)'!$C:$FB,122)*100</f>
        <v>-7.95</v>
      </c>
      <c r="R68" s="75">
        <f>VLOOKUP($A68,'Data Vlaue (Cr)'!$C:$FB,125)</f>
        <v>0.42</v>
      </c>
      <c r="S68" s="75">
        <f>VLOOKUP($A68,'Data Vlaue (Cr)'!$C:$FB,128)*100</f>
        <v>-68.179999999999993</v>
      </c>
    </row>
    <row r="69" spans="1:19" x14ac:dyDescent="0.25">
      <c r="A69" s="96" t="str">
        <f>'Data Vlaue (Cr)'!C60</f>
        <v>DMART</v>
      </c>
      <c r="B69" s="75">
        <f>VLOOKUP($A69,'Data Vlaue (Cr)'!$C:$FB,2)</f>
        <v>150</v>
      </c>
      <c r="C69" s="75">
        <f>VLOOKUP($A69,'Data Vlaue (Cr)'!$C:$FB,8)</f>
        <v>4376.5</v>
      </c>
      <c r="D69" s="75">
        <f>VLOOKUP($A69,'Data Vlaue (Cr)'!$C:$FB,4)</f>
        <v>4362.2</v>
      </c>
      <c r="E69" s="75">
        <f>VLOOKUP($A69,'Data Vlaue (Cr)'!$C:$FB,5)</f>
        <v>4615.8</v>
      </c>
      <c r="F69" s="75">
        <f t="shared" si="0"/>
        <v>-14.300000000000182</v>
      </c>
      <c r="G69" s="75">
        <f t="shared" si="1"/>
        <v>-5.8135803035165825</v>
      </c>
      <c r="H69" s="75">
        <f>VLOOKUP($A69,'Data Vlaue (Cr)'!$C:$FB,99)</f>
        <v>2927</v>
      </c>
      <c r="I69" s="75">
        <f>VLOOKUP($A69,'Data Vlaue (Cr)'!$C:$FB,100)</f>
        <v>1993</v>
      </c>
      <c r="J69" s="75">
        <f t="shared" si="2"/>
        <v>934</v>
      </c>
      <c r="K69" s="75">
        <f t="shared" si="3"/>
        <v>31.909805261359754</v>
      </c>
      <c r="L69" s="75">
        <f>VLOOKUP($A69,'Data Vlaue (Cr)'!$C:$FB,67)</f>
        <v>6112</v>
      </c>
      <c r="M69" s="75">
        <f>VLOOKUP($A69,'Data Vlaue (Cr)'!$C:$FB,68)</f>
        <v>1153</v>
      </c>
      <c r="N69" s="75">
        <f t="shared" si="4"/>
        <v>4959</v>
      </c>
      <c r="O69" s="75">
        <f t="shared" si="5"/>
        <v>81.135471204188477</v>
      </c>
      <c r="P69" s="75">
        <f>VLOOKUP($A69,'Data Vlaue (Cr)'!$C:$FB,119)</f>
        <v>0.48</v>
      </c>
      <c r="Q69" s="75">
        <f>VLOOKUP($A69,'Data Vlaue (Cr)'!$C:$FB,122)*100</f>
        <v>-30.43</v>
      </c>
      <c r="R69" s="75">
        <f>VLOOKUP($A69,'Data Vlaue (Cr)'!$C:$FB,125)</f>
        <v>0.49</v>
      </c>
      <c r="S69" s="75">
        <f>VLOOKUP($A69,'Data Vlaue (Cr)'!$C:$FB,128)*100</f>
        <v>-12.5</v>
      </c>
    </row>
    <row r="70" spans="1:19" x14ac:dyDescent="0.25">
      <c r="A70" s="96" t="str">
        <f>'Data Vlaue (Cr)'!C61</f>
        <v>DRREDDY</v>
      </c>
      <c r="B70" s="75">
        <f>VLOOKUP($A70,'Data Vlaue (Cr)'!$C:$FB,2)</f>
        <v>625</v>
      </c>
      <c r="C70" s="75">
        <f>VLOOKUP($A70,'Data Vlaue (Cr)'!$C:$FB,8)</f>
        <v>1287.2</v>
      </c>
      <c r="D70" s="75">
        <f>VLOOKUP($A70,'Data Vlaue (Cr)'!$C:$FB,4)</f>
        <v>1281.2</v>
      </c>
      <c r="E70" s="75">
        <f>VLOOKUP($A70,'Data Vlaue (Cr)'!$C:$FB,5)</f>
        <v>1321</v>
      </c>
      <c r="F70" s="75">
        <f t="shared" si="0"/>
        <v>-6</v>
      </c>
      <c r="G70" s="75">
        <f t="shared" si="1"/>
        <v>-3.1064626912269708</v>
      </c>
      <c r="H70" s="75">
        <f>VLOOKUP($A70,'Data Vlaue (Cr)'!$C:$FB,99)</f>
        <v>3727</v>
      </c>
      <c r="I70" s="75">
        <f>VLOOKUP($A70,'Data Vlaue (Cr)'!$C:$FB,100)</f>
        <v>3352</v>
      </c>
      <c r="J70" s="75">
        <f t="shared" si="2"/>
        <v>375</v>
      </c>
      <c r="K70" s="75">
        <f t="shared" si="3"/>
        <v>10.061711832573115</v>
      </c>
      <c r="L70" s="75">
        <f>VLOOKUP($A70,'Data Vlaue (Cr)'!$C:$FB,67)</f>
        <v>2851</v>
      </c>
      <c r="M70" s="75">
        <f>VLOOKUP($A70,'Data Vlaue (Cr)'!$C:$FB,68)</f>
        <v>1797</v>
      </c>
      <c r="N70" s="75">
        <f t="shared" si="4"/>
        <v>1054</v>
      </c>
      <c r="O70" s="75">
        <f t="shared" si="5"/>
        <v>36.969484391441597</v>
      </c>
      <c r="P70" s="75">
        <f>VLOOKUP($A70,'Data Vlaue (Cr)'!$C:$FB,119)</f>
        <v>0.51</v>
      </c>
      <c r="Q70" s="75">
        <f>VLOOKUP($A70,'Data Vlaue (Cr)'!$C:$FB,122)*100</f>
        <v>-12.07</v>
      </c>
      <c r="R70" s="75">
        <f>VLOOKUP($A70,'Data Vlaue (Cr)'!$C:$FB,125)</f>
        <v>0.6</v>
      </c>
      <c r="S70" s="75">
        <f>VLOOKUP($A70,'Data Vlaue (Cr)'!$C:$FB,128)*100</f>
        <v>-11.76</v>
      </c>
    </row>
    <row r="71" spans="1:19" x14ac:dyDescent="0.25">
      <c r="A71" s="96" t="str">
        <f>'Data Vlaue (Cr)'!C62</f>
        <v>EICHERMOT</v>
      </c>
      <c r="B71" s="75">
        <f>VLOOKUP($A71,'Data Vlaue (Cr)'!$C:$FB,2)</f>
        <v>100</v>
      </c>
      <c r="C71" s="75">
        <f>VLOOKUP($A71,'Data Vlaue (Cr)'!$C:$FB,8)</f>
        <v>7329</v>
      </c>
      <c r="D71" s="75">
        <f>VLOOKUP($A71,'Data Vlaue (Cr)'!$C:$FB,4)</f>
        <v>7346</v>
      </c>
      <c r="E71" s="75">
        <f>VLOOKUP($A71,'Data Vlaue (Cr)'!$C:$FB,5)</f>
        <v>7149</v>
      </c>
      <c r="F71" s="75">
        <f t="shared" si="0"/>
        <v>17</v>
      </c>
      <c r="G71" s="75">
        <f t="shared" si="1"/>
        <v>2.6817315545875307</v>
      </c>
      <c r="H71" s="75">
        <f>VLOOKUP($A71,'Data Vlaue (Cr)'!$C:$FB,99)</f>
        <v>3955</v>
      </c>
      <c r="I71" s="75">
        <f>VLOOKUP($A71,'Data Vlaue (Cr)'!$C:$FB,100)</f>
        <v>3817</v>
      </c>
      <c r="J71" s="75">
        <f t="shared" si="2"/>
        <v>138</v>
      </c>
      <c r="K71" s="75">
        <f t="shared" si="3"/>
        <v>3.4892541087231352</v>
      </c>
      <c r="L71" s="75">
        <f>VLOOKUP($A71,'Data Vlaue (Cr)'!$C:$FB,67)</f>
        <v>2784</v>
      </c>
      <c r="M71" s="75">
        <f>VLOOKUP($A71,'Data Vlaue (Cr)'!$C:$FB,68)</f>
        <v>1889</v>
      </c>
      <c r="N71" s="75">
        <f t="shared" si="4"/>
        <v>895</v>
      </c>
      <c r="O71" s="75">
        <f t="shared" si="5"/>
        <v>32.147988505747129</v>
      </c>
      <c r="P71" s="75">
        <f>VLOOKUP($A71,'Data Vlaue (Cr)'!$C:$FB,119)</f>
        <v>0.79</v>
      </c>
      <c r="Q71" s="75">
        <f>VLOOKUP($A71,'Data Vlaue (Cr)'!$C:$FB,122)*100</f>
        <v>-9.1999999999999993</v>
      </c>
      <c r="R71" s="75">
        <f>VLOOKUP($A71,'Data Vlaue (Cr)'!$C:$FB,125)</f>
        <v>0.34</v>
      </c>
      <c r="S71" s="75">
        <f>VLOOKUP($A71,'Data Vlaue (Cr)'!$C:$FB,128)*100</f>
        <v>-63.44</v>
      </c>
    </row>
    <row r="72" spans="1:19" x14ac:dyDescent="0.25">
      <c r="A72" s="96" t="str">
        <f>'Data Vlaue (Cr)'!C63</f>
        <v>ETERNAL</v>
      </c>
      <c r="B72" s="75">
        <f>VLOOKUP($A72,'Data Vlaue (Cr)'!$C:$FB,2)</f>
        <v>2425</v>
      </c>
      <c r="C72" s="75">
        <f>VLOOKUP($A72,'Data Vlaue (Cr)'!$C:$FB,8)</f>
        <v>251.9</v>
      </c>
      <c r="D72" s="75">
        <f>VLOOKUP($A72,'Data Vlaue (Cr)'!$C:$FB,4)</f>
        <v>253.32</v>
      </c>
      <c r="E72" s="75">
        <f>VLOOKUP($A72,'Data Vlaue (Cr)'!$C:$FB,5)</f>
        <v>248.46</v>
      </c>
      <c r="F72" s="75">
        <f t="shared" si="0"/>
        <v>1.4199999999999875</v>
      </c>
      <c r="G72" s="75">
        <f t="shared" si="1"/>
        <v>1.9185220274751245</v>
      </c>
      <c r="H72" s="75">
        <f>VLOOKUP($A72,'Data Vlaue (Cr)'!$C:$FB,99)</f>
        <v>8909</v>
      </c>
      <c r="I72" s="75">
        <f>VLOOKUP($A72,'Data Vlaue (Cr)'!$C:$FB,100)</f>
        <v>8827</v>
      </c>
      <c r="J72" s="75">
        <f t="shared" si="2"/>
        <v>82</v>
      </c>
      <c r="K72" s="75">
        <f t="shared" si="3"/>
        <v>0.92041755528117641</v>
      </c>
      <c r="L72" s="75">
        <f>VLOOKUP($A72,'Data Vlaue (Cr)'!$C:$FB,67)</f>
        <v>4454</v>
      </c>
      <c r="M72" s="75">
        <f>VLOOKUP($A72,'Data Vlaue (Cr)'!$C:$FB,68)</f>
        <v>6831</v>
      </c>
      <c r="N72" s="75">
        <f t="shared" si="4"/>
        <v>-2377</v>
      </c>
      <c r="O72" s="75">
        <f t="shared" si="5"/>
        <v>-53.367759317467446</v>
      </c>
      <c r="P72" s="75">
        <f>VLOOKUP($A72,'Data Vlaue (Cr)'!$C:$FB,119)</f>
        <v>0.54</v>
      </c>
      <c r="Q72" s="75">
        <f>VLOOKUP($A72,'Data Vlaue (Cr)'!$C:$FB,122)*100</f>
        <v>1.8900000000000001</v>
      </c>
      <c r="R72" s="75">
        <f>VLOOKUP($A72,'Data Vlaue (Cr)'!$C:$FB,125)</f>
        <v>0.51</v>
      </c>
      <c r="S72" s="75">
        <f>VLOOKUP($A72,'Data Vlaue (Cr)'!$C:$FB,128)*100</f>
        <v>-7.2700000000000005</v>
      </c>
    </row>
    <row r="73" spans="1:19" x14ac:dyDescent="0.25">
      <c r="A73" s="96" t="str">
        <f>'Data Vlaue (Cr)'!C64</f>
        <v>EXIDEIND</v>
      </c>
      <c r="B73" s="75">
        <f>VLOOKUP($A73,'Data Vlaue (Cr)'!$C:$FB,2)</f>
        <v>1800</v>
      </c>
      <c r="C73" s="75">
        <f>VLOOKUP($A73,'Data Vlaue (Cr)'!$C:$FB,8)</f>
        <v>359.05</v>
      </c>
      <c r="D73" s="75">
        <f>VLOOKUP($A73,'Data Vlaue (Cr)'!$C:$FB,4)</f>
        <v>360.35</v>
      </c>
      <c r="E73" s="75">
        <f>VLOOKUP($A73,'Data Vlaue (Cr)'!$C:$FB,5)</f>
        <v>361.9</v>
      </c>
      <c r="F73" s="75">
        <f t="shared" si="0"/>
        <v>1.3000000000000114</v>
      </c>
      <c r="G73" s="75">
        <f t="shared" si="1"/>
        <v>-0.43013736644927281</v>
      </c>
      <c r="H73" s="75">
        <f>VLOOKUP($A73,'Data Vlaue (Cr)'!$C:$FB,99)</f>
        <v>1888</v>
      </c>
      <c r="I73" s="75">
        <f>VLOOKUP($A73,'Data Vlaue (Cr)'!$C:$FB,100)</f>
        <v>1592</v>
      </c>
      <c r="J73" s="75">
        <f t="shared" si="2"/>
        <v>296</v>
      </c>
      <c r="K73" s="75">
        <f t="shared" si="3"/>
        <v>15.677966101694915</v>
      </c>
      <c r="L73" s="75">
        <f>VLOOKUP($A73,'Data Vlaue (Cr)'!$C:$FB,67)</f>
        <v>4110</v>
      </c>
      <c r="M73" s="75">
        <f>VLOOKUP($A73,'Data Vlaue (Cr)'!$C:$FB,68)</f>
        <v>554</v>
      </c>
      <c r="N73" s="75">
        <f t="shared" si="4"/>
        <v>3556</v>
      </c>
      <c r="O73" s="75">
        <f t="shared" si="5"/>
        <v>86.520681265206818</v>
      </c>
      <c r="P73" s="75">
        <f>VLOOKUP($A73,'Data Vlaue (Cr)'!$C:$FB,119)</f>
        <v>0.62</v>
      </c>
      <c r="Q73" s="75">
        <f>VLOOKUP($A73,'Data Vlaue (Cr)'!$C:$FB,122)*100</f>
        <v>-7.46</v>
      </c>
      <c r="R73" s="75">
        <f>VLOOKUP($A73,'Data Vlaue (Cr)'!$C:$FB,125)</f>
        <v>0.49</v>
      </c>
      <c r="S73" s="75">
        <f>VLOOKUP($A73,'Data Vlaue (Cr)'!$C:$FB,128)*100</f>
        <v>4.26</v>
      </c>
    </row>
    <row r="74" spans="1:19" x14ac:dyDescent="0.25">
      <c r="A74" s="96" t="str">
        <f>'Data Vlaue (Cr)'!C65</f>
        <v>FEDERALBNK</v>
      </c>
      <c r="B74" s="75">
        <f>VLOOKUP($A74,'Data Vlaue (Cr)'!$C:$FB,2)</f>
        <v>2500</v>
      </c>
      <c r="C74" s="75">
        <f>VLOOKUP($A74,'Data Vlaue (Cr)'!$C:$FB,8)</f>
        <v>289.14999999999998</v>
      </c>
      <c r="D74" s="75">
        <f>VLOOKUP($A74,'Data Vlaue (Cr)'!$C:$FB,4)</f>
        <v>290.75</v>
      </c>
      <c r="E74" s="75">
        <f>VLOOKUP($A74,'Data Vlaue (Cr)'!$C:$FB,5)</f>
        <v>287.8</v>
      </c>
      <c r="F74" s="75">
        <f t="shared" si="0"/>
        <v>1.6000000000000227</v>
      </c>
      <c r="G74" s="75">
        <f t="shared" si="1"/>
        <v>1.0146173688735989</v>
      </c>
      <c r="H74" s="75">
        <f>VLOOKUP($A74,'Data Vlaue (Cr)'!$C:$FB,99)</f>
        <v>4045</v>
      </c>
      <c r="I74" s="75">
        <f>VLOOKUP($A74,'Data Vlaue (Cr)'!$C:$FB,100)</f>
        <v>4032</v>
      </c>
      <c r="J74" s="75">
        <f t="shared" si="2"/>
        <v>13</v>
      </c>
      <c r="K74" s="75">
        <f t="shared" si="3"/>
        <v>0.32138442521631644</v>
      </c>
      <c r="L74" s="75">
        <f>VLOOKUP($A74,'Data Vlaue (Cr)'!$C:$FB,67)</f>
        <v>2093</v>
      </c>
      <c r="M74" s="75">
        <f>VLOOKUP($A74,'Data Vlaue (Cr)'!$C:$FB,68)</f>
        <v>3778</v>
      </c>
      <c r="N74" s="75">
        <f t="shared" si="4"/>
        <v>-1685</v>
      </c>
      <c r="O74" s="75">
        <f t="shared" si="5"/>
        <v>-80.506450071667473</v>
      </c>
      <c r="P74" s="75">
        <f>VLOOKUP($A74,'Data Vlaue (Cr)'!$C:$FB,119)</f>
        <v>0.54</v>
      </c>
      <c r="Q74" s="75">
        <f>VLOOKUP($A74,'Data Vlaue (Cr)'!$C:$FB,122)*100</f>
        <v>5.88</v>
      </c>
      <c r="R74" s="75">
        <f>VLOOKUP($A74,'Data Vlaue (Cr)'!$C:$FB,125)</f>
        <v>0.46</v>
      </c>
      <c r="S74" s="75">
        <f>VLOOKUP($A74,'Data Vlaue (Cr)'!$C:$FB,128)*100</f>
        <v>15</v>
      </c>
    </row>
    <row r="75" spans="1:19" x14ac:dyDescent="0.25">
      <c r="A75" s="96" t="str">
        <f>'Data Vlaue (Cr)'!C66</f>
        <v>FINNIFTY</v>
      </c>
      <c r="B75" s="75">
        <f>VLOOKUP($A75,'Data Vlaue (Cr)'!$C:$FB,2)</f>
        <v>60</v>
      </c>
      <c r="C75" s="75">
        <f>VLOOKUP($A75,'Data Vlaue (Cr)'!$C:$FB,8)</f>
        <v>25814.400000000001</v>
      </c>
      <c r="D75" s="75">
        <f>VLOOKUP($A75,'Data Vlaue (Cr)'!$C:$FB,4)</f>
        <v>25943.200000000001</v>
      </c>
      <c r="E75" s="75">
        <f>VLOOKUP($A75,'Data Vlaue (Cr)'!$C:$FB,5)</f>
        <v>25782.799999999999</v>
      </c>
      <c r="F75" s="75">
        <f t="shared" si="0"/>
        <v>128.79999999999927</v>
      </c>
      <c r="G75" s="75">
        <f>(D75-E75)/D75*100</f>
        <v>0.61827376730704564</v>
      </c>
      <c r="H75" s="75">
        <f>VLOOKUP($A75,'Data Vlaue (Cr)'!$C:$FB,99)</f>
        <v>677</v>
      </c>
      <c r="I75" s="75">
        <f>VLOOKUP($A75,'Data Vlaue (Cr)'!$C:$FB,100)</f>
        <v>469</v>
      </c>
      <c r="J75" s="75">
        <f t="shared" si="2"/>
        <v>208</v>
      </c>
      <c r="K75" s="75">
        <f t="shared" si="3"/>
        <v>30.723781388478582</v>
      </c>
      <c r="L75" s="75">
        <f>VLOOKUP($A75,'Data Vlaue (Cr)'!$C:$FB,67)</f>
        <v>1219</v>
      </c>
      <c r="M75" s="75">
        <f>VLOOKUP($A75,'Data Vlaue (Cr)'!$C:$FB,68)</f>
        <v>841</v>
      </c>
      <c r="N75" s="75">
        <f t="shared" si="4"/>
        <v>378</v>
      </c>
      <c r="O75" s="75">
        <f t="shared" si="5"/>
        <v>31.009023789991797</v>
      </c>
      <c r="P75" s="75">
        <f>VLOOKUP($A75,'Data Vlaue (Cr)'!$C:$FB,119)</f>
        <v>0.61</v>
      </c>
      <c r="Q75" s="75">
        <f>VLOOKUP($A75,'Data Vlaue (Cr)'!$C:$FB,122)*100</f>
        <v>38.64</v>
      </c>
      <c r="R75" s="75">
        <f>VLOOKUP($A75,'Data Vlaue (Cr)'!$C:$FB,125)</f>
        <v>0.62</v>
      </c>
      <c r="S75" s="75">
        <f>VLOOKUP($A75,'Data Vlaue (Cr)'!$C:$FB,128)*100</f>
        <v>-18.420000000000002</v>
      </c>
    </row>
    <row r="76" spans="1:19" x14ac:dyDescent="0.25">
      <c r="A76" s="96" t="str">
        <f>'Data Vlaue (Cr)'!C67</f>
        <v>FORCEMOT</v>
      </c>
      <c r="B76" s="75">
        <f>VLOOKUP($A76,'Data Vlaue (Cr)'!$C:$FB,2)</f>
        <v>25</v>
      </c>
      <c r="C76" s="75">
        <f>VLOOKUP($A76,'Data Vlaue (Cr)'!$C:$FB,8)</f>
        <v>19331</v>
      </c>
      <c r="D76" s="75">
        <f>VLOOKUP($A76,'Data Vlaue (Cr)'!$C:$FB,4)</f>
        <v>19109</v>
      </c>
      <c r="E76" s="75">
        <f>VLOOKUP($A76,'Data Vlaue (Cr)'!$C:$FB,5)</f>
        <v>19594</v>
      </c>
      <c r="F76" s="75">
        <f t="shared" ref="F76:F139" si="6">D76-C76</f>
        <v>-222</v>
      </c>
      <c r="G76" s="75">
        <f t="shared" ref="G76:G139" si="7">(D76-E76)/D76*100</f>
        <v>-2.5380710659898478</v>
      </c>
      <c r="H76" s="75">
        <f>VLOOKUP($A76,'Data Vlaue (Cr)'!$C:$FB,99)</f>
        <v>950</v>
      </c>
      <c r="I76" s="75">
        <f>VLOOKUP($A76,'Data Vlaue (Cr)'!$C:$FB,100)</f>
        <v>873</v>
      </c>
      <c r="J76" s="75">
        <f t="shared" ref="J76:J139" si="8">H76-I76</f>
        <v>77</v>
      </c>
      <c r="K76" s="75">
        <f t="shared" ref="K76:K139" si="9">J76/H76*100</f>
        <v>8.1052631578947363</v>
      </c>
      <c r="L76" s="75">
        <f>VLOOKUP($A76,'Data Vlaue (Cr)'!$C:$FB,67)</f>
        <v>675</v>
      </c>
      <c r="M76" s="75">
        <f>VLOOKUP($A76,'Data Vlaue (Cr)'!$C:$FB,68)</f>
        <v>1186</v>
      </c>
      <c r="N76" s="75">
        <f t="shared" ref="N76:N139" si="10">L76-M76</f>
        <v>-511</v>
      </c>
      <c r="O76" s="75">
        <f t="shared" ref="O76:O139" si="11">N76/L76*100</f>
        <v>-75.703703703703709</v>
      </c>
      <c r="P76" s="75">
        <f>VLOOKUP($A76,'Data Vlaue (Cr)'!$C:$FB,119)</f>
        <v>0.34</v>
      </c>
      <c r="Q76" s="75">
        <f>VLOOKUP($A76,'Data Vlaue (Cr)'!$C:$FB,122)*100</f>
        <v>-15</v>
      </c>
      <c r="R76" s="75">
        <f>VLOOKUP($A76,'Data Vlaue (Cr)'!$C:$FB,125)</f>
        <v>0.27</v>
      </c>
      <c r="S76" s="75">
        <f>VLOOKUP($A76,'Data Vlaue (Cr)'!$C:$FB,128)*100</f>
        <v>-52.629999999999995</v>
      </c>
    </row>
    <row r="77" spans="1:19" x14ac:dyDescent="0.25">
      <c r="A77" s="96" t="str">
        <f>'Data Vlaue (Cr)'!C68</f>
        <v>FORTIS</v>
      </c>
      <c r="B77" s="75">
        <f>VLOOKUP($A77,'Data Vlaue (Cr)'!$C:$FB,2)</f>
        <v>775</v>
      </c>
      <c r="C77" s="75">
        <f>VLOOKUP($A77,'Data Vlaue (Cr)'!$C:$FB,8)</f>
        <v>952.9</v>
      </c>
      <c r="D77" s="75">
        <f>VLOOKUP($A77,'Data Vlaue (Cr)'!$C:$FB,4)</f>
        <v>956.15</v>
      </c>
      <c r="E77" s="75">
        <f>VLOOKUP($A77,'Data Vlaue (Cr)'!$C:$FB,5)</f>
        <v>927.9</v>
      </c>
      <c r="F77" s="75">
        <f t="shared" si="6"/>
        <v>3.25</v>
      </c>
      <c r="G77" s="75">
        <f t="shared" si="7"/>
        <v>2.9545573393296034</v>
      </c>
      <c r="H77" s="75">
        <f>VLOOKUP($A77,'Data Vlaue (Cr)'!$C:$FB,99)</f>
        <v>1122</v>
      </c>
      <c r="I77" s="75">
        <f>VLOOKUP($A77,'Data Vlaue (Cr)'!$C:$FB,100)</f>
        <v>1073</v>
      </c>
      <c r="J77" s="75">
        <f t="shared" si="8"/>
        <v>49</v>
      </c>
      <c r="K77" s="75">
        <f t="shared" si="9"/>
        <v>4.3672014260249554</v>
      </c>
      <c r="L77" s="75">
        <f>VLOOKUP($A77,'Data Vlaue (Cr)'!$C:$FB,67)</f>
        <v>492</v>
      </c>
      <c r="M77" s="75">
        <f>VLOOKUP($A77,'Data Vlaue (Cr)'!$C:$FB,68)</f>
        <v>237</v>
      </c>
      <c r="N77" s="75">
        <f t="shared" si="10"/>
        <v>255</v>
      </c>
      <c r="O77" s="75">
        <f t="shared" si="11"/>
        <v>51.829268292682926</v>
      </c>
      <c r="P77" s="75">
        <f>VLOOKUP($A77,'Data Vlaue (Cr)'!$C:$FB,119)</f>
        <v>0.53</v>
      </c>
      <c r="Q77" s="75">
        <f>VLOOKUP($A77,'Data Vlaue (Cr)'!$C:$FB,122)*100</f>
        <v>-5.36</v>
      </c>
      <c r="R77" s="75">
        <f>VLOOKUP($A77,'Data Vlaue (Cr)'!$C:$FB,125)</f>
        <v>0.37</v>
      </c>
      <c r="S77" s="75">
        <f>VLOOKUP($A77,'Data Vlaue (Cr)'!$C:$FB,128)*100</f>
        <v>-65.09</v>
      </c>
    </row>
    <row r="78" spans="1:19" x14ac:dyDescent="0.25">
      <c r="A78" s="96" t="str">
        <f>'Data Vlaue (Cr)'!C69</f>
        <v>GAIL</v>
      </c>
      <c r="B78" s="75">
        <f>VLOOKUP($A78,'Data Vlaue (Cr)'!$C:$FB,2)</f>
        <v>3150</v>
      </c>
      <c r="C78" s="75">
        <f>VLOOKUP($A78,'Data Vlaue (Cr)'!$C:$FB,8)</f>
        <v>164.48</v>
      </c>
      <c r="D78" s="75">
        <f>VLOOKUP($A78,'Data Vlaue (Cr)'!$C:$FB,4)</f>
        <v>165.37</v>
      </c>
      <c r="E78" s="75">
        <f>VLOOKUP($A78,'Data Vlaue (Cr)'!$C:$FB,5)</f>
        <v>163.84</v>
      </c>
      <c r="F78" s="75">
        <f t="shared" si="6"/>
        <v>0.89000000000001478</v>
      </c>
      <c r="G78" s="75">
        <f t="shared" si="7"/>
        <v>0.92519804075709078</v>
      </c>
      <c r="H78" s="75">
        <f>VLOOKUP($A78,'Data Vlaue (Cr)'!$C:$FB,99)</f>
        <v>1822</v>
      </c>
      <c r="I78" s="75">
        <f>VLOOKUP($A78,'Data Vlaue (Cr)'!$C:$FB,100)</f>
        <v>1809</v>
      </c>
      <c r="J78" s="75">
        <f t="shared" si="8"/>
        <v>13</v>
      </c>
      <c r="K78" s="75">
        <f t="shared" si="9"/>
        <v>0.71350164654226134</v>
      </c>
      <c r="L78" s="75">
        <f>VLOOKUP($A78,'Data Vlaue (Cr)'!$C:$FB,67)</f>
        <v>573</v>
      </c>
      <c r="M78" s="75">
        <f>VLOOKUP($A78,'Data Vlaue (Cr)'!$C:$FB,68)</f>
        <v>483</v>
      </c>
      <c r="N78" s="75">
        <f t="shared" si="10"/>
        <v>90</v>
      </c>
      <c r="O78" s="75">
        <f t="shared" si="11"/>
        <v>15.706806282722512</v>
      </c>
      <c r="P78" s="75">
        <f>VLOOKUP($A78,'Data Vlaue (Cr)'!$C:$FB,119)</f>
        <v>1.06</v>
      </c>
      <c r="Q78" s="75">
        <f>VLOOKUP($A78,'Data Vlaue (Cr)'!$C:$FB,122)*100</f>
        <v>-0.92999999999999994</v>
      </c>
      <c r="R78" s="75">
        <f>VLOOKUP($A78,'Data Vlaue (Cr)'!$C:$FB,125)</f>
        <v>0.47</v>
      </c>
      <c r="S78" s="75">
        <f>VLOOKUP($A78,'Data Vlaue (Cr)'!$C:$FB,128)*100</f>
        <v>-33.800000000000004</v>
      </c>
    </row>
    <row r="79" spans="1:19" x14ac:dyDescent="0.25">
      <c r="A79" s="96" t="str">
        <f>'Data Vlaue (Cr)'!C70</f>
        <v>GLENMARK</v>
      </c>
      <c r="B79" s="75">
        <f>VLOOKUP($A79,'Data Vlaue (Cr)'!$C:$FB,2)</f>
        <v>375</v>
      </c>
      <c r="C79" s="75">
        <f>VLOOKUP($A79,'Data Vlaue (Cr)'!$C:$FB,8)</f>
        <v>2393.6999999999998</v>
      </c>
      <c r="D79" s="75">
        <f>VLOOKUP($A79,'Data Vlaue (Cr)'!$C:$FB,4)</f>
        <v>2404.9</v>
      </c>
      <c r="E79" s="75">
        <f>VLOOKUP($A79,'Data Vlaue (Cr)'!$C:$FB,5)</f>
        <v>2420.8000000000002</v>
      </c>
      <c r="F79" s="75">
        <f t="shared" si="6"/>
        <v>11.200000000000273</v>
      </c>
      <c r="G79" s="75">
        <f t="shared" si="7"/>
        <v>-0.66115015177346625</v>
      </c>
      <c r="H79" s="75">
        <f>VLOOKUP($A79,'Data Vlaue (Cr)'!$C:$FB,99)</f>
        <v>3332</v>
      </c>
      <c r="I79" s="75">
        <f>VLOOKUP($A79,'Data Vlaue (Cr)'!$C:$FB,100)</f>
        <v>3296</v>
      </c>
      <c r="J79" s="75">
        <f t="shared" si="8"/>
        <v>36</v>
      </c>
      <c r="K79" s="75">
        <f t="shared" si="9"/>
        <v>1.0804321728691477</v>
      </c>
      <c r="L79" s="75">
        <f>VLOOKUP($A79,'Data Vlaue (Cr)'!$C:$FB,67)</f>
        <v>632</v>
      </c>
      <c r="M79" s="75">
        <f>VLOOKUP($A79,'Data Vlaue (Cr)'!$C:$FB,68)</f>
        <v>1073</v>
      </c>
      <c r="N79" s="75">
        <f t="shared" si="10"/>
        <v>-441</v>
      </c>
      <c r="O79" s="75">
        <f t="shared" si="11"/>
        <v>-69.778481012658233</v>
      </c>
      <c r="P79" s="75">
        <f>VLOOKUP($A79,'Data Vlaue (Cr)'!$C:$FB,119)</f>
        <v>0.54</v>
      </c>
      <c r="Q79" s="75">
        <f>VLOOKUP($A79,'Data Vlaue (Cr)'!$C:$FB,122)*100</f>
        <v>-5.26</v>
      </c>
      <c r="R79" s="75">
        <f>VLOOKUP($A79,'Data Vlaue (Cr)'!$C:$FB,125)</f>
        <v>0.56000000000000005</v>
      </c>
      <c r="S79" s="75">
        <f>VLOOKUP($A79,'Data Vlaue (Cr)'!$C:$FB,128)*100</f>
        <v>30.23</v>
      </c>
    </row>
    <row r="80" spans="1:19" x14ac:dyDescent="0.25">
      <c r="A80" s="96" t="str">
        <f>'Data Vlaue (Cr)'!C71</f>
        <v>GMRAIRPORT</v>
      </c>
      <c r="B80" s="75">
        <f>VLOOKUP($A80,'Data Vlaue (Cr)'!$C:$FB,2)</f>
        <v>6975</v>
      </c>
      <c r="C80" s="75">
        <f>VLOOKUP($A80,'Data Vlaue (Cr)'!$C:$FB,8)</f>
        <v>98.9</v>
      </c>
      <c r="D80" s="75">
        <f>VLOOKUP($A80,'Data Vlaue (Cr)'!$C:$FB,4)</f>
        <v>99.1</v>
      </c>
      <c r="E80" s="75">
        <f>VLOOKUP($A80,'Data Vlaue (Cr)'!$C:$FB,5)</f>
        <v>96.96</v>
      </c>
      <c r="F80" s="75">
        <f t="shared" si="6"/>
        <v>0.19999999999998863</v>
      </c>
      <c r="G80" s="75">
        <f t="shared" si="7"/>
        <v>2.1594349142280533</v>
      </c>
      <c r="H80" s="75">
        <f>VLOOKUP($A80,'Data Vlaue (Cr)'!$C:$FB,99)</f>
        <v>2263</v>
      </c>
      <c r="I80" s="75">
        <f>VLOOKUP($A80,'Data Vlaue (Cr)'!$C:$FB,100)</f>
        <v>2122</v>
      </c>
      <c r="J80" s="75">
        <f t="shared" si="8"/>
        <v>141</v>
      </c>
      <c r="K80" s="75">
        <f t="shared" si="9"/>
        <v>6.2306672558550593</v>
      </c>
      <c r="L80" s="75">
        <f>VLOOKUP($A80,'Data Vlaue (Cr)'!$C:$FB,67)</f>
        <v>1283</v>
      </c>
      <c r="M80" s="75">
        <f>VLOOKUP($A80,'Data Vlaue (Cr)'!$C:$FB,68)</f>
        <v>579</v>
      </c>
      <c r="N80" s="75">
        <f t="shared" si="10"/>
        <v>704</v>
      </c>
      <c r="O80" s="75">
        <f t="shared" si="11"/>
        <v>54.871395167575997</v>
      </c>
      <c r="P80" s="75">
        <f>VLOOKUP($A80,'Data Vlaue (Cr)'!$C:$FB,119)</f>
        <v>0.59</v>
      </c>
      <c r="Q80" s="75">
        <f>VLOOKUP($A80,'Data Vlaue (Cr)'!$C:$FB,122)*100</f>
        <v>-1.67</v>
      </c>
      <c r="R80" s="75">
        <f>VLOOKUP($A80,'Data Vlaue (Cr)'!$C:$FB,125)</f>
        <v>0.43</v>
      </c>
      <c r="S80" s="75">
        <f>VLOOKUP($A80,'Data Vlaue (Cr)'!$C:$FB,128)*100</f>
        <v>-23.21</v>
      </c>
    </row>
    <row r="81" spans="1:19" x14ac:dyDescent="0.25">
      <c r="A81" s="96" t="str">
        <f>'Data Vlaue (Cr)'!C72</f>
        <v>GODFRYPHLP</v>
      </c>
      <c r="B81" s="75">
        <f>VLOOKUP($A81,'Data Vlaue (Cr)'!$C:$FB,2)</f>
        <v>275</v>
      </c>
      <c r="C81" s="75">
        <f>VLOOKUP($A81,'Data Vlaue (Cr)'!$C:$FB,8)</f>
        <v>2216.3000000000002</v>
      </c>
      <c r="D81" s="75">
        <f>VLOOKUP($A81,'Data Vlaue (Cr)'!$C:$FB,4)</f>
        <v>2216.6</v>
      </c>
      <c r="E81" s="75">
        <f>VLOOKUP($A81,'Data Vlaue (Cr)'!$C:$FB,5)</f>
        <v>2253.3000000000002</v>
      </c>
      <c r="F81" s="75">
        <f t="shared" si="6"/>
        <v>0.29999999999972715</v>
      </c>
      <c r="G81" s="75">
        <f t="shared" si="7"/>
        <v>-1.655688892899047</v>
      </c>
      <c r="H81" s="75">
        <f>VLOOKUP($A81,'Data Vlaue (Cr)'!$C:$FB,99)</f>
        <v>529</v>
      </c>
      <c r="I81" s="75">
        <f>VLOOKUP($A81,'Data Vlaue (Cr)'!$C:$FB,100)</f>
        <v>516</v>
      </c>
      <c r="J81" s="75">
        <f t="shared" si="8"/>
        <v>13</v>
      </c>
      <c r="K81" s="75">
        <f t="shared" si="9"/>
        <v>2.4574669187145557</v>
      </c>
      <c r="L81" s="75">
        <f>VLOOKUP($A81,'Data Vlaue (Cr)'!$C:$FB,67)</f>
        <v>208</v>
      </c>
      <c r="M81" s="75">
        <f>VLOOKUP($A81,'Data Vlaue (Cr)'!$C:$FB,68)</f>
        <v>437</v>
      </c>
      <c r="N81" s="75">
        <f t="shared" si="10"/>
        <v>-229</v>
      </c>
      <c r="O81" s="75">
        <f t="shared" si="11"/>
        <v>-110.09615384615385</v>
      </c>
      <c r="P81" s="75">
        <f>VLOOKUP($A81,'Data Vlaue (Cr)'!$C:$FB,119)</f>
        <v>0.4</v>
      </c>
      <c r="Q81" s="75">
        <f>VLOOKUP($A81,'Data Vlaue (Cr)'!$C:$FB,122)*100</f>
        <v>-2.44</v>
      </c>
      <c r="R81" s="75">
        <f>VLOOKUP($A81,'Data Vlaue (Cr)'!$C:$FB,125)</f>
        <v>0.28000000000000003</v>
      </c>
      <c r="S81" s="75">
        <f>VLOOKUP($A81,'Data Vlaue (Cr)'!$C:$FB,128)*100</f>
        <v>0</v>
      </c>
    </row>
    <row r="82" spans="1:19" x14ac:dyDescent="0.25">
      <c r="A82" s="96" t="str">
        <f>'Data Vlaue (Cr)'!C73</f>
        <v>GODREJCP</v>
      </c>
      <c r="B82" s="75">
        <f>VLOOKUP($A82,'Data Vlaue (Cr)'!$C:$FB,2)</f>
        <v>500</v>
      </c>
      <c r="C82" s="75">
        <f>VLOOKUP($A82,'Data Vlaue (Cr)'!$C:$FB,8)</f>
        <v>1072.5</v>
      </c>
      <c r="D82" s="75">
        <f>VLOOKUP($A82,'Data Vlaue (Cr)'!$C:$FB,4)</f>
        <v>1073.9000000000001</v>
      </c>
      <c r="E82" s="75">
        <f>VLOOKUP($A82,'Data Vlaue (Cr)'!$C:$FB,5)</f>
        <v>1064.8</v>
      </c>
      <c r="F82" s="75">
        <f t="shared" si="6"/>
        <v>1.4000000000000909</v>
      </c>
      <c r="G82" s="75">
        <f t="shared" si="7"/>
        <v>0.84737871310179114</v>
      </c>
      <c r="H82" s="75">
        <f>VLOOKUP($A82,'Data Vlaue (Cr)'!$C:$FB,99)</f>
        <v>1626</v>
      </c>
      <c r="I82" s="75">
        <f>VLOOKUP($A82,'Data Vlaue (Cr)'!$C:$FB,100)</f>
        <v>1586</v>
      </c>
      <c r="J82" s="75">
        <f t="shared" si="8"/>
        <v>40</v>
      </c>
      <c r="K82" s="75">
        <f t="shared" si="9"/>
        <v>2.4600246002460024</v>
      </c>
      <c r="L82" s="75">
        <f>VLOOKUP($A82,'Data Vlaue (Cr)'!$C:$FB,67)</f>
        <v>358</v>
      </c>
      <c r="M82" s="75">
        <f>VLOOKUP($A82,'Data Vlaue (Cr)'!$C:$FB,68)</f>
        <v>568</v>
      </c>
      <c r="N82" s="75">
        <f t="shared" si="10"/>
        <v>-210</v>
      </c>
      <c r="O82" s="75">
        <f t="shared" si="11"/>
        <v>-58.659217877094974</v>
      </c>
      <c r="P82" s="75">
        <f>VLOOKUP($A82,'Data Vlaue (Cr)'!$C:$FB,119)</f>
        <v>0.76</v>
      </c>
      <c r="Q82" s="75">
        <f>VLOOKUP($A82,'Data Vlaue (Cr)'!$C:$FB,122)*100</f>
        <v>-19.149999999999999</v>
      </c>
      <c r="R82" s="75">
        <f>VLOOKUP($A82,'Data Vlaue (Cr)'!$C:$FB,125)</f>
        <v>0.35</v>
      </c>
      <c r="S82" s="75">
        <f>VLOOKUP($A82,'Data Vlaue (Cr)'!$C:$FB,128)*100</f>
        <v>-67.290000000000006</v>
      </c>
    </row>
    <row r="83" spans="1:19" x14ac:dyDescent="0.25">
      <c r="A83" s="96" t="str">
        <f>'Data Vlaue (Cr)'!C74</f>
        <v>GODREJPROP</v>
      </c>
      <c r="B83" s="75">
        <f>VLOOKUP($A83,'Data Vlaue (Cr)'!$C:$FB,2)</f>
        <v>275</v>
      </c>
      <c r="C83" s="75">
        <f>VLOOKUP($A83,'Data Vlaue (Cr)'!$C:$FB,8)</f>
        <v>1899.8</v>
      </c>
      <c r="D83" s="75">
        <f>VLOOKUP($A83,'Data Vlaue (Cr)'!$C:$FB,4)</f>
        <v>1911</v>
      </c>
      <c r="E83" s="75">
        <f>VLOOKUP($A83,'Data Vlaue (Cr)'!$C:$FB,5)</f>
        <v>1841</v>
      </c>
      <c r="F83" s="75">
        <f t="shared" si="6"/>
        <v>11.200000000000045</v>
      </c>
      <c r="G83" s="75">
        <f t="shared" si="7"/>
        <v>3.6630036630036633</v>
      </c>
      <c r="H83" s="75">
        <f>VLOOKUP($A83,'Data Vlaue (Cr)'!$C:$FB,99)</f>
        <v>2165</v>
      </c>
      <c r="I83" s="75">
        <f>VLOOKUP($A83,'Data Vlaue (Cr)'!$C:$FB,100)</f>
        <v>1804</v>
      </c>
      <c r="J83" s="75">
        <f t="shared" si="8"/>
        <v>361</v>
      </c>
      <c r="K83" s="75">
        <f t="shared" si="9"/>
        <v>16.674364896073904</v>
      </c>
      <c r="L83" s="75">
        <f>VLOOKUP($A83,'Data Vlaue (Cr)'!$C:$FB,67)</f>
        <v>4879</v>
      </c>
      <c r="M83" s="75">
        <f>VLOOKUP($A83,'Data Vlaue (Cr)'!$C:$FB,68)</f>
        <v>688</v>
      </c>
      <c r="N83" s="75">
        <f t="shared" si="10"/>
        <v>4191</v>
      </c>
      <c r="O83" s="75">
        <f t="shared" si="11"/>
        <v>85.898749743799968</v>
      </c>
      <c r="P83" s="75">
        <f>VLOOKUP($A83,'Data Vlaue (Cr)'!$C:$FB,119)</f>
        <v>0.6</v>
      </c>
      <c r="Q83" s="75">
        <f>VLOOKUP($A83,'Data Vlaue (Cr)'!$C:$FB,122)*100</f>
        <v>-25.929999999999996</v>
      </c>
      <c r="R83" s="75">
        <f>VLOOKUP($A83,'Data Vlaue (Cr)'!$C:$FB,125)</f>
        <v>0.35</v>
      </c>
      <c r="S83" s="75">
        <f>VLOOKUP($A83,'Data Vlaue (Cr)'!$C:$FB,128)*100</f>
        <v>-66.02</v>
      </c>
    </row>
    <row r="84" spans="1:19" x14ac:dyDescent="0.25">
      <c r="A84" s="96" t="str">
        <f>'Data Vlaue (Cr)'!C75</f>
        <v>GRASIM</v>
      </c>
      <c r="B84" s="75">
        <f>VLOOKUP($A84,'Data Vlaue (Cr)'!$C:$FB,2)</f>
        <v>250</v>
      </c>
      <c r="C84" s="75">
        <f>VLOOKUP($A84,'Data Vlaue (Cr)'!$C:$FB,8)</f>
        <v>2856</v>
      </c>
      <c r="D84" s="75">
        <f>VLOOKUP($A84,'Data Vlaue (Cr)'!$C:$FB,4)</f>
        <v>2871.8</v>
      </c>
      <c r="E84" s="75">
        <f>VLOOKUP($A84,'Data Vlaue (Cr)'!$C:$FB,5)</f>
        <v>2802.8</v>
      </c>
      <c r="F84" s="75">
        <f t="shared" si="6"/>
        <v>15.800000000000182</v>
      </c>
      <c r="G84" s="75">
        <f t="shared" si="7"/>
        <v>2.402674280938784</v>
      </c>
      <c r="H84" s="75">
        <f>VLOOKUP($A84,'Data Vlaue (Cr)'!$C:$FB,99)</f>
        <v>4754</v>
      </c>
      <c r="I84" s="75">
        <f>VLOOKUP($A84,'Data Vlaue (Cr)'!$C:$FB,100)</f>
        <v>4650</v>
      </c>
      <c r="J84" s="75">
        <f t="shared" si="8"/>
        <v>104</v>
      </c>
      <c r="K84" s="75">
        <f t="shared" si="9"/>
        <v>2.1876314682372739</v>
      </c>
      <c r="L84" s="75">
        <f>VLOOKUP($A84,'Data Vlaue (Cr)'!$C:$FB,67)</f>
        <v>1066</v>
      </c>
      <c r="M84" s="75">
        <f>VLOOKUP($A84,'Data Vlaue (Cr)'!$C:$FB,68)</f>
        <v>605</v>
      </c>
      <c r="N84" s="75">
        <f t="shared" si="10"/>
        <v>461</v>
      </c>
      <c r="O84" s="75">
        <f t="shared" si="11"/>
        <v>43.245778611632268</v>
      </c>
      <c r="P84" s="75">
        <f>VLOOKUP($A84,'Data Vlaue (Cr)'!$C:$FB,119)</f>
        <v>0.73</v>
      </c>
      <c r="Q84" s="75">
        <f>VLOOKUP($A84,'Data Vlaue (Cr)'!$C:$FB,122)*100</f>
        <v>-9.879999999999999</v>
      </c>
      <c r="R84" s="75">
        <f>VLOOKUP($A84,'Data Vlaue (Cr)'!$C:$FB,125)</f>
        <v>0.3</v>
      </c>
      <c r="S84" s="75">
        <f>VLOOKUP($A84,'Data Vlaue (Cr)'!$C:$FB,128)*100</f>
        <v>-40</v>
      </c>
    </row>
    <row r="85" spans="1:19" x14ac:dyDescent="0.25">
      <c r="A85" s="96" t="str">
        <f>'Data Vlaue (Cr)'!C76</f>
        <v>HAL</v>
      </c>
      <c r="B85" s="75">
        <f>VLOOKUP($A85,'Data Vlaue (Cr)'!$C:$FB,2)</f>
        <v>150</v>
      </c>
      <c r="C85" s="75">
        <f>VLOOKUP($A85,'Data Vlaue (Cr)'!$C:$FB,8)</f>
        <v>4559.5</v>
      </c>
      <c r="D85" s="75">
        <f>VLOOKUP($A85,'Data Vlaue (Cr)'!$C:$FB,4)</f>
        <v>4580.2</v>
      </c>
      <c r="E85" s="75">
        <f>VLOOKUP($A85,'Data Vlaue (Cr)'!$C:$FB,5)</f>
        <v>4364.2</v>
      </c>
      <c r="F85" s="75">
        <f t="shared" si="6"/>
        <v>20.699999999999818</v>
      </c>
      <c r="G85" s="75">
        <f t="shared" si="7"/>
        <v>4.7159512685035594</v>
      </c>
      <c r="H85" s="75">
        <f>VLOOKUP($A85,'Data Vlaue (Cr)'!$C:$FB,99)</f>
        <v>5026</v>
      </c>
      <c r="I85" s="75">
        <f>VLOOKUP($A85,'Data Vlaue (Cr)'!$C:$FB,100)</f>
        <v>4704</v>
      </c>
      <c r="J85" s="75">
        <f t="shared" si="8"/>
        <v>322</v>
      </c>
      <c r="K85" s="75">
        <f t="shared" si="9"/>
        <v>6.4066852367688023</v>
      </c>
      <c r="L85" s="75">
        <f>VLOOKUP($A85,'Data Vlaue (Cr)'!$C:$FB,67)</f>
        <v>8272</v>
      </c>
      <c r="M85" s="75">
        <f>VLOOKUP($A85,'Data Vlaue (Cr)'!$C:$FB,68)</f>
        <v>1832</v>
      </c>
      <c r="N85" s="75">
        <f t="shared" si="10"/>
        <v>6440</v>
      </c>
      <c r="O85" s="75">
        <f t="shared" si="11"/>
        <v>77.852998065764027</v>
      </c>
      <c r="P85" s="75">
        <f>VLOOKUP($A85,'Data Vlaue (Cr)'!$C:$FB,119)</f>
        <v>0.86</v>
      </c>
      <c r="Q85" s="75">
        <f>VLOOKUP($A85,'Data Vlaue (Cr)'!$C:$FB,122)*100</f>
        <v>-1.1499999999999999</v>
      </c>
      <c r="R85" s="75">
        <f>VLOOKUP($A85,'Data Vlaue (Cr)'!$C:$FB,125)</f>
        <v>0.39</v>
      </c>
      <c r="S85" s="75">
        <f>VLOOKUP($A85,'Data Vlaue (Cr)'!$C:$FB,128)*100</f>
        <v>-44.29</v>
      </c>
    </row>
    <row r="86" spans="1:19" x14ac:dyDescent="0.25">
      <c r="A86" s="96" t="str">
        <f>'Data Vlaue (Cr)'!C77</f>
        <v>HAVELLS</v>
      </c>
      <c r="B86" s="75">
        <f>VLOOKUP($A86,'Data Vlaue (Cr)'!$C:$FB,2)</f>
        <v>500</v>
      </c>
      <c r="C86" s="75">
        <f>VLOOKUP($A86,'Data Vlaue (Cr)'!$C:$FB,8)</f>
        <v>1256.5999999999999</v>
      </c>
      <c r="D86" s="75">
        <f>VLOOKUP($A86,'Data Vlaue (Cr)'!$C:$FB,4)</f>
        <v>1256.4000000000001</v>
      </c>
      <c r="E86" s="75">
        <f>VLOOKUP($A86,'Data Vlaue (Cr)'!$C:$FB,5)</f>
        <v>1241.5</v>
      </c>
      <c r="F86" s="75">
        <f t="shared" si="6"/>
        <v>-0.1999999999998181</v>
      </c>
      <c r="G86" s="75">
        <f t="shared" si="7"/>
        <v>1.185928048392239</v>
      </c>
      <c r="H86" s="75">
        <f>VLOOKUP($A86,'Data Vlaue (Cr)'!$C:$FB,99)</f>
        <v>2238</v>
      </c>
      <c r="I86" s="75">
        <f>VLOOKUP($A86,'Data Vlaue (Cr)'!$C:$FB,100)</f>
        <v>2222</v>
      </c>
      <c r="J86" s="75">
        <f t="shared" si="8"/>
        <v>16</v>
      </c>
      <c r="K86" s="75">
        <f t="shared" si="9"/>
        <v>0.71492403932082216</v>
      </c>
      <c r="L86" s="75">
        <f>VLOOKUP($A86,'Data Vlaue (Cr)'!$C:$FB,67)</f>
        <v>639</v>
      </c>
      <c r="M86" s="75">
        <f>VLOOKUP($A86,'Data Vlaue (Cr)'!$C:$FB,68)</f>
        <v>731</v>
      </c>
      <c r="N86" s="75">
        <f t="shared" si="10"/>
        <v>-92</v>
      </c>
      <c r="O86" s="75">
        <f t="shared" si="11"/>
        <v>-14.397496087636933</v>
      </c>
      <c r="P86" s="75">
        <f>VLOOKUP($A86,'Data Vlaue (Cr)'!$C:$FB,119)</f>
        <v>0.48</v>
      </c>
      <c r="Q86" s="75">
        <f>VLOOKUP($A86,'Data Vlaue (Cr)'!$C:$FB,122)*100</f>
        <v>-2.04</v>
      </c>
      <c r="R86" s="75">
        <f>VLOOKUP($A86,'Data Vlaue (Cr)'!$C:$FB,125)</f>
        <v>0.33</v>
      </c>
      <c r="S86" s="75">
        <f>VLOOKUP($A86,'Data Vlaue (Cr)'!$C:$FB,128)*100</f>
        <v>-21.43</v>
      </c>
    </row>
    <row r="87" spans="1:19" x14ac:dyDescent="0.25">
      <c r="A87" s="96" t="str">
        <f>'Data Vlaue (Cr)'!C78</f>
        <v>HCLTECH</v>
      </c>
      <c r="B87" s="75">
        <f>VLOOKUP($A87,'Data Vlaue (Cr)'!$C:$FB,2)</f>
        <v>350</v>
      </c>
      <c r="C87" s="75">
        <f>VLOOKUP($A87,'Data Vlaue (Cr)'!$C:$FB,8)</f>
        <v>1200.5</v>
      </c>
      <c r="D87" s="75">
        <f>VLOOKUP($A87,'Data Vlaue (Cr)'!$C:$FB,4)</f>
        <v>1201.4000000000001</v>
      </c>
      <c r="E87" s="75">
        <f>VLOOKUP($A87,'Data Vlaue (Cr)'!$C:$FB,5)</f>
        <v>1201.7</v>
      </c>
      <c r="F87" s="75">
        <f t="shared" si="6"/>
        <v>0.90000000000009095</v>
      </c>
      <c r="G87" s="75">
        <f t="shared" si="7"/>
        <v>-2.497086732145451E-2</v>
      </c>
      <c r="H87" s="75">
        <f>VLOOKUP($A87,'Data Vlaue (Cr)'!$C:$FB,99)</f>
        <v>9329</v>
      </c>
      <c r="I87" s="75">
        <f>VLOOKUP($A87,'Data Vlaue (Cr)'!$C:$FB,100)</f>
        <v>9078</v>
      </c>
      <c r="J87" s="75">
        <f t="shared" si="8"/>
        <v>251</v>
      </c>
      <c r="K87" s="75">
        <f t="shared" si="9"/>
        <v>2.6905348911994853</v>
      </c>
      <c r="L87" s="75">
        <f>VLOOKUP($A87,'Data Vlaue (Cr)'!$C:$FB,67)</f>
        <v>2628</v>
      </c>
      <c r="M87" s="75">
        <f>VLOOKUP($A87,'Data Vlaue (Cr)'!$C:$FB,68)</f>
        <v>2985</v>
      </c>
      <c r="N87" s="75">
        <f t="shared" si="10"/>
        <v>-357</v>
      </c>
      <c r="O87" s="75">
        <f t="shared" si="11"/>
        <v>-13.584474885844749</v>
      </c>
      <c r="P87" s="75">
        <f>VLOOKUP($A87,'Data Vlaue (Cr)'!$C:$FB,119)</f>
        <v>0.52</v>
      </c>
      <c r="Q87" s="75">
        <f>VLOOKUP($A87,'Data Vlaue (Cr)'!$C:$FB,122)*100</f>
        <v>-3.6999999999999997</v>
      </c>
      <c r="R87" s="75">
        <f>VLOOKUP($A87,'Data Vlaue (Cr)'!$C:$FB,125)</f>
        <v>0.45</v>
      </c>
      <c r="S87" s="75">
        <f>VLOOKUP($A87,'Data Vlaue (Cr)'!$C:$FB,128)*100</f>
        <v>-13.459999999999999</v>
      </c>
    </row>
    <row r="88" spans="1:19" x14ac:dyDescent="0.25">
      <c r="A88" s="96" t="str">
        <f>'Data Vlaue (Cr)'!C79</f>
        <v>HDFCAMC</v>
      </c>
      <c r="B88" s="75">
        <f>VLOOKUP($A88,'Data Vlaue (Cr)'!$C:$FB,2)</f>
        <v>300</v>
      </c>
      <c r="C88" s="75">
        <f>VLOOKUP($A88,'Data Vlaue (Cr)'!$C:$FB,8)</f>
        <v>2753.6</v>
      </c>
      <c r="D88" s="75">
        <f>VLOOKUP($A88,'Data Vlaue (Cr)'!$C:$FB,4)</f>
        <v>2769.4</v>
      </c>
      <c r="E88" s="75">
        <f>VLOOKUP($A88,'Data Vlaue (Cr)'!$C:$FB,5)</f>
        <v>2729.7</v>
      </c>
      <c r="F88" s="75">
        <f t="shared" si="6"/>
        <v>15.800000000000182</v>
      </c>
      <c r="G88" s="75">
        <f t="shared" si="7"/>
        <v>1.4335235068968106</v>
      </c>
      <c r="H88" s="75">
        <f>VLOOKUP($A88,'Data Vlaue (Cr)'!$C:$FB,99)</f>
        <v>1920</v>
      </c>
      <c r="I88" s="75">
        <f>VLOOKUP($A88,'Data Vlaue (Cr)'!$C:$FB,100)</f>
        <v>1852</v>
      </c>
      <c r="J88" s="75">
        <f t="shared" si="8"/>
        <v>68</v>
      </c>
      <c r="K88" s="75">
        <f t="shared" si="9"/>
        <v>3.5416666666666665</v>
      </c>
      <c r="L88" s="75">
        <f>VLOOKUP($A88,'Data Vlaue (Cr)'!$C:$FB,67)</f>
        <v>478</v>
      </c>
      <c r="M88" s="75">
        <f>VLOOKUP($A88,'Data Vlaue (Cr)'!$C:$FB,68)</f>
        <v>552</v>
      </c>
      <c r="N88" s="75">
        <f t="shared" si="10"/>
        <v>-74</v>
      </c>
      <c r="O88" s="75">
        <f t="shared" si="11"/>
        <v>-15.481171548117153</v>
      </c>
      <c r="P88" s="75">
        <f>VLOOKUP($A88,'Data Vlaue (Cr)'!$C:$FB,119)</f>
        <v>0.7</v>
      </c>
      <c r="Q88" s="75">
        <f>VLOOKUP($A88,'Data Vlaue (Cr)'!$C:$FB,122)*100</f>
        <v>-5.41</v>
      </c>
      <c r="R88" s="75">
        <f>VLOOKUP($A88,'Data Vlaue (Cr)'!$C:$FB,125)</f>
        <v>0.56000000000000005</v>
      </c>
      <c r="S88" s="75">
        <f>VLOOKUP($A88,'Data Vlaue (Cr)'!$C:$FB,128)*100</f>
        <v>-18.84</v>
      </c>
    </row>
    <row r="89" spans="1:19" x14ac:dyDescent="0.25">
      <c r="A89" s="96" t="str">
        <f>'Data Vlaue (Cr)'!C80</f>
        <v>HDFCBANK</v>
      </c>
      <c r="B89" s="75">
        <f>VLOOKUP($A89,'Data Vlaue (Cr)'!$C:$FB,2)</f>
        <v>550</v>
      </c>
      <c r="C89" s="75">
        <f>VLOOKUP($A89,'Data Vlaue (Cr)'!$C:$FB,8)</f>
        <v>779.4</v>
      </c>
      <c r="D89" s="75">
        <f>VLOOKUP($A89,'Data Vlaue (Cr)'!$C:$FB,4)</f>
        <v>782.7</v>
      </c>
      <c r="E89" s="75">
        <f>VLOOKUP($A89,'Data Vlaue (Cr)'!$C:$FB,5)</f>
        <v>776.1</v>
      </c>
      <c r="F89" s="75">
        <f t="shared" si="6"/>
        <v>3.3000000000000682</v>
      </c>
      <c r="G89" s="75">
        <f t="shared" si="7"/>
        <v>0.84323495592181197</v>
      </c>
      <c r="H89" s="75">
        <f>VLOOKUP($A89,'Data Vlaue (Cr)'!$C:$FB,99)</f>
        <v>34529</v>
      </c>
      <c r="I89" s="75">
        <f>VLOOKUP($A89,'Data Vlaue (Cr)'!$C:$FB,100)</f>
        <v>33840</v>
      </c>
      <c r="J89" s="75">
        <f t="shared" si="8"/>
        <v>689</v>
      </c>
      <c r="K89" s="75">
        <f t="shared" si="9"/>
        <v>1.9954241362333112</v>
      </c>
      <c r="L89" s="75">
        <f>VLOOKUP($A89,'Data Vlaue (Cr)'!$C:$FB,67)</f>
        <v>8970</v>
      </c>
      <c r="M89" s="75">
        <f>VLOOKUP($A89,'Data Vlaue (Cr)'!$C:$FB,68)</f>
        <v>10634</v>
      </c>
      <c r="N89" s="75">
        <f t="shared" si="10"/>
        <v>-1664</v>
      </c>
      <c r="O89" s="75">
        <f t="shared" si="11"/>
        <v>-18.55072463768116</v>
      </c>
      <c r="P89" s="75">
        <f>VLOOKUP($A89,'Data Vlaue (Cr)'!$C:$FB,119)</f>
        <v>0.55000000000000004</v>
      </c>
      <c r="Q89" s="75">
        <f>VLOOKUP($A89,'Data Vlaue (Cr)'!$C:$FB,122)*100</f>
        <v>0</v>
      </c>
      <c r="R89" s="75">
        <f>VLOOKUP($A89,'Data Vlaue (Cr)'!$C:$FB,125)</f>
        <v>0.59</v>
      </c>
      <c r="S89" s="75">
        <f>VLOOKUP($A89,'Data Vlaue (Cr)'!$C:$FB,128)*100</f>
        <v>18</v>
      </c>
    </row>
    <row r="90" spans="1:19" x14ac:dyDescent="0.25">
      <c r="A90" s="96" t="str">
        <f>'Data Vlaue (Cr)'!C81</f>
        <v>HDFCLIFE</v>
      </c>
      <c r="B90" s="75">
        <f>VLOOKUP($A90,'Data Vlaue (Cr)'!$C:$FB,2)</f>
        <v>1100</v>
      </c>
      <c r="C90" s="75">
        <f>VLOOKUP($A90,'Data Vlaue (Cr)'!$C:$FB,8)</f>
        <v>588.35</v>
      </c>
      <c r="D90" s="75">
        <f>VLOOKUP($A90,'Data Vlaue (Cr)'!$C:$FB,4)</f>
        <v>591.75</v>
      </c>
      <c r="E90" s="75">
        <f>VLOOKUP($A90,'Data Vlaue (Cr)'!$C:$FB,5)</f>
        <v>590</v>
      </c>
      <c r="F90" s="75">
        <f t="shared" si="6"/>
        <v>3.3999999999999773</v>
      </c>
      <c r="G90" s="75">
        <f t="shared" si="7"/>
        <v>0.2957329953527672</v>
      </c>
      <c r="H90" s="75">
        <f>VLOOKUP($A90,'Data Vlaue (Cr)'!$C:$FB,99)</f>
        <v>3934</v>
      </c>
      <c r="I90" s="75">
        <f>VLOOKUP($A90,'Data Vlaue (Cr)'!$C:$FB,100)</f>
        <v>3775</v>
      </c>
      <c r="J90" s="75">
        <f t="shared" si="8"/>
        <v>159</v>
      </c>
      <c r="K90" s="75">
        <f t="shared" si="9"/>
        <v>4.0416878495170314</v>
      </c>
      <c r="L90" s="75">
        <f>VLOOKUP($A90,'Data Vlaue (Cr)'!$C:$FB,67)</f>
        <v>868</v>
      </c>
      <c r="M90" s="75">
        <f>VLOOKUP($A90,'Data Vlaue (Cr)'!$C:$FB,68)</f>
        <v>1431</v>
      </c>
      <c r="N90" s="75">
        <f t="shared" si="10"/>
        <v>-563</v>
      </c>
      <c r="O90" s="75">
        <f t="shared" si="11"/>
        <v>-64.861751152073737</v>
      </c>
      <c r="P90" s="75">
        <f>VLOOKUP($A90,'Data Vlaue (Cr)'!$C:$FB,119)</f>
        <v>0.61</v>
      </c>
      <c r="Q90" s="75">
        <f>VLOOKUP($A90,'Data Vlaue (Cr)'!$C:$FB,122)*100</f>
        <v>-3.17</v>
      </c>
      <c r="R90" s="75">
        <f>VLOOKUP($A90,'Data Vlaue (Cr)'!$C:$FB,125)</f>
        <v>0.52</v>
      </c>
      <c r="S90" s="75">
        <f>VLOOKUP($A90,'Data Vlaue (Cr)'!$C:$FB,128)*100</f>
        <v>-3.6999999999999997</v>
      </c>
    </row>
    <row r="91" spans="1:19" x14ac:dyDescent="0.25">
      <c r="A91" s="96" t="str">
        <f>'Data Vlaue (Cr)'!C82</f>
        <v>HEROMOTOCO</v>
      </c>
      <c r="B91" s="75">
        <f>VLOOKUP($A91,'Data Vlaue (Cr)'!$C:$FB,2)</f>
        <v>150</v>
      </c>
      <c r="C91" s="75">
        <f>VLOOKUP($A91,'Data Vlaue (Cr)'!$C:$FB,8)</f>
        <v>5066.5</v>
      </c>
      <c r="D91" s="75">
        <f>VLOOKUP($A91,'Data Vlaue (Cr)'!$C:$FB,4)</f>
        <v>5082.5</v>
      </c>
      <c r="E91" s="75">
        <f>VLOOKUP($A91,'Data Vlaue (Cr)'!$C:$FB,5)</f>
        <v>5124</v>
      </c>
      <c r="F91" s="75">
        <f t="shared" si="6"/>
        <v>16</v>
      </c>
      <c r="G91" s="75">
        <f t="shared" si="7"/>
        <v>-0.81652729955730452</v>
      </c>
      <c r="H91" s="75">
        <f>VLOOKUP($A91,'Data Vlaue (Cr)'!$C:$FB,99)</f>
        <v>3490</v>
      </c>
      <c r="I91" s="75">
        <f>VLOOKUP($A91,'Data Vlaue (Cr)'!$C:$FB,100)</f>
        <v>3166</v>
      </c>
      <c r="J91" s="75">
        <f t="shared" si="8"/>
        <v>324</v>
      </c>
      <c r="K91" s="75">
        <f t="shared" si="9"/>
        <v>9.2836676217765053</v>
      </c>
      <c r="L91" s="75">
        <f>VLOOKUP($A91,'Data Vlaue (Cr)'!$C:$FB,67)</f>
        <v>2922</v>
      </c>
      <c r="M91" s="75">
        <f>VLOOKUP($A91,'Data Vlaue (Cr)'!$C:$FB,68)</f>
        <v>1744</v>
      </c>
      <c r="N91" s="75">
        <f t="shared" si="10"/>
        <v>1178</v>
      </c>
      <c r="O91" s="75">
        <f t="shared" si="11"/>
        <v>40.314852840520196</v>
      </c>
      <c r="P91" s="75">
        <f>VLOOKUP($A91,'Data Vlaue (Cr)'!$C:$FB,119)</f>
        <v>0.59</v>
      </c>
      <c r="Q91" s="75">
        <f>VLOOKUP($A91,'Data Vlaue (Cr)'!$C:$FB,122)*100</f>
        <v>-9.2299999999999986</v>
      </c>
      <c r="R91" s="75">
        <f>VLOOKUP($A91,'Data Vlaue (Cr)'!$C:$FB,125)</f>
        <v>0.34</v>
      </c>
      <c r="S91" s="75">
        <f>VLOOKUP($A91,'Data Vlaue (Cr)'!$C:$FB,128)*100</f>
        <v>-24.44</v>
      </c>
    </row>
    <row r="92" spans="1:19" x14ac:dyDescent="0.25">
      <c r="A92" s="96" t="str">
        <f>'Data Vlaue (Cr)'!C83</f>
        <v>HINDALCO</v>
      </c>
      <c r="B92" s="75">
        <f>VLOOKUP($A92,'Data Vlaue (Cr)'!$C:$FB,2)</f>
        <v>700</v>
      </c>
      <c r="C92" s="75">
        <f>VLOOKUP($A92,'Data Vlaue (Cr)'!$C:$FB,8)</f>
        <v>1042.7</v>
      </c>
      <c r="D92" s="75">
        <f>VLOOKUP($A92,'Data Vlaue (Cr)'!$C:$FB,4)</f>
        <v>1048.5</v>
      </c>
      <c r="E92" s="75">
        <f>VLOOKUP($A92,'Data Vlaue (Cr)'!$C:$FB,5)</f>
        <v>1042.3</v>
      </c>
      <c r="F92" s="75">
        <f t="shared" si="6"/>
        <v>5.7999999999999545</v>
      </c>
      <c r="G92" s="75">
        <f t="shared" si="7"/>
        <v>0.59132093466857849</v>
      </c>
      <c r="H92" s="75">
        <f>VLOOKUP($A92,'Data Vlaue (Cr)'!$C:$FB,99)</f>
        <v>4726</v>
      </c>
      <c r="I92" s="75">
        <f>VLOOKUP($A92,'Data Vlaue (Cr)'!$C:$FB,100)</f>
        <v>4559</v>
      </c>
      <c r="J92" s="75">
        <f t="shared" si="8"/>
        <v>167</v>
      </c>
      <c r="K92" s="75">
        <f t="shared" si="9"/>
        <v>3.5336436732966567</v>
      </c>
      <c r="L92" s="75">
        <f>VLOOKUP($A92,'Data Vlaue (Cr)'!$C:$FB,67)</f>
        <v>1968</v>
      </c>
      <c r="M92" s="75">
        <f>VLOOKUP($A92,'Data Vlaue (Cr)'!$C:$FB,68)</f>
        <v>2561</v>
      </c>
      <c r="N92" s="75">
        <f t="shared" si="10"/>
        <v>-593</v>
      </c>
      <c r="O92" s="75">
        <f t="shared" si="11"/>
        <v>-30.132113821138212</v>
      </c>
      <c r="P92" s="75">
        <f>VLOOKUP($A92,'Data Vlaue (Cr)'!$C:$FB,119)</f>
        <v>0.76</v>
      </c>
      <c r="Q92" s="75">
        <f>VLOOKUP($A92,'Data Vlaue (Cr)'!$C:$FB,122)*100</f>
        <v>0</v>
      </c>
      <c r="R92" s="75">
        <f>VLOOKUP($A92,'Data Vlaue (Cr)'!$C:$FB,125)</f>
        <v>0.6</v>
      </c>
      <c r="S92" s="75">
        <f>VLOOKUP($A92,'Data Vlaue (Cr)'!$C:$FB,128)*100</f>
        <v>-29.409999999999997</v>
      </c>
    </row>
    <row r="93" spans="1:19" x14ac:dyDescent="0.25">
      <c r="A93" s="96" t="str">
        <f>'Data Vlaue (Cr)'!C84</f>
        <v>HINDPETRO</v>
      </c>
      <c r="B93" s="75">
        <f>VLOOKUP($A93,'Data Vlaue (Cr)'!$C:$FB,2)</f>
        <v>2025</v>
      </c>
      <c r="C93" s="75">
        <f>VLOOKUP($A93,'Data Vlaue (Cr)'!$C:$FB,8)</f>
        <v>373.85</v>
      </c>
      <c r="D93" s="75">
        <f>VLOOKUP($A93,'Data Vlaue (Cr)'!$C:$FB,4)</f>
        <v>376.1</v>
      </c>
      <c r="E93" s="75">
        <f>VLOOKUP($A93,'Data Vlaue (Cr)'!$C:$FB,5)</f>
        <v>376.85</v>
      </c>
      <c r="F93" s="75">
        <f t="shared" si="6"/>
        <v>2.25</v>
      </c>
      <c r="G93" s="75">
        <f t="shared" si="7"/>
        <v>-0.19941504918904546</v>
      </c>
      <c r="H93" s="75">
        <f>VLOOKUP($A93,'Data Vlaue (Cr)'!$C:$FB,99)</f>
        <v>2210</v>
      </c>
      <c r="I93" s="75">
        <f>VLOOKUP($A93,'Data Vlaue (Cr)'!$C:$FB,100)</f>
        <v>2009</v>
      </c>
      <c r="J93" s="75">
        <f t="shared" si="8"/>
        <v>201</v>
      </c>
      <c r="K93" s="75">
        <f t="shared" si="9"/>
        <v>9.0950226244343888</v>
      </c>
      <c r="L93" s="75">
        <f>VLOOKUP($A93,'Data Vlaue (Cr)'!$C:$FB,67)</f>
        <v>776</v>
      </c>
      <c r="M93" s="75">
        <f>VLOOKUP($A93,'Data Vlaue (Cr)'!$C:$FB,68)</f>
        <v>930</v>
      </c>
      <c r="N93" s="75">
        <f t="shared" si="10"/>
        <v>-154</v>
      </c>
      <c r="O93" s="75">
        <f t="shared" si="11"/>
        <v>-19.845360824742269</v>
      </c>
      <c r="P93" s="75">
        <f>VLOOKUP($A93,'Data Vlaue (Cr)'!$C:$FB,119)</f>
        <v>1.1499999999999999</v>
      </c>
      <c r="Q93" s="75">
        <f>VLOOKUP($A93,'Data Vlaue (Cr)'!$C:$FB,122)*100</f>
        <v>9.5200000000000014</v>
      </c>
      <c r="R93" s="75">
        <f>VLOOKUP($A93,'Data Vlaue (Cr)'!$C:$FB,125)</f>
        <v>0.95</v>
      </c>
      <c r="S93" s="75">
        <f>VLOOKUP($A93,'Data Vlaue (Cr)'!$C:$FB,128)*100</f>
        <v>11.76</v>
      </c>
    </row>
    <row r="94" spans="1:19" x14ac:dyDescent="0.25">
      <c r="A94" s="96" t="str">
        <f>'Data Vlaue (Cr)'!C85</f>
        <v>HINDUNILVR</v>
      </c>
      <c r="B94" s="75">
        <f>VLOOKUP($A94,'Data Vlaue (Cr)'!$C:$FB,2)</f>
        <v>300</v>
      </c>
      <c r="C94" s="75">
        <f>VLOOKUP($A94,'Data Vlaue (Cr)'!$C:$FB,8)</f>
        <v>2309.3000000000002</v>
      </c>
      <c r="D94" s="75">
        <f>VLOOKUP($A94,'Data Vlaue (Cr)'!$C:$FB,4)</f>
        <v>2320.1999999999998</v>
      </c>
      <c r="E94" s="75">
        <f>VLOOKUP($A94,'Data Vlaue (Cr)'!$C:$FB,5)</f>
        <v>2259.6999999999998</v>
      </c>
      <c r="F94" s="75">
        <f t="shared" si="6"/>
        <v>10.899999999999636</v>
      </c>
      <c r="G94" s="75">
        <f t="shared" si="7"/>
        <v>2.6075338332902338</v>
      </c>
      <c r="H94" s="75">
        <f>VLOOKUP($A94,'Data Vlaue (Cr)'!$C:$FB,99)</f>
        <v>6119</v>
      </c>
      <c r="I94" s="75">
        <f>VLOOKUP($A94,'Data Vlaue (Cr)'!$C:$FB,100)</f>
        <v>6260</v>
      </c>
      <c r="J94" s="75">
        <f t="shared" si="8"/>
        <v>-141</v>
      </c>
      <c r="K94" s="75">
        <f t="shared" si="9"/>
        <v>-2.3042980879228634</v>
      </c>
      <c r="L94" s="75">
        <f>VLOOKUP($A94,'Data Vlaue (Cr)'!$C:$FB,67)</f>
        <v>11432</v>
      </c>
      <c r="M94" s="75">
        <f>VLOOKUP($A94,'Data Vlaue (Cr)'!$C:$FB,68)</f>
        <v>17777</v>
      </c>
      <c r="N94" s="75">
        <f t="shared" si="10"/>
        <v>-6345</v>
      </c>
      <c r="O94" s="75">
        <f t="shared" si="11"/>
        <v>-55.502099370188937</v>
      </c>
      <c r="P94" s="75">
        <f>VLOOKUP($A94,'Data Vlaue (Cr)'!$C:$FB,119)</f>
        <v>0.6</v>
      </c>
      <c r="Q94" s="75">
        <f>VLOOKUP($A94,'Data Vlaue (Cr)'!$C:$FB,122)*100</f>
        <v>11.110000000000001</v>
      </c>
      <c r="R94" s="75">
        <f>VLOOKUP($A94,'Data Vlaue (Cr)'!$C:$FB,125)</f>
        <v>0.47</v>
      </c>
      <c r="S94" s="75">
        <f>VLOOKUP($A94,'Data Vlaue (Cr)'!$C:$FB,128)*100</f>
        <v>-6</v>
      </c>
    </row>
    <row r="95" spans="1:19" x14ac:dyDescent="0.25">
      <c r="A95" s="96" t="str">
        <f>'Data Vlaue (Cr)'!C86</f>
        <v>HINDZINC</v>
      </c>
      <c r="B95" s="75">
        <f>VLOOKUP($A95,'Data Vlaue (Cr)'!$C:$FB,2)</f>
        <v>1225</v>
      </c>
      <c r="C95" s="75">
        <f>VLOOKUP($A95,'Data Vlaue (Cr)'!$C:$FB,8)</f>
        <v>605.54999999999995</v>
      </c>
      <c r="D95" s="75">
        <f>VLOOKUP($A95,'Data Vlaue (Cr)'!$C:$FB,4)</f>
        <v>607.5</v>
      </c>
      <c r="E95" s="75">
        <f>VLOOKUP($A95,'Data Vlaue (Cr)'!$C:$FB,5)</f>
        <v>597.70000000000005</v>
      </c>
      <c r="F95" s="75">
        <f t="shared" si="6"/>
        <v>1.9500000000000455</v>
      </c>
      <c r="G95" s="75">
        <f t="shared" si="7"/>
        <v>1.613168724279828</v>
      </c>
      <c r="H95" s="75">
        <f>VLOOKUP($A95,'Data Vlaue (Cr)'!$C:$FB,99)</f>
        <v>3722</v>
      </c>
      <c r="I95" s="75">
        <f>VLOOKUP($A95,'Data Vlaue (Cr)'!$C:$FB,100)</f>
        <v>3689</v>
      </c>
      <c r="J95" s="75">
        <f t="shared" si="8"/>
        <v>33</v>
      </c>
      <c r="K95" s="75">
        <f t="shared" si="9"/>
        <v>0.88662009672219233</v>
      </c>
      <c r="L95" s="75">
        <f>VLOOKUP($A95,'Data Vlaue (Cr)'!$C:$FB,67)</f>
        <v>1840</v>
      </c>
      <c r="M95" s="75">
        <f>VLOOKUP($A95,'Data Vlaue (Cr)'!$C:$FB,68)</f>
        <v>2396</v>
      </c>
      <c r="N95" s="75">
        <f t="shared" si="10"/>
        <v>-556</v>
      </c>
      <c r="O95" s="75">
        <f t="shared" si="11"/>
        <v>-30.217391304347824</v>
      </c>
      <c r="P95" s="75">
        <f>VLOOKUP($A95,'Data Vlaue (Cr)'!$C:$FB,119)</f>
        <v>0.63</v>
      </c>
      <c r="Q95" s="75">
        <f>VLOOKUP($A95,'Data Vlaue (Cr)'!$C:$FB,122)*100</f>
        <v>0</v>
      </c>
      <c r="R95" s="75">
        <f>VLOOKUP($A95,'Data Vlaue (Cr)'!$C:$FB,125)</f>
        <v>0.53</v>
      </c>
      <c r="S95" s="75">
        <f>VLOOKUP($A95,'Data Vlaue (Cr)'!$C:$FB,128)*100</f>
        <v>-14.52</v>
      </c>
    </row>
    <row r="96" spans="1:19" x14ac:dyDescent="0.25">
      <c r="A96" s="96" t="str">
        <f>'Data Vlaue (Cr)'!C87</f>
        <v>HYUNDAI</v>
      </c>
      <c r="B96" s="75">
        <f>VLOOKUP($A96,'Data Vlaue (Cr)'!$C:$FB,2)</f>
        <v>275</v>
      </c>
      <c r="C96" s="75">
        <f>VLOOKUP($A96,'Data Vlaue (Cr)'!$C:$FB,8)</f>
        <v>1844.5</v>
      </c>
      <c r="D96" s="75">
        <f>VLOOKUP($A96,'Data Vlaue (Cr)'!$C:$FB,4)</f>
        <v>1815.4</v>
      </c>
      <c r="E96" s="75">
        <f>VLOOKUP($A96,'Data Vlaue (Cr)'!$C:$FB,5)</f>
        <v>1807.6</v>
      </c>
      <c r="F96" s="75">
        <f t="shared" si="6"/>
        <v>-29.099999999999909</v>
      </c>
      <c r="G96" s="75">
        <f t="shared" si="7"/>
        <v>0.42965737578496099</v>
      </c>
      <c r="H96" s="75">
        <f>VLOOKUP($A96,'Data Vlaue (Cr)'!$C:$FB,99)</f>
        <v>1781</v>
      </c>
      <c r="I96" s="75">
        <f>VLOOKUP($A96,'Data Vlaue (Cr)'!$C:$FB,100)</f>
        <v>1764</v>
      </c>
      <c r="J96" s="75">
        <f t="shared" si="8"/>
        <v>17</v>
      </c>
      <c r="K96" s="75">
        <f t="shared" si="9"/>
        <v>0.95451993262212242</v>
      </c>
      <c r="L96" s="75">
        <f>VLOOKUP($A96,'Data Vlaue (Cr)'!$C:$FB,67)</f>
        <v>484</v>
      </c>
      <c r="M96" s="75">
        <f>VLOOKUP($A96,'Data Vlaue (Cr)'!$C:$FB,68)</f>
        <v>338</v>
      </c>
      <c r="N96" s="75">
        <f t="shared" si="10"/>
        <v>146</v>
      </c>
      <c r="O96" s="75">
        <f t="shared" si="11"/>
        <v>30.165289256198346</v>
      </c>
      <c r="P96" s="75">
        <f>VLOOKUP($A96,'Data Vlaue (Cr)'!$C:$FB,119)</f>
        <v>0.74</v>
      </c>
      <c r="Q96" s="75">
        <f>VLOOKUP($A96,'Data Vlaue (Cr)'!$C:$FB,122)*100</f>
        <v>-25.25</v>
      </c>
      <c r="R96" s="75">
        <f>VLOOKUP($A96,'Data Vlaue (Cr)'!$C:$FB,125)</f>
        <v>0.28999999999999998</v>
      </c>
      <c r="S96" s="75">
        <f>VLOOKUP($A96,'Data Vlaue (Cr)'!$C:$FB,128)*100</f>
        <v>-56.720000000000006</v>
      </c>
    </row>
    <row r="97" spans="1:19" x14ac:dyDescent="0.25">
      <c r="A97" s="96" t="str">
        <f>'Data Vlaue (Cr)'!C88</f>
        <v>ICICIBANK</v>
      </c>
      <c r="B97" s="75">
        <f>VLOOKUP($A97,'Data Vlaue (Cr)'!$C:$FB,2)</f>
        <v>700</v>
      </c>
      <c r="C97" s="75">
        <f>VLOOKUP($A97,'Data Vlaue (Cr)'!$C:$FB,8)</f>
        <v>1270.8</v>
      </c>
      <c r="D97" s="75">
        <f>VLOOKUP($A97,'Data Vlaue (Cr)'!$C:$FB,4)</f>
        <v>1278.3</v>
      </c>
      <c r="E97" s="75">
        <f>VLOOKUP($A97,'Data Vlaue (Cr)'!$C:$FB,5)</f>
        <v>1270.7</v>
      </c>
      <c r="F97" s="75">
        <f t="shared" si="6"/>
        <v>7.5</v>
      </c>
      <c r="G97" s="75">
        <f t="shared" si="7"/>
        <v>0.5945396229367057</v>
      </c>
      <c r="H97" s="75">
        <f>VLOOKUP($A97,'Data Vlaue (Cr)'!$C:$FB,99)</f>
        <v>24275</v>
      </c>
      <c r="I97" s="75">
        <f>VLOOKUP($A97,'Data Vlaue (Cr)'!$C:$FB,100)</f>
        <v>23289</v>
      </c>
      <c r="J97" s="75">
        <f t="shared" si="8"/>
        <v>986</v>
      </c>
      <c r="K97" s="75">
        <f t="shared" si="9"/>
        <v>4.0617919670442841</v>
      </c>
      <c r="L97" s="75">
        <f>VLOOKUP($A97,'Data Vlaue (Cr)'!$C:$FB,67)</f>
        <v>6843</v>
      </c>
      <c r="M97" s="75">
        <f>VLOOKUP($A97,'Data Vlaue (Cr)'!$C:$FB,68)</f>
        <v>8341</v>
      </c>
      <c r="N97" s="75">
        <f t="shared" si="10"/>
        <v>-1498</v>
      </c>
      <c r="O97" s="75">
        <f t="shared" si="11"/>
        <v>-21.890983486774807</v>
      </c>
      <c r="P97" s="75">
        <f>VLOOKUP($A97,'Data Vlaue (Cr)'!$C:$FB,119)</f>
        <v>0.6</v>
      </c>
      <c r="Q97" s="75">
        <f>VLOOKUP($A97,'Data Vlaue (Cr)'!$C:$FB,122)*100</f>
        <v>-7.6899999999999995</v>
      </c>
      <c r="R97" s="75">
        <f>VLOOKUP($A97,'Data Vlaue (Cr)'!$C:$FB,125)</f>
        <v>0.56000000000000005</v>
      </c>
      <c r="S97" s="75">
        <f>VLOOKUP($A97,'Data Vlaue (Cr)'!$C:$FB,128)*100</f>
        <v>7.6899999999999995</v>
      </c>
    </row>
    <row r="98" spans="1:19" x14ac:dyDescent="0.25">
      <c r="A98" s="96" t="str">
        <f>'Data Vlaue (Cr)'!C89</f>
        <v>ICICIGI</v>
      </c>
      <c r="B98" s="75">
        <f>VLOOKUP($A98,'Data Vlaue (Cr)'!$C:$FB,2)</f>
        <v>325</v>
      </c>
      <c r="C98" s="75">
        <f>VLOOKUP($A98,'Data Vlaue (Cr)'!$C:$FB,8)</f>
        <v>1756.8</v>
      </c>
      <c r="D98" s="75">
        <f>VLOOKUP($A98,'Data Vlaue (Cr)'!$C:$FB,4)</f>
        <v>1761.7</v>
      </c>
      <c r="E98" s="75">
        <f>VLOOKUP($A98,'Data Vlaue (Cr)'!$C:$FB,5)</f>
        <v>1768.1</v>
      </c>
      <c r="F98" s="75">
        <f t="shared" si="6"/>
        <v>4.9000000000000909</v>
      </c>
      <c r="G98" s="75">
        <f t="shared" si="7"/>
        <v>-0.36328546290514069</v>
      </c>
      <c r="H98" s="75">
        <f>VLOOKUP($A98,'Data Vlaue (Cr)'!$C:$FB,99)</f>
        <v>1086</v>
      </c>
      <c r="I98" s="75">
        <f>VLOOKUP($A98,'Data Vlaue (Cr)'!$C:$FB,100)</f>
        <v>1059</v>
      </c>
      <c r="J98" s="75">
        <f t="shared" si="8"/>
        <v>27</v>
      </c>
      <c r="K98" s="75">
        <f t="shared" si="9"/>
        <v>2.4861878453038675</v>
      </c>
      <c r="L98" s="75">
        <f>VLOOKUP($A98,'Data Vlaue (Cr)'!$C:$FB,67)</f>
        <v>237</v>
      </c>
      <c r="M98" s="75">
        <f>VLOOKUP($A98,'Data Vlaue (Cr)'!$C:$FB,68)</f>
        <v>192</v>
      </c>
      <c r="N98" s="75">
        <f t="shared" si="10"/>
        <v>45</v>
      </c>
      <c r="O98" s="75">
        <f t="shared" si="11"/>
        <v>18.9873417721519</v>
      </c>
      <c r="P98" s="75">
        <f>VLOOKUP($A98,'Data Vlaue (Cr)'!$C:$FB,119)</f>
        <v>0.61</v>
      </c>
      <c r="Q98" s="75">
        <f>VLOOKUP($A98,'Data Vlaue (Cr)'!$C:$FB,122)*100</f>
        <v>-1.6099999999999999</v>
      </c>
      <c r="R98" s="75">
        <f>VLOOKUP($A98,'Data Vlaue (Cr)'!$C:$FB,125)</f>
        <v>0.54</v>
      </c>
      <c r="S98" s="75">
        <f>VLOOKUP($A98,'Data Vlaue (Cr)'!$C:$FB,128)*100</f>
        <v>0</v>
      </c>
    </row>
    <row r="99" spans="1:19" x14ac:dyDescent="0.25">
      <c r="A99" s="96" t="str">
        <f>'Data Vlaue (Cr)'!C90</f>
        <v>ICICIPRULI</v>
      </c>
      <c r="B99" s="75">
        <f>VLOOKUP($A99,'Data Vlaue (Cr)'!$C:$FB,2)</f>
        <v>925</v>
      </c>
      <c r="C99" s="75">
        <f>VLOOKUP($A99,'Data Vlaue (Cr)'!$C:$FB,8)</f>
        <v>535.54999999999995</v>
      </c>
      <c r="D99" s="75">
        <f>VLOOKUP($A99,'Data Vlaue (Cr)'!$C:$FB,4)</f>
        <v>538.15</v>
      </c>
      <c r="E99" s="75">
        <f>VLOOKUP($A99,'Data Vlaue (Cr)'!$C:$FB,5)</f>
        <v>516</v>
      </c>
      <c r="F99" s="75">
        <f t="shared" si="6"/>
        <v>2.6000000000000227</v>
      </c>
      <c r="G99" s="75">
        <f t="shared" si="7"/>
        <v>4.1159528012635844</v>
      </c>
      <c r="H99" s="75">
        <f>VLOOKUP($A99,'Data Vlaue (Cr)'!$C:$FB,99)</f>
        <v>1403</v>
      </c>
      <c r="I99" s="75">
        <f>VLOOKUP($A99,'Data Vlaue (Cr)'!$C:$FB,100)</f>
        <v>1375</v>
      </c>
      <c r="J99" s="75">
        <f t="shared" si="8"/>
        <v>28</v>
      </c>
      <c r="K99" s="75">
        <f t="shared" si="9"/>
        <v>1.9957234497505347</v>
      </c>
      <c r="L99" s="75">
        <f>VLOOKUP($A99,'Data Vlaue (Cr)'!$C:$FB,67)</f>
        <v>666</v>
      </c>
      <c r="M99" s="75">
        <f>VLOOKUP($A99,'Data Vlaue (Cr)'!$C:$FB,68)</f>
        <v>303</v>
      </c>
      <c r="N99" s="75">
        <f t="shared" si="10"/>
        <v>363</v>
      </c>
      <c r="O99" s="75">
        <f t="shared" si="11"/>
        <v>54.504504504504503</v>
      </c>
      <c r="P99" s="75">
        <f>VLOOKUP($A99,'Data Vlaue (Cr)'!$C:$FB,119)</f>
        <v>0.65</v>
      </c>
      <c r="Q99" s="75">
        <f>VLOOKUP($A99,'Data Vlaue (Cr)'!$C:$FB,122)*100</f>
        <v>-4.41</v>
      </c>
      <c r="R99" s="75">
        <f>VLOOKUP($A99,'Data Vlaue (Cr)'!$C:$FB,125)</f>
        <v>0.4</v>
      </c>
      <c r="S99" s="75">
        <f>VLOOKUP($A99,'Data Vlaue (Cr)'!$C:$FB,128)*100</f>
        <v>-11.110000000000001</v>
      </c>
    </row>
    <row r="100" spans="1:19" x14ac:dyDescent="0.25">
      <c r="A100" s="96" t="str">
        <f>'Data Vlaue (Cr)'!C91</f>
        <v>IDEA</v>
      </c>
      <c r="B100" s="75">
        <f>VLOOKUP($A100,'Data Vlaue (Cr)'!$C:$FB,2)</f>
        <v>71475</v>
      </c>
      <c r="C100" s="75">
        <f>VLOOKUP($A100,'Data Vlaue (Cr)'!$C:$FB,8)</f>
        <v>10.52</v>
      </c>
      <c r="D100" s="75">
        <f>VLOOKUP($A100,'Data Vlaue (Cr)'!$C:$FB,4)</f>
        <v>10.57</v>
      </c>
      <c r="E100" s="75">
        <f>VLOOKUP($A100,'Data Vlaue (Cr)'!$C:$FB,5)</f>
        <v>10.26</v>
      </c>
      <c r="F100" s="75">
        <f t="shared" si="6"/>
        <v>5.0000000000000711E-2</v>
      </c>
      <c r="G100" s="75">
        <f t="shared" si="7"/>
        <v>2.9328287606433348</v>
      </c>
      <c r="H100" s="75">
        <f>VLOOKUP($A100,'Data Vlaue (Cr)'!$C:$FB,99)</f>
        <v>9648</v>
      </c>
      <c r="I100" s="75">
        <f>VLOOKUP($A100,'Data Vlaue (Cr)'!$C:$FB,100)</f>
        <v>9018</v>
      </c>
      <c r="J100" s="75">
        <f t="shared" si="8"/>
        <v>630</v>
      </c>
      <c r="K100" s="75">
        <f t="shared" si="9"/>
        <v>6.5298507462686564</v>
      </c>
      <c r="L100" s="75">
        <f>VLOOKUP($A100,'Data Vlaue (Cr)'!$C:$FB,67)</f>
        <v>5666</v>
      </c>
      <c r="M100" s="75">
        <f>VLOOKUP($A100,'Data Vlaue (Cr)'!$C:$FB,68)</f>
        <v>2257</v>
      </c>
      <c r="N100" s="75">
        <f t="shared" si="10"/>
        <v>3409</v>
      </c>
      <c r="O100" s="75">
        <f t="shared" si="11"/>
        <v>60.165901870808327</v>
      </c>
      <c r="P100" s="75">
        <f>VLOOKUP($A100,'Data Vlaue (Cr)'!$C:$FB,119)</f>
        <v>0.48</v>
      </c>
      <c r="Q100" s="75">
        <f>VLOOKUP($A100,'Data Vlaue (Cr)'!$C:$FB,122)*100</f>
        <v>-5.88</v>
      </c>
      <c r="R100" s="75">
        <f>VLOOKUP($A100,'Data Vlaue (Cr)'!$C:$FB,125)</f>
        <v>0.24</v>
      </c>
      <c r="S100" s="75">
        <f>VLOOKUP($A100,'Data Vlaue (Cr)'!$C:$FB,128)*100</f>
        <v>-17.239999999999998</v>
      </c>
    </row>
    <row r="101" spans="1:19" x14ac:dyDescent="0.25">
      <c r="A101" s="96" t="str">
        <f>'Data Vlaue (Cr)'!C92</f>
        <v>IDFCFIRSTB</v>
      </c>
      <c r="B101" s="75">
        <f>VLOOKUP($A101,'Data Vlaue (Cr)'!$C:$FB,2)</f>
        <v>9275</v>
      </c>
      <c r="C101" s="75">
        <f>VLOOKUP($A101,'Data Vlaue (Cr)'!$C:$FB,8)</f>
        <v>69.59</v>
      </c>
      <c r="D101" s="75">
        <f>VLOOKUP($A101,'Data Vlaue (Cr)'!$C:$FB,4)</f>
        <v>69.989999999999995</v>
      </c>
      <c r="E101" s="75">
        <f>VLOOKUP($A101,'Data Vlaue (Cr)'!$C:$FB,5)</f>
        <v>70.06</v>
      </c>
      <c r="F101" s="75">
        <f t="shared" si="6"/>
        <v>0.39999999999999147</v>
      </c>
      <c r="G101" s="75">
        <f t="shared" si="7"/>
        <v>-0.10001428775540419</v>
      </c>
      <c r="H101" s="75">
        <f>VLOOKUP($A101,'Data Vlaue (Cr)'!$C:$FB,99)</f>
        <v>4010</v>
      </c>
      <c r="I101" s="75">
        <f>VLOOKUP($A101,'Data Vlaue (Cr)'!$C:$FB,100)</f>
        <v>3925</v>
      </c>
      <c r="J101" s="75">
        <f t="shared" si="8"/>
        <v>85</v>
      </c>
      <c r="K101" s="75">
        <f t="shared" si="9"/>
        <v>2.1197007481296759</v>
      </c>
      <c r="L101" s="75">
        <f>VLOOKUP($A101,'Data Vlaue (Cr)'!$C:$FB,67)</f>
        <v>1134</v>
      </c>
      <c r="M101" s="75">
        <f>VLOOKUP($A101,'Data Vlaue (Cr)'!$C:$FB,68)</f>
        <v>1227</v>
      </c>
      <c r="N101" s="75">
        <f t="shared" si="10"/>
        <v>-93</v>
      </c>
      <c r="O101" s="75">
        <f t="shared" si="11"/>
        <v>-8.2010582010582009</v>
      </c>
      <c r="P101" s="75">
        <f>VLOOKUP($A101,'Data Vlaue (Cr)'!$C:$FB,119)</f>
        <v>0.93</v>
      </c>
      <c r="Q101" s="75">
        <f>VLOOKUP($A101,'Data Vlaue (Cr)'!$C:$FB,122)*100</f>
        <v>1.0900000000000001</v>
      </c>
      <c r="R101" s="75">
        <f>VLOOKUP($A101,'Data Vlaue (Cr)'!$C:$FB,125)</f>
        <v>0.9</v>
      </c>
      <c r="S101" s="75">
        <f>VLOOKUP($A101,'Data Vlaue (Cr)'!$C:$FB,128)*100</f>
        <v>25</v>
      </c>
    </row>
    <row r="102" spans="1:19" x14ac:dyDescent="0.25">
      <c r="A102" s="96" t="str">
        <f>'Data Vlaue (Cr)'!C93</f>
        <v>IEX</v>
      </c>
      <c r="B102" s="75">
        <f>VLOOKUP($A102,'Data Vlaue (Cr)'!$C:$FB,2)</f>
        <v>3750</v>
      </c>
      <c r="C102" s="75">
        <f>VLOOKUP($A102,'Data Vlaue (Cr)'!$C:$FB,8)</f>
        <v>126.97</v>
      </c>
      <c r="D102" s="75">
        <f>VLOOKUP($A102,'Data Vlaue (Cr)'!$C:$FB,4)</f>
        <v>125.72</v>
      </c>
      <c r="E102" s="75">
        <f>VLOOKUP($A102,'Data Vlaue (Cr)'!$C:$FB,5)</f>
        <v>124.03</v>
      </c>
      <c r="F102" s="75">
        <f t="shared" si="6"/>
        <v>-1.25</v>
      </c>
      <c r="G102" s="75">
        <f t="shared" si="7"/>
        <v>1.3442570792236699</v>
      </c>
      <c r="H102" s="75">
        <f>VLOOKUP($A102,'Data Vlaue (Cr)'!$C:$FB,99)</f>
        <v>1774</v>
      </c>
      <c r="I102" s="75">
        <f>VLOOKUP($A102,'Data Vlaue (Cr)'!$C:$FB,100)</f>
        <v>1705</v>
      </c>
      <c r="J102" s="75">
        <f t="shared" si="8"/>
        <v>69</v>
      </c>
      <c r="K102" s="75">
        <f t="shared" si="9"/>
        <v>3.8895152198421648</v>
      </c>
      <c r="L102" s="75">
        <f>VLOOKUP($A102,'Data Vlaue (Cr)'!$C:$FB,67)</f>
        <v>678</v>
      </c>
      <c r="M102" s="75">
        <f>VLOOKUP($A102,'Data Vlaue (Cr)'!$C:$FB,68)</f>
        <v>503</v>
      </c>
      <c r="N102" s="75">
        <f t="shared" si="10"/>
        <v>175</v>
      </c>
      <c r="O102" s="75">
        <f t="shared" si="11"/>
        <v>25.811209439528021</v>
      </c>
      <c r="P102" s="75">
        <f>VLOOKUP($A102,'Data Vlaue (Cr)'!$C:$FB,119)</f>
        <v>0.6</v>
      </c>
      <c r="Q102" s="75">
        <f>VLOOKUP($A102,'Data Vlaue (Cr)'!$C:$FB,122)*100</f>
        <v>-1.6400000000000001</v>
      </c>
      <c r="R102" s="75">
        <f>VLOOKUP($A102,'Data Vlaue (Cr)'!$C:$FB,125)</f>
        <v>0.45</v>
      </c>
      <c r="S102" s="75">
        <f>VLOOKUP($A102,'Data Vlaue (Cr)'!$C:$FB,128)*100</f>
        <v>28.57</v>
      </c>
    </row>
    <row r="103" spans="1:19" x14ac:dyDescent="0.25">
      <c r="A103" s="96" t="str">
        <f>'Data Vlaue (Cr)'!C94</f>
        <v>INDHOTEL</v>
      </c>
      <c r="B103" s="75">
        <f>VLOOKUP($A103,'Data Vlaue (Cr)'!$C:$FB,2)</f>
        <v>1000</v>
      </c>
      <c r="C103" s="75">
        <f>VLOOKUP($A103,'Data Vlaue (Cr)'!$C:$FB,8)</f>
        <v>643.70000000000005</v>
      </c>
      <c r="D103" s="75">
        <f>VLOOKUP($A103,'Data Vlaue (Cr)'!$C:$FB,4)</f>
        <v>645.54999999999995</v>
      </c>
      <c r="E103" s="75">
        <f>VLOOKUP($A103,'Data Vlaue (Cr)'!$C:$FB,5)</f>
        <v>640</v>
      </c>
      <c r="F103" s="75">
        <f t="shared" si="6"/>
        <v>1.8499999999999091</v>
      </c>
      <c r="G103" s="75">
        <f t="shared" si="7"/>
        <v>0.85973201146308664</v>
      </c>
      <c r="H103" s="75">
        <f>VLOOKUP($A103,'Data Vlaue (Cr)'!$C:$FB,99)</f>
        <v>2005</v>
      </c>
      <c r="I103" s="75">
        <f>VLOOKUP($A103,'Data Vlaue (Cr)'!$C:$FB,100)</f>
        <v>1973</v>
      </c>
      <c r="J103" s="75">
        <f t="shared" si="8"/>
        <v>32</v>
      </c>
      <c r="K103" s="75">
        <f t="shared" si="9"/>
        <v>1.596009975062344</v>
      </c>
      <c r="L103" s="75">
        <f>VLOOKUP($A103,'Data Vlaue (Cr)'!$C:$FB,67)</f>
        <v>474</v>
      </c>
      <c r="M103" s="75">
        <f>VLOOKUP($A103,'Data Vlaue (Cr)'!$C:$FB,68)</f>
        <v>733</v>
      </c>
      <c r="N103" s="75">
        <f t="shared" si="10"/>
        <v>-259</v>
      </c>
      <c r="O103" s="75">
        <f t="shared" si="11"/>
        <v>-54.641350210970465</v>
      </c>
      <c r="P103" s="75">
        <f>VLOOKUP($A103,'Data Vlaue (Cr)'!$C:$FB,119)</f>
        <v>1.23</v>
      </c>
      <c r="Q103" s="75">
        <f>VLOOKUP($A103,'Data Vlaue (Cr)'!$C:$FB,122)*100</f>
        <v>-6.11</v>
      </c>
      <c r="R103" s="75">
        <f>VLOOKUP($A103,'Data Vlaue (Cr)'!$C:$FB,125)</f>
        <v>0.73</v>
      </c>
      <c r="S103" s="75">
        <f>VLOOKUP($A103,'Data Vlaue (Cr)'!$C:$FB,128)*100</f>
        <v>-10.979999999999999</v>
      </c>
    </row>
    <row r="104" spans="1:19" x14ac:dyDescent="0.25">
      <c r="A104" s="96" t="str">
        <f>'Data Vlaue (Cr)'!C95</f>
        <v>INDIANB</v>
      </c>
      <c r="B104" s="75">
        <f>VLOOKUP($A104,'Data Vlaue (Cr)'!$C:$FB,2)</f>
        <v>1000</v>
      </c>
      <c r="C104" s="75">
        <f>VLOOKUP($A104,'Data Vlaue (Cr)'!$C:$FB,8)</f>
        <v>830.35</v>
      </c>
      <c r="D104" s="75">
        <f>VLOOKUP($A104,'Data Vlaue (Cr)'!$C:$FB,4)</f>
        <v>834.35</v>
      </c>
      <c r="E104" s="75">
        <f>VLOOKUP($A104,'Data Vlaue (Cr)'!$C:$FB,5)</f>
        <v>855.95</v>
      </c>
      <c r="F104" s="75">
        <f t="shared" si="6"/>
        <v>4</v>
      </c>
      <c r="G104" s="75">
        <f t="shared" si="7"/>
        <v>-2.5888416132318599</v>
      </c>
      <c r="H104" s="75">
        <f>VLOOKUP($A104,'Data Vlaue (Cr)'!$C:$FB,99)</f>
        <v>1953</v>
      </c>
      <c r="I104" s="75">
        <f>VLOOKUP($A104,'Data Vlaue (Cr)'!$C:$FB,100)</f>
        <v>1824</v>
      </c>
      <c r="J104" s="75">
        <f t="shared" si="8"/>
        <v>129</v>
      </c>
      <c r="K104" s="75">
        <f t="shared" si="9"/>
        <v>6.6052227342549923</v>
      </c>
      <c r="L104" s="75">
        <f>VLOOKUP($A104,'Data Vlaue (Cr)'!$C:$FB,67)</f>
        <v>1206</v>
      </c>
      <c r="M104" s="75">
        <f>VLOOKUP($A104,'Data Vlaue (Cr)'!$C:$FB,68)</f>
        <v>4474</v>
      </c>
      <c r="N104" s="75">
        <f t="shared" si="10"/>
        <v>-3268</v>
      </c>
      <c r="O104" s="75">
        <f t="shared" si="11"/>
        <v>-270.97844112769485</v>
      </c>
      <c r="P104" s="75">
        <f>VLOOKUP($A104,'Data Vlaue (Cr)'!$C:$FB,119)</f>
        <v>0.53</v>
      </c>
      <c r="Q104" s="75">
        <f>VLOOKUP($A104,'Data Vlaue (Cr)'!$C:$FB,122)*100</f>
        <v>-8.6199999999999992</v>
      </c>
      <c r="R104" s="75">
        <f>VLOOKUP($A104,'Data Vlaue (Cr)'!$C:$FB,125)</f>
        <v>0.4</v>
      </c>
      <c r="S104" s="75">
        <f>VLOOKUP($A104,'Data Vlaue (Cr)'!$C:$FB,128)*100</f>
        <v>-41.18</v>
      </c>
    </row>
    <row r="105" spans="1:19" x14ac:dyDescent="0.25">
      <c r="A105" s="96" t="str">
        <f>'Data Vlaue (Cr)'!C96</f>
        <v>INDIAVIX</v>
      </c>
      <c r="B105" s="75">
        <f>VLOOKUP($A105,'Data Vlaue (Cr)'!$C:$FB,2)</f>
        <v>1</v>
      </c>
      <c r="C105" s="75">
        <f>VLOOKUP($A105,'Data Vlaue (Cr)'!$C:$FB,8)</f>
        <v>18.3</v>
      </c>
      <c r="D105" s="75">
        <f>VLOOKUP($A105,'Data Vlaue (Cr)'!$C:$FB,4)</f>
        <v>18.3</v>
      </c>
      <c r="E105" s="75">
        <f>VLOOKUP($A105,'Data Vlaue (Cr)'!$C:$FB,5)</f>
        <v>18.46</v>
      </c>
      <c r="F105" s="75">
        <f t="shared" si="6"/>
        <v>0</v>
      </c>
      <c r="G105" s="75">
        <f t="shared" si="7"/>
        <v>-0.87431693989071113</v>
      </c>
      <c r="H105" s="75">
        <f>VLOOKUP($A105,'Data Vlaue (Cr)'!$C:$FB,99)</f>
        <v>0</v>
      </c>
      <c r="I105" s="75">
        <f>VLOOKUP($A105,'Data Vlaue (Cr)'!$C:$FB,100)</f>
        <v>0</v>
      </c>
      <c r="J105" s="75">
        <f t="shared" si="8"/>
        <v>0</v>
      </c>
      <c r="K105" s="75" t="e">
        <f t="shared" si="9"/>
        <v>#DIV/0!</v>
      </c>
      <c r="L105" s="75">
        <f>VLOOKUP($A105,'Data Vlaue (Cr)'!$C:$FB,67)</f>
        <v>0</v>
      </c>
      <c r="M105" s="75">
        <f>VLOOKUP($A105,'Data Vlaue (Cr)'!$C:$FB,68)</f>
        <v>0</v>
      </c>
      <c r="N105" s="75">
        <f t="shared" si="10"/>
        <v>0</v>
      </c>
      <c r="O105" s="75" t="e">
        <f t="shared" si="11"/>
        <v>#DIV/0!</v>
      </c>
      <c r="P105" s="75">
        <f>VLOOKUP($A105,'Data Vlaue (Cr)'!$C:$FB,119)</f>
        <v>0</v>
      </c>
      <c r="Q105" s="75">
        <f>VLOOKUP($A105,'Data Vlaue (Cr)'!$C:$FB,122)*100</f>
        <v>0</v>
      </c>
      <c r="R105" s="75">
        <f>VLOOKUP($A105,'Data Vlaue (Cr)'!$C:$FB,125)</f>
        <v>0</v>
      </c>
      <c r="S105" s="75">
        <f>VLOOKUP($A105,'Data Vlaue (Cr)'!$C:$FB,128)*100</f>
        <v>0</v>
      </c>
    </row>
    <row r="106" spans="1:19" x14ac:dyDescent="0.25">
      <c r="A106" s="96" t="str">
        <f>'Data Vlaue (Cr)'!C97</f>
        <v>INDIGO</v>
      </c>
      <c r="B106" s="75">
        <f>VLOOKUP($A106,'Data Vlaue (Cr)'!$C:$FB,2)</f>
        <v>150</v>
      </c>
      <c r="C106" s="75">
        <f>VLOOKUP($A106,'Data Vlaue (Cr)'!$C:$FB,8)</f>
        <v>4262.3999999999996</v>
      </c>
      <c r="D106" s="75">
        <f>VLOOKUP($A106,'Data Vlaue (Cr)'!$C:$FB,4)</f>
        <v>4285.3999999999996</v>
      </c>
      <c r="E106" s="75">
        <f>VLOOKUP($A106,'Data Vlaue (Cr)'!$C:$FB,5)</f>
        <v>4321.3</v>
      </c>
      <c r="F106" s="75">
        <f t="shared" si="6"/>
        <v>23</v>
      </c>
      <c r="G106" s="75">
        <f t="shared" si="7"/>
        <v>-0.83772810006068399</v>
      </c>
      <c r="H106" s="75">
        <f>VLOOKUP($A106,'Data Vlaue (Cr)'!$C:$FB,99)</f>
        <v>5435</v>
      </c>
      <c r="I106" s="75">
        <f>VLOOKUP($A106,'Data Vlaue (Cr)'!$C:$FB,100)</f>
        <v>4993</v>
      </c>
      <c r="J106" s="75">
        <f t="shared" si="8"/>
        <v>442</v>
      </c>
      <c r="K106" s="75">
        <f t="shared" si="9"/>
        <v>8.132474701011958</v>
      </c>
      <c r="L106" s="75">
        <f>VLOOKUP($A106,'Data Vlaue (Cr)'!$C:$FB,67)</f>
        <v>3241</v>
      </c>
      <c r="M106" s="75">
        <f>VLOOKUP($A106,'Data Vlaue (Cr)'!$C:$FB,68)</f>
        <v>4260</v>
      </c>
      <c r="N106" s="75">
        <f t="shared" si="10"/>
        <v>-1019</v>
      </c>
      <c r="O106" s="75">
        <f t="shared" si="11"/>
        <v>-31.440913298364702</v>
      </c>
      <c r="P106" s="75">
        <f>VLOOKUP($A106,'Data Vlaue (Cr)'!$C:$FB,119)</f>
        <v>0.63</v>
      </c>
      <c r="Q106" s="75">
        <f>VLOOKUP($A106,'Data Vlaue (Cr)'!$C:$FB,122)*100</f>
        <v>-21.25</v>
      </c>
      <c r="R106" s="75">
        <f>VLOOKUP($A106,'Data Vlaue (Cr)'!$C:$FB,125)</f>
        <v>0.74</v>
      </c>
      <c r="S106" s="75">
        <f>VLOOKUP($A106,'Data Vlaue (Cr)'!$C:$FB,128)*100</f>
        <v>-38.33</v>
      </c>
    </row>
    <row r="107" spans="1:19" x14ac:dyDescent="0.25">
      <c r="A107" s="96" t="str">
        <f>'Data Vlaue (Cr)'!C98</f>
        <v>INDUSINDBK</v>
      </c>
      <c r="B107" s="75">
        <f>VLOOKUP($A107,'Data Vlaue (Cr)'!$C:$FB,2)</f>
        <v>700</v>
      </c>
      <c r="C107" s="75">
        <f>VLOOKUP($A107,'Data Vlaue (Cr)'!$C:$FB,8)</f>
        <v>913.9</v>
      </c>
      <c r="D107" s="75">
        <f>VLOOKUP($A107,'Data Vlaue (Cr)'!$C:$FB,4)</f>
        <v>919</v>
      </c>
      <c r="E107" s="75">
        <f>VLOOKUP($A107,'Data Vlaue (Cr)'!$C:$FB,5)</f>
        <v>921.35</v>
      </c>
      <c r="F107" s="75">
        <f t="shared" si="6"/>
        <v>5.1000000000000227</v>
      </c>
      <c r="G107" s="75">
        <f t="shared" si="7"/>
        <v>-0.25571273122959987</v>
      </c>
      <c r="H107" s="75">
        <f>VLOOKUP($A107,'Data Vlaue (Cr)'!$C:$FB,99)</f>
        <v>4312</v>
      </c>
      <c r="I107" s="75">
        <f>VLOOKUP($A107,'Data Vlaue (Cr)'!$C:$FB,100)</f>
        <v>4285</v>
      </c>
      <c r="J107" s="75">
        <f t="shared" si="8"/>
        <v>27</v>
      </c>
      <c r="K107" s="75">
        <f t="shared" si="9"/>
        <v>0.62615955473098328</v>
      </c>
      <c r="L107" s="75">
        <f>VLOOKUP($A107,'Data Vlaue (Cr)'!$C:$FB,67)</f>
        <v>1801</v>
      </c>
      <c r="M107" s="75">
        <f>VLOOKUP($A107,'Data Vlaue (Cr)'!$C:$FB,68)</f>
        <v>1999</v>
      </c>
      <c r="N107" s="75">
        <f t="shared" si="10"/>
        <v>-198</v>
      </c>
      <c r="O107" s="75">
        <f t="shared" si="11"/>
        <v>-10.993892282065518</v>
      </c>
      <c r="P107" s="75">
        <f>VLOOKUP($A107,'Data Vlaue (Cr)'!$C:$FB,119)</f>
        <v>0.94</v>
      </c>
      <c r="Q107" s="75">
        <f>VLOOKUP($A107,'Data Vlaue (Cr)'!$C:$FB,122)*100</f>
        <v>-9.6199999999999992</v>
      </c>
      <c r="R107" s="75">
        <f>VLOOKUP($A107,'Data Vlaue (Cr)'!$C:$FB,125)</f>
        <v>0.85</v>
      </c>
      <c r="S107" s="75">
        <f>VLOOKUP($A107,'Data Vlaue (Cr)'!$C:$FB,128)*100</f>
        <v>-4.49</v>
      </c>
    </row>
    <row r="108" spans="1:19" x14ac:dyDescent="0.25">
      <c r="A108" s="96" t="str">
        <f>'Data Vlaue (Cr)'!C99</f>
        <v>INDUSTOWER</v>
      </c>
      <c r="B108" s="75">
        <f>VLOOKUP($A108,'Data Vlaue (Cr)'!$C:$FB,2)</f>
        <v>1700</v>
      </c>
      <c r="C108" s="75">
        <f>VLOOKUP($A108,'Data Vlaue (Cr)'!$C:$FB,8)</f>
        <v>400.25</v>
      </c>
      <c r="D108" s="75">
        <f>VLOOKUP($A108,'Data Vlaue (Cr)'!$C:$FB,4)</f>
        <v>402.55</v>
      </c>
      <c r="E108" s="75">
        <f>VLOOKUP($A108,'Data Vlaue (Cr)'!$C:$FB,5)</f>
        <v>412.2</v>
      </c>
      <c r="F108" s="75">
        <f t="shared" si="6"/>
        <v>2.3000000000000114</v>
      </c>
      <c r="G108" s="75">
        <f t="shared" si="7"/>
        <v>-2.3972177369270842</v>
      </c>
      <c r="H108" s="75">
        <f>VLOOKUP($A108,'Data Vlaue (Cr)'!$C:$FB,99)</f>
        <v>5281</v>
      </c>
      <c r="I108" s="75">
        <f>VLOOKUP($A108,'Data Vlaue (Cr)'!$C:$FB,100)</f>
        <v>4717</v>
      </c>
      <c r="J108" s="75">
        <f t="shared" si="8"/>
        <v>564</v>
      </c>
      <c r="K108" s="75">
        <f t="shared" si="9"/>
        <v>10.679795493277789</v>
      </c>
      <c r="L108" s="75">
        <f>VLOOKUP($A108,'Data Vlaue (Cr)'!$C:$FB,67)</f>
        <v>5768</v>
      </c>
      <c r="M108" s="75">
        <f>VLOOKUP($A108,'Data Vlaue (Cr)'!$C:$FB,68)</f>
        <v>1691</v>
      </c>
      <c r="N108" s="75">
        <f t="shared" si="10"/>
        <v>4077</v>
      </c>
      <c r="O108" s="75">
        <f t="shared" si="11"/>
        <v>70.683079056865466</v>
      </c>
      <c r="P108" s="75">
        <f>VLOOKUP($A108,'Data Vlaue (Cr)'!$C:$FB,119)</f>
        <v>0.73</v>
      </c>
      <c r="Q108" s="75">
        <f>VLOOKUP($A108,'Data Vlaue (Cr)'!$C:$FB,122)*100</f>
        <v>-6.41</v>
      </c>
      <c r="R108" s="75">
        <f>VLOOKUP($A108,'Data Vlaue (Cr)'!$C:$FB,125)</f>
        <v>0.48</v>
      </c>
      <c r="S108" s="75">
        <f>VLOOKUP($A108,'Data Vlaue (Cr)'!$C:$FB,128)*100</f>
        <v>-15.790000000000001</v>
      </c>
    </row>
    <row r="109" spans="1:19" x14ac:dyDescent="0.25">
      <c r="A109" s="96" t="str">
        <f>'Data Vlaue (Cr)'!C100</f>
        <v>INFY</v>
      </c>
      <c r="B109" s="75">
        <f>VLOOKUP($A109,'Data Vlaue (Cr)'!$C:$FB,2)</f>
        <v>400</v>
      </c>
      <c r="C109" s="75">
        <f>VLOOKUP($A109,'Data Vlaue (Cr)'!$C:$FB,8)</f>
        <v>1168.4000000000001</v>
      </c>
      <c r="D109" s="75">
        <f>VLOOKUP($A109,'Data Vlaue (Cr)'!$C:$FB,4)</f>
        <v>1173</v>
      </c>
      <c r="E109" s="75">
        <f>VLOOKUP($A109,'Data Vlaue (Cr)'!$C:$FB,5)</f>
        <v>1187.4000000000001</v>
      </c>
      <c r="F109" s="75">
        <f t="shared" si="6"/>
        <v>4.5999999999999091</v>
      </c>
      <c r="G109" s="75">
        <f t="shared" si="7"/>
        <v>-1.2276214833759669</v>
      </c>
      <c r="H109" s="75">
        <f>VLOOKUP($A109,'Data Vlaue (Cr)'!$C:$FB,99)</f>
        <v>16309</v>
      </c>
      <c r="I109" s="75">
        <f>VLOOKUP($A109,'Data Vlaue (Cr)'!$C:$FB,100)</f>
        <v>15744</v>
      </c>
      <c r="J109" s="75">
        <f t="shared" si="8"/>
        <v>565</v>
      </c>
      <c r="K109" s="75">
        <f t="shared" si="9"/>
        <v>3.4643448402722425</v>
      </c>
      <c r="L109" s="75">
        <f>VLOOKUP($A109,'Data Vlaue (Cr)'!$C:$FB,67)</f>
        <v>4382</v>
      </c>
      <c r="M109" s="75">
        <f>VLOOKUP($A109,'Data Vlaue (Cr)'!$C:$FB,68)</f>
        <v>6710</v>
      </c>
      <c r="N109" s="75">
        <f t="shared" si="10"/>
        <v>-2328</v>
      </c>
      <c r="O109" s="75">
        <f t="shared" si="11"/>
        <v>-53.12642628936559</v>
      </c>
      <c r="P109" s="75">
        <f>VLOOKUP($A109,'Data Vlaue (Cr)'!$C:$FB,119)</f>
        <v>0.59</v>
      </c>
      <c r="Q109" s="75">
        <f>VLOOKUP($A109,'Data Vlaue (Cr)'!$C:$FB,122)*100</f>
        <v>-3.2800000000000002</v>
      </c>
      <c r="R109" s="75">
        <f>VLOOKUP($A109,'Data Vlaue (Cr)'!$C:$FB,125)</f>
        <v>0.53</v>
      </c>
      <c r="S109" s="75">
        <f>VLOOKUP($A109,'Data Vlaue (Cr)'!$C:$FB,128)*100</f>
        <v>-3.64</v>
      </c>
    </row>
    <row r="110" spans="1:19" x14ac:dyDescent="0.25">
      <c r="A110" s="96" t="str">
        <f>'Data Vlaue (Cr)'!C101</f>
        <v>INOXWIND</v>
      </c>
      <c r="B110" s="75">
        <f>VLOOKUP($A110,'Data Vlaue (Cr)'!$C:$FB,2)</f>
        <v>3575</v>
      </c>
      <c r="C110" s="75">
        <f>VLOOKUP($A110,'Data Vlaue (Cr)'!$C:$FB,8)</f>
        <v>103.38</v>
      </c>
      <c r="D110" s="75">
        <f>VLOOKUP($A110,'Data Vlaue (Cr)'!$C:$FB,4)</f>
        <v>103.93</v>
      </c>
      <c r="E110" s="75">
        <f>VLOOKUP($A110,'Data Vlaue (Cr)'!$C:$FB,5)</f>
        <v>101.51</v>
      </c>
      <c r="F110" s="75">
        <f t="shared" si="6"/>
        <v>0.55000000000001137</v>
      </c>
      <c r="G110" s="75">
        <f t="shared" si="7"/>
        <v>2.3284903300298292</v>
      </c>
      <c r="H110" s="75">
        <f>VLOOKUP($A110,'Data Vlaue (Cr)'!$C:$FB,99)</f>
        <v>1281</v>
      </c>
      <c r="I110" s="75">
        <f>VLOOKUP($A110,'Data Vlaue (Cr)'!$C:$FB,100)</f>
        <v>1256</v>
      </c>
      <c r="J110" s="75">
        <f t="shared" si="8"/>
        <v>25</v>
      </c>
      <c r="K110" s="75">
        <f t="shared" si="9"/>
        <v>1.9516003122560501</v>
      </c>
      <c r="L110" s="75">
        <f>VLOOKUP($A110,'Data Vlaue (Cr)'!$C:$FB,67)</f>
        <v>691</v>
      </c>
      <c r="M110" s="75">
        <f>VLOOKUP($A110,'Data Vlaue (Cr)'!$C:$FB,68)</f>
        <v>411</v>
      </c>
      <c r="N110" s="75">
        <f t="shared" si="10"/>
        <v>280</v>
      </c>
      <c r="O110" s="75">
        <f t="shared" si="11"/>
        <v>40.520984081041966</v>
      </c>
      <c r="P110" s="75">
        <f>VLOOKUP($A110,'Data Vlaue (Cr)'!$C:$FB,119)</f>
        <v>0.71</v>
      </c>
      <c r="Q110" s="75">
        <f>VLOOKUP($A110,'Data Vlaue (Cr)'!$C:$FB,122)*100</f>
        <v>1.43</v>
      </c>
      <c r="R110" s="75">
        <f>VLOOKUP($A110,'Data Vlaue (Cr)'!$C:$FB,125)</f>
        <v>0.37</v>
      </c>
      <c r="S110" s="75">
        <f>VLOOKUP($A110,'Data Vlaue (Cr)'!$C:$FB,128)*100</f>
        <v>-24.490000000000002</v>
      </c>
    </row>
    <row r="111" spans="1:19" x14ac:dyDescent="0.25">
      <c r="A111" s="96" t="str">
        <f>'Data Vlaue (Cr)'!C102</f>
        <v>IOC</v>
      </c>
      <c r="B111" s="75">
        <f>VLOOKUP($A111,'Data Vlaue (Cr)'!$C:$FB,2)</f>
        <v>4875</v>
      </c>
      <c r="C111" s="75">
        <f>VLOOKUP($A111,'Data Vlaue (Cr)'!$C:$FB,8)</f>
        <v>142.26</v>
      </c>
      <c r="D111" s="75">
        <f>VLOOKUP($A111,'Data Vlaue (Cr)'!$C:$FB,4)</f>
        <v>143.08000000000001</v>
      </c>
      <c r="E111" s="75">
        <f>VLOOKUP($A111,'Data Vlaue (Cr)'!$C:$FB,5)</f>
        <v>143.12</v>
      </c>
      <c r="F111" s="75">
        <f t="shared" si="6"/>
        <v>0.8200000000000216</v>
      </c>
      <c r="G111" s="75">
        <f t="shared" si="7"/>
        <v>-2.795638803466036E-2</v>
      </c>
      <c r="H111" s="75">
        <f>VLOOKUP($A111,'Data Vlaue (Cr)'!$C:$FB,99)</f>
        <v>2590</v>
      </c>
      <c r="I111" s="75">
        <f>VLOOKUP($A111,'Data Vlaue (Cr)'!$C:$FB,100)</f>
        <v>2491</v>
      </c>
      <c r="J111" s="75">
        <f t="shared" si="8"/>
        <v>99</v>
      </c>
      <c r="K111" s="75">
        <f t="shared" si="9"/>
        <v>3.8223938223938223</v>
      </c>
      <c r="L111" s="75">
        <f>VLOOKUP($A111,'Data Vlaue (Cr)'!$C:$FB,67)</f>
        <v>645</v>
      </c>
      <c r="M111" s="75">
        <f>VLOOKUP($A111,'Data Vlaue (Cr)'!$C:$FB,68)</f>
        <v>1008</v>
      </c>
      <c r="N111" s="75">
        <f t="shared" si="10"/>
        <v>-363</v>
      </c>
      <c r="O111" s="75">
        <f t="shared" si="11"/>
        <v>-56.279069767441861</v>
      </c>
      <c r="P111" s="75">
        <f>VLOOKUP($A111,'Data Vlaue (Cr)'!$C:$FB,119)</f>
        <v>0.79</v>
      </c>
      <c r="Q111" s="75">
        <f>VLOOKUP($A111,'Data Vlaue (Cr)'!$C:$FB,122)*100</f>
        <v>-2.4699999999999998</v>
      </c>
      <c r="R111" s="75">
        <f>VLOOKUP($A111,'Data Vlaue (Cr)'!$C:$FB,125)</f>
        <v>0.56000000000000005</v>
      </c>
      <c r="S111" s="75">
        <f>VLOOKUP($A111,'Data Vlaue (Cr)'!$C:$FB,128)*100</f>
        <v>-21.13</v>
      </c>
    </row>
    <row r="112" spans="1:19" x14ac:dyDescent="0.25">
      <c r="A112" s="96" t="str">
        <f>'Data Vlaue (Cr)'!C103</f>
        <v>IREDA</v>
      </c>
      <c r="B112" s="75">
        <f>VLOOKUP($A112,'Data Vlaue (Cr)'!$C:$FB,2)</f>
        <v>3450</v>
      </c>
      <c r="C112" s="75">
        <f>VLOOKUP($A112,'Data Vlaue (Cr)'!$C:$FB,8)</f>
        <v>135.36000000000001</v>
      </c>
      <c r="D112" s="75">
        <f>VLOOKUP($A112,'Data Vlaue (Cr)'!$C:$FB,4)</f>
        <v>135.68</v>
      </c>
      <c r="E112" s="75">
        <f>VLOOKUP($A112,'Data Vlaue (Cr)'!$C:$FB,5)</f>
        <v>135.36000000000001</v>
      </c>
      <c r="F112" s="75">
        <f t="shared" si="6"/>
        <v>0.31999999999999318</v>
      </c>
      <c r="G112" s="75">
        <f t="shared" si="7"/>
        <v>0.23584905660376854</v>
      </c>
      <c r="H112" s="75">
        <f>VLOOKUP($A112,'Data Vlaue (Cr)'!$C:$FB,99)</f>
        <v>1015</v>
      </c>
      <c r="I112" s="75">
        <f>VLOOKUP($A112,'Data Vlaue (Cr)'!$C:$FB,100)</f>
        <v>991</v>
      </c>
      <c r="J112" s="75">
        <f t="shared" si="8"/>
        <v>24</v>
      </c>
      <c r="K112" s="75">
        <f t="shared" si="9"/>
        <v>2.3645320197044337</v>
      </c>
      <c r="L112" s="75">
        <f>VLOOKUP($A112,'Data Vlaue (Cr)'!$C:$FB,67)</f>
        <v>263</v>
      </c>
      <c r="M112" s="75">
        <f>VLOOKUP($A112,'Data Vlaue (Cr)'!$C:$FB,68)</f>
        <v>289</v>
      </c>
      <c r="N112" s="75">
        <f t="shared" si="10"/>
        <v>-26</v>
      </c>
      <c r="O112" s="75">
        <f t="shared" si="11"/>
        <v>-9.8859315589353614</v>
      </c>
      <c r="P112" s="75">
        <f>VLOOKUP($A112,'Data Vlaue (Cr)'!$C:$FB,119)</f>
        <v>0.72</v>
      </c>
      <c r="Q112" s="75">
        <f>VLOOKUP($A112,'Data Vlaue (Cr)'!$C:$FB,122)*100</f>
        <v>-4</v>
      </c>
      <c r="R112" s="75">
        <f>VLOOKUP($A112,'Data Vlaue (Cr)'!$C:$FB,125)</f>
        <v>0.42</v>
      </c>
      <c r="S112" s="75">
        <f>VLOOKUP($A112,'Data Vlaue (Cr)'!$C:$FB,128)*100</f>
        <v>10.530000000000001</v>
      </c>
    </row>
    <row r="113" spans="1:19" x14ac:dyDescent="0.25">
      <c r="A113" s="96" t="str">
        <f>'Data Vlaue (Cr)'!C104</f>
        <v>IRFC</v>
      </c>
      <c r="B113" s="75">
        <f>VLOOKUP($A113,'Data Vlaue (Cr)'!$C:$FB,2)</f>
        <v>4250</v>
      </c>
      <c r="C113" s="75">
        <f>VLOOKUP($A113,'Data Vlaue (Cr)'!$C:$FB,8)</f>
        <v>104.41</v>
      </c>
      <c r="D113" s="75">
        <f>VLOOKUP($A113,'Data Vlaue (Cr)'!$C:$FB,4)</f>
        <v>104.95</v>
      </c>
      <c r="E113" s="75">
        <f>VLOOKUP($A113,'Data Vlaue (Cr)'!$C:$FB,5)</f>
        <v>104.12</v>
      </c>
      <c r="F113" s="75">
        <f t="shared" si="6"/>
        <v>0.54000000000000625</v>
      </c>
      <c r="G113" s="75">
        <f t="shared" si="7"/>
        <v>0.79085278704144668</v>
      </c>
      <c r="H113" s="75">
        <f>VLOOKUP($A113,'Data Vlaue (Cr)'!$C:$FB,99)</f>
        <v>1047</v>
      </c>
      <c r="I113" s="75">
        <f>VLOOKUP($A113,'Data Vlaue (Cr)'!$C:$FB,100)</f>
        <v>1021</v>
      </c>
      <c r="J113" s="75">
        <f t="shared" si="8"/>
        <v>26</v>
      </c>
      <c r="K113" s="75">
        <f t="shared" si="9"/>
        <v>2.483285577841452</v>
      </c>
      <c r="L113" s="75">
        <f>VLOOKUP($A113,'Data Vlaue (Cr)'!$C:$FB,67)</f>
        <v>264</v>
      </c>
      <c r="M113" s="75">
        <f>VLOOKUP($A113,'Data Vlaue (Cr)'!$C:$FB,68)</f>
        <v>277</v>
      </c>
      <c r="N113" s="75">
        <f t="shared" si="10"/>
        <v>-13</v>
      </c>
      <c r="O113" s="75">
        <f t="shared" si="11"/>
        <v>-4.9242424242424239</v>
      </c>
      <c r="P113" s="75">
        <f>VLOOKUP($A113,'Data Vlaue (Cr)'!$C:$FB,119)</f>
        <v>0.8</v>
      </c>
      <c r="Q113" s="75">
        <f>VLOOKUP($A113,'Data Vlaue (Cr)'!$C:$FB,122)*100</f>
        <v>1.27</v>
      </c>
      <c r="R113" s="75">
        <f>VLOOKUP($A113,'Data Vlaue (Cr)'!$C:$FB,125)</f>
        <v>0.51</v>
      </c>
      <c r="S113" s="75">
        <f>VLOOKUP($A113,'Data Vlaue (Cr)'!$C:$FB,128)*100</f>
        <v>-17.740000000000002</v>
      </c>
    </row>
    <row r="114" spans="1:19" x14ac:dyDescent="0.25">
      <c r="A114" s="96" t="str">
        <f>'Data Vlaue (Cr)'!C105</f>
        <v>ITC</v>
      </c>
      <c r="B114" s="75">
        <f>VLOOKUP($A114,'Data Vlaue (Cr)'!$C:$FB,2)</f>
        <v>1600</v>
      </c>
      <c r="C114" s="75">
        <f>VLOOKUP($A114,'Data Vlaue (Cr)'!$C:$FB,8)</f>
        <v>311.10000000000002</v>
      </c>
      <c r="D114" s="75">
        <f>VLOOKUP($A114,'Data Vlaue (Cr)'!$C:$FB,4)</f>
        <v>312.60000000000002</v>
      </c>
      <c r="E114" s="75">
        <f>VLOOKUP($A114,'Data Vlaue (Cr)'!$C:$FB,5)</f>
        <v>315.75</v>
      </c>
      <c r="F114" s="75">
        <f t="shared" si="6"/>
        <v>1.5</v>
      </c>
      <c r="G114" s="75">
        <f t="shared" si="7"/>
        <v>-1.0076775431861731</v>
      </c>
      <c r="H114" s="75">
        <f>VLOOKUP($A114,'Data Vlaue (Cr)'!$C:$FB,99)</f>
        <v>9391</v>
      </c>
      <c r="I114" s="75">
        <f>VLOOKUP($A114,'Data Vlaue (Cr)'!$C:$FB,100)</f>
        <v>8795</v>
      </c>
      <c r="J114" s="75">
        <f t="shared" si="8"/>
        <v>596</v>
      </c>
      <c r="K114" s="75">
        <f t="shared" si="9"/>
        <v>6.346501969971249</v>
      </c>
      <c r="L114" s="75">
        <f>VLOOKUP($A114,'Data Vlaue (Cr)'!$C:$FB,67)</f>
        <v>6461</v>
      </c>
      <c r="M114" s="75">
        <f>VLOOKUP($A114,'Data Vlaue (Cr)'!$C:$FB,68)</f>
        <v>5495</v>
      </c>
      <c r="N114" s="75">
        <f t="shared" si="10"/>
        <v>966</v>
      </c>
      <c r="O114" s="75">
        <f t="shared" si="11"/>
        <v>14.951245937161431</v>
      </c>
      <c r="P114" s="75">
        <f>VLOOKUP($A114,'Data Vlaue (Cr)'!$C:$FB,119)</f>
        <v>0.43</v>
      </c>
      <c r="Q114" s="75">
        <f>VLOOKUP($A114,'Data Vlaue (Cr)'!$C:$FB,122)*100</f>
        <v>-23.21</v>
      </c>
      <c r="R114" s="75">
        <f>VLOOKUP($A114,'Data Vlaue (Cr)'!$C:$FB,125)</f>
        <v>0.27</v>
      </c>
      <c r="S114" s="75">
        <f>VLOOKUP($A114,'Data Vlaue (Cr)'!$C:$FB,128)*100</f>
        <v>-22.86</v>
      </c>
    </row>
    <row r="115" spans="1:19" x14ac:dyDescent="0.25">
      <c r="A115" s="96" t="str">
        <f>'Data Vlaue (Cr)'!C106</f>
        <v>JINDALSTEL</v>
      </c>
      <c r="B115" s="75">
        <f>VLOOKUP($A115,'Data Vlaue (Cr)'!$C:$FB,2)</f>
        <v>625</v>
      </c>
      <c r="C115" s="75">
        <f>VLOOKUP($A115,'Data Vlaue (Cr)'!$C:$FB,8)</f>
        <v>1261.4000000000001</v>
      </c>
      <c r="D115" s="75">
        <f>VLOOKUP($A115,'Data Vlaue (Cr)'!$C:$FB,4)</f>
        <v>1269.4000000000001</v>
      </c>
      <c r="E115" s="75">
        <f>VLOOKUP($A115,'Data Vlaue (Cr)'!$C:$FB,5)</f>
        <v>1232.5999999999999</v>
      </c>
      <c r="F115" s="75">
        <f t="shared" si="6"/>
        <v>8</v>
      </c>
      <c r="G115" s="75">
        <f t="shared" si="7"/>
        <v>2.8990074050732768</v>
      </c>
      <c r="H115" s="75">
        <f>VLOOKUP($A115,'Data Vlaue (Cr)'!$C:$FB,99)</f>
        <v>2305</v>
      </c>
      <c r="I115" s="75">
        <f>VLOOKUP($A115,'Data Vlaue (Cr)'!$C:$FB,100)</f>
        <v>2227</v>
      </c>
      <c r="J115" s="75">
        <f t="shared" si="8"/>
        <v>78</v>
      </c>
      <c r="K115" s="75">
        <f t="shared" si="9"/>
        <v>3.3839479392624732</v>
      </c>
      <c r="L115" s="75">
        <f>VLOOKUP($A115,'Data Vlaue (Cr)'!$C:$FB,67)</f>
        <v>3064</v>
      </c>
      <c r="M115" s="75">
        <f>VLOOKUP($A115,'Data Vlaue (Cr)'!$C:$FB,68)</f>
        <v>1326</v>
      </c>
      <c r="N115" s="75">
        <f t="shared" si="10"/>
        <v>1738</v>
      </c>
      <c r="O115" s="75">
        <f t="shared" si="11"/>
        <v>56.723237597911222</v>
      </c>
      <c r="P115" s="75">
        <f>VLOOKUP($A115,'Data Vlaue (Cr)'!$C:$FB,119)</f>
        <v>0.82</v>
      </c>
      <c r="Q115" s="75">
        <f>VLOOKUP($A115,'Data Vlaue (Cr)'!$C:$FB,122)*100</f>
        <v>-13.68</v>
      </c>
      <c r="R115" s="75">
        <f>VLOOKUP($A115,'Data Vlaue (Cr)'!$C:$FB,125)</f>
        <v>0.57999999999999996</v>
      </c>
      <c r="S115" s="75">
        <f>VLOOKUP($A115,'Data Vlaue (Cr)'!$C:$FB,128)*100</f>
        <v>-27.500000000000004</v>
      </c>
    </row>
    <row r="116" spans="1:19" x14ac:dyDescent="0.25">
      <c r="A116" s="96" t="str">
        <f>'Data Vlaue (Cr)'!C107</f>
        <v>JIOFIN</v>
      </c>
      <c r="B116" s="75">
        <f>VLOOKUP($A116,'Data Vlaue (Cr)'!$C:$FB,2)</f>
        <v>2350</v>
      </c>
      <c r="C116" s="75">
        <f>VLOOKUP($A116,'Data Vlaue (Cr)'!$C:$FB,8)</f>
        <v>252.74</v>
      </c>
      <c r="D116" s="75">
        <f>VLOOKUP($A116,'Data Vlaue (Cr)'!$C:$FB,4)</f>
        <v>254.4</v>
      </c>
      <c r="E116" s="75">
        <f>VLOOKUP($A116,'Data Vlaue (Cr)'!$C:$FB,5)</f>
        <v>247.12</v>
      </c>
      <c r="F116" s="75">
        <f t="shared" si="6"/>
        <v>1.6599999999999966</v>
      </c>
      <c r="G116" s="75">
        <f t="shared" si="7"/>
        <v>2.8616352201257866</v>
      </c>
      <c r="H116" s="75">
        <f>VLOOKUP($A116,'Data Vlaue (Cr)'!$C:$FB,99)</f>
        <v>7457</v>
      </c>
      <c r="I116" s="75">
        <f>VLOOKUP($A116,'Data Vlaue (Cr)'!$C:$FB,100)</f>
        <v>7421</v>
      </c>
      <c r="J116" s="75">
        <f t="shared" si="8"/>
        <v>36</v>
      </c>
      <c r="K116" s="75">
        <f t="shared" si="9"/>
        <v>0.48276786911626662</v>
      </c>
      <c r="L116" s="75">
        <f>VLOOKUP($A116,'Data Vlaue (Cr)'!$C:$FB,67)</f>
        <v>2579</v>
      </c>
      <c r="M116" s="75">
        <f>VLOOKUP($A116,'Data Vlaue (Cr)'!$C:$FB,68)</f>
        <v>2582</v>
      </c>
      <c r="N116" s="75">
        <f t="shared" si="10"/>
        <v>-3</v>
      </c>
      <c r="O116" s="75">
        <f t="shared" si="11"/>
        <v>-0.11632415664986429</v>
      </c>
      <c r="P116" s="75">
        <f>VLOOKUP($A116,'Data Vlaue (Cr)'!$C:$FB,119)</f>
        <v>0.68</v>
      </c>
      <c r="Q116" s="75">
        <f>VLOOKUP($A116,'Data Vlaue (Cr)'!$C:$FB,122)*100</f>
        <v>3.0300000000000002</v>
      </c>
      <c r="R116" s="75">
        <f>VLOOKUP($A116,'Data Vlaue (Cr)'!$C:$FB,125)</f>
        <v>0.48</v>
      </c>
      <c r="S116" s="75">
        <f>VLOOKUP($A116,'Data Vlaue (Cr)'!$C:$FB,128)*100</f>
        <v>9.09</v>
      </c>
    </row>
    <row r="117" spans="1:19" x14ac:dyDescent="0.25">
      <c r="A117" s="96" t="str">
        <f>'Data Vlaue (Cr)'!C108</f>
        <v>JSWENERGY</v>
      </c>
      <c r="B117" s="75">
        <f>VLOOKUP($A117,'Data Vlaue (Cr)'!$C:$FB,2)</f>
        <v>1000</v>
      </c>
      <c r="C117" s="75">
        <f>VLOOKUP($A117,'Data Vlaue (Cr)'!$C:$FB,8)</f>
        <v>562.29999999999995</v>
      </c>
      <c r="D117" s="75">
        <f>VLOOKUP($A117,'Data Vlaue (Cr)'!$C:$FB,4)</f>
        <v>564.45000000000005</v>
      </c>
      <c r="E117" s="75">
        <f>VLOOKUP($A117,'Data Vlaue (Cr)'!$C:$FB,5)</f>
        <v>563.9</v>
      </c>
      <c r="F117" s="75">
        <f t="shared" si="6"/>
        <v>2.1500000000000909</v>
      </c>
      <c r="G117" s="75">
        <f t="shared" si="7"/>
        <v>9.7439985826923231E-2</v>
      </c>
      <c r="H117" s="75">
        <f>VLOOKUP($A117,'Data Vlaue (Cr)'!$C:$FB,99)</f>
        <v>1891</v>
      </c>
      <c r="I117" s="75">
        <f>VLOOKUP($A117,'Data Vlaue (Cr)'!$C:$FB,100)</f>
        <v>1875</v>
      </c>
      <c r="J117" s="75">
        <f t="shared" si="8"/>
        <v>16</v>
      </c>
      <c r="K117" s="75">
        <f t="shared" si="9"/>
        <v>0.84611316763617128</v>
      </c>
      <c r="L117" s="75">
        <f>VLOOKUP($A117,'Data Vlaue (Cr)'!$C:$FB,67)</f>
        <v>562</v>
      </c>
      <c r="M117" s="75">
        <f>VLOOKUP($A117,'Data Vlaue (Cr)'!$C:$FB,68)</f>
        <v>615</v>
      </c>
      <c r="N117" s="75">
        <f t="shared" si="10"/>
        <v>-53</v>
      </c>
      <c r="O117" s="75">
        <f t="shared" si="11"/>
        <v>-9.4306049822064058</v>
      </c>
      <c r="P117" s="75">
        <f>VLOOKUP($A117,'Data Vlaue (Cr)'!$C:$FB,119)</f>
        <v>0.7</v>
      </c>
      <c r="Q117" s="75">
        <f>VLOOKUP($A117,'Data Vlaue (Cr)'!$C:$FB,122)*100</f>
        <v>1.4500000000000002</v>
      </c>
      <c r="R117" s="75">
        <f>VLOOKUP($A117,'Data Vlaue (Cr)'!$C:$FB,125)</f>
        <v>0.32</v>
      </c>
      <c r="S117" s="75">
        <f>VLOOKUP($A117,'Data Vlaue (Cr)'!$C:$FB,128)*100</f>
        <v>-49.21</v>
      </c>
    </row>
    <row r="118" spans="1:19" x14ac:dyDescent="0.25">
      <c r="A118" s="96" t="str">
        <f>'Data Vlaue (Cr)'!C109</f>
        <v>JSWSTEEL</v>
      </c>
      <c r="B118" s="75">
        <f>VLOOKUP($A118,'Data Vlaue (Cr)'!$C:$FB,2)</f>
        <v>675</v>
      </c>
      <c r="C118" s="75">
        <f>VLOOKUP($A118,'Data Vlaue (Cr)'!$C:$FB,8)</f>
        <v>1266.5999999999999</v>
      </c>
      <c r="D118" s="75">
        <f>VLOOKUP($A118,'Data Vlaue (Cr)'!$C:$FB,4)</f>
        <v>1273.9000000000001</v>
      </c>
      <c r="E118" s="75">
        <f>VLOOKUP($A118,'Data Vlaue (Cr)'!$C:$FB,5)</f>
        <v>1270.3</v>
      </c>
      <c r="F118" s="75">
        <f t="shared" si="6"/>
        <v>7.3000000000001819</v>
      </c>
      <c r="G118" s="75">
        <f t="shared" si="7"/>
        <v>0.28259675013738411</v>
      </c>
      <c r="H118" s="75">
        <f>VLOOKUP($A118,'Data Vlaue (Cr)'!$C:$FB,99)</f>
        <v>7322</v>
      </c>
      <c r="I118" s="75">
        <f>VLOOKUP($A118,'Data Vlaue (Cr)'!$C:$FB,100)</f>
        <v>7211</v>
      </c>
      <c r="J118" s="75">
        <f t="shared" si="8"/>
        <v>111</v>
      </c>
      <c r="K118" s="75">
        <f t="shared" si="9"/>
        <v>1.5159792406446326</v>
      </c>
      <c r="L118" s="75">
        <f>VLOOKUP($A118,'Data Vlaue (Cr)'!$C:$FB,67)</f>
        <v>1389</v>
      </c>
      <c r="M118" s="75">
        <f>VLOOKUP($A118,'Data Vlaue (Cr)'!$C:$FB,68)</f>
        <v>1090</v>
      </c>
      <c r="N118" s="75">
        <f t="shared" si="10"/>
        <v>299</v>
      </c>
      <c r="O118" s="75">
        <f t="shared" si="11"/>
        <v>21.526277897768178</v>
      </c>
      <c r="P118" s="75">
        <f>VLOOKUP($A118,'Data Vlaue (Cr)'!$C:$FB,119)</f>
        <v>0.77</v>
      </c>
      <c r="Q118" s="75">
        <f>VLOOKUP($A118,'Data Vlaue (Cr)'!$C:$FB,122)*100</f>
        <v>-12.5</v>
      </c>
      <c r="R118" s="75">
        <f>VLOOKUP($A118,'Data Vlaue (Cr)'!$C:$FB,125)</f>
        <v>0.62</v>
      </c>
      <c r="S118" s="75">
        <f>VLOOKUP($A118,'Data Vlaue (Cr)'!$C:$FB,128)*100</f>
        <v>-23.46</v>
      </c>
    </row>
    <row r="119" spans="1:19" x14ac:dyDescent="0.25">
      <c r="A119" s="96" t="str">
        <f>'Data Vlaue (Cr)'!C110</f>
        <v>JUBLFOOD</v>
      </c>
      <c r="B119" s="75">
        <f>VLOOKUP($A119,'Data Vlaue (Cr)'!$C:$FB,2)</f>
        <v>1250</v>
      </c>
      <c r="C119" s="75">
        <f>VLOOKUP($A119,'Data Vlaue (Cr)'!$C:$FB,8)</f>
        <v>476.4</v>
      </c>
      <c r="D119" s="75">
        <f>VLOOKUP($A119,'Data Vlaue (Cr)'!$C:$FB,4)</f>
        <v>476.2</v>
      </c>
      <c r="E119" s="75">
        <f>VLOOKUP($A119,'Data Vlaue (Cr)'!$C:$FB,5)</f>
        <v>477</v>
      </c>
      <c r="F119" s="75">
        <f t="shared" si="6"/>
        <v>-0.19999999999998863</v>
      </c>
      <c r="G119" s="75">
        <f t="shared" si="7"/>
        <v>-0.16799664006720105</v>
      </c>
      <c r="H119" s="75">
        <f>VLOOKUP($A119,'Data Vlaue (Cr)'!$C:$FB,99)</f>
        <v>2351</v>
      </c>
      <c r="I119" s="75">
        <f>VLOOKUP($A119,'Data Vlaue (Cr)'!$C:$FB,100)</f>
        <v>2289</v>
      </c>
      <c r="J119" s="75">
        <f t="shared" si="8"/>
        <v>62</v>
      </c>
      <c r="K119" s="75">
        <f t="shared" si="9"/>
        <v>2.6371756699276903</v>
      </c>
      <c r="L119" s="75">
        <f>VLOOKUP($A119,'Data Vlaue (Cr)'!$C:$FB,67)</f>
        <v>383</v>
      </c>
      <c r="M119" s="75">
        <f>VLOOKUP($A119,'Data Vlaue (Cr)'!$C:$FB,68)</f>
        <v>368</v>
      </c>
      <c r="N119" s="75">
        <f t="shared" si="10"/>
        <v>15</v>
      </c>
      <c r="O119" s="75">
        <f t="shared" si="11"/>
        <v>3.9164490861618799</v>
      </c>
      <c r="P119" s="75">
        <f>VLOOKUP($A119,'Data Vlaue (Cr)'!$C:$FB,119)</f>
        <v>0.74</v>
      </c>
      <c r="Q119" s="75">
        <f>VLOOKUP($A119,'Data Vlaue (Cr)'!$C:$FB,122)*100</f>
        <v>-5.13</v>
      </c>
      <c r="R119" s="75">
        <f>VLOOKUP($A119,'Data Vlaue (Cr)'!$C:$FB,125)</f>
        <v>0.62</v>
      </c>
      <c r="S119" s="75">
        <f>VLOOKUP($A119,'Data Vlaue (Cr)'!$C:$FB,128)*100</f>
        <v>12.73</v>
      </c>
    </row>
    <row r="120" spans="1:19" x14ac:dyDescent="0.25">
      <c r="A120" s="96" t="str">
        <f>'Data Vlaue (Cr)'!C111</f>
        <v>KALYANKJIL</v>
      </c>
      <c r="B120" s="75">
        <f>VLOOKUP($A120,'Data Vlaue (Cr)'!$C:$FB,2)</f>
        <v>1175</v>
      </c>
      <c r="C120" s="75">
        <f>VLOOKUP($A120,'Data Vlaue (Cr)'!$C:$FB,8)</f>
        <v>413.3</v>
      </c>
      <c r="D120" s="75">
        <f>VLOOKUP($A120,'Data Vlaue (Cr)'!$C:$FB,4)</f>
        <v>415.35</v>
      </c>
      <c r="E120" s="75">
        <f>VLOOKUP($A120,'Data Vlaue (Cr)'!$C:$FB,5)</f>
        <v>415.15</v>
      </c>
      <c r="F120" s="75">
        <f t="shared" si="6"/>
        <v>2.0500000000000114</v>
      </c>
      <c r="G120" s="75">
        <f t="shared" si="7"/>
        <v>4.8152160828228111E-2</v>
      </c>
      <c r="H120" s="75">
        <f>VLOOKUP($A120,'Data Vlaue (Cr)'!$C:$FB,99)</f>
        <v>1458</v>
      </c>
      <c r="I120" s="75">
        <f>VLOOKUP($A120,'Data Vlaue (Cr)'!$C:$FB,100)</f>
        <v>1394</v>
      </c>
      <c r="J120" s="75">
        <f t="shared" si="8"/>
        <v>64</v>
      </c>
      <c r="K120" s="75">
        <f t="shared" si="9"/>
        <v>4.3895747599451296</v>
      </c>
      <c r="L120" s="75">
        <f>VLOOKUP($A120,'Data Vlaue (Cr)'!$C:$FB,67)</f>
        <v>413</v>
      </c>
      <c r="M120" s="75">
        <f>VLOOKUP($A120,'Data Vlaue (Cr)'!$C:$FB,68)</f>
        <v>471</v>
      </c>
      <c r="N120" s="75">
        <f t="shared" si="10"/>
        <v>-58</v>
      </c>
      <c r="O120" s="75">
        <f t="shared" si="11"/>
        <v>-14.043583535108958</v>
      </c>
      <c r="P120" s="75">
        <f>VLOOKUP($A120,'Data Vlaue (Cr)'!$C:$FB,119)</f>
        <v>0.61</v>
      </c>
      <c r="Q120" s="75">
        <f>VLOOKUP($A120,'Data Vlaue (Cr)'!$C:$FB,122)*100</f>
        <v>-8.9599999999999991</v>
      </c>
      <c r="R120" s="75">
        <f>VLOOKUP($A120,'Data Vlaue (Cr)'!$C:$FB,125)</f>
        <v>0.5</v>
      </c>
      <c r="S120" s="75">
        <f>VLOOKUP($A120,'Data Vlaue (Cr)'!$C:$FB,128)*100</f>
        <v>-39.76</v>
      </c>
    </row>
    <row r="121" spans="1:19" x14ac:dyDescent="0.25">
      <c r="A121" s="96" t="str">
        <f>'Data Vlaue (Cr)'!C112</f>
        <v>KAYNES</v>
      </c>
      <c r="B121" s="75">
        <f>VLOOKUP($A121,'Data Vlaue (Cr)'!$C:$FB,2)</f>
        <v>100</v>
      </c>
      <c r="C121" s="75">
        <f>VLOOKUP($A121,'Data Vlaue (Cr)'!$C:$FB,8)</f>
        <v>4098.8999999999996</v>
      </c>
      <c r="D121" s="75">
        <f>VLOOKUP($A121,'Data Vlaue (Cr)'!$C:$FB,4)</f>
        <v>4104.8999999999996</v>
      </c>
      <c r="E121" s="75">
        <f>VLOOKUP($A121,'Data Vlaue (Cr)'!$C:$FB,5)</f>
        <v>4055.6</v>
      </c>
      <c r="F121" s="75">
        <f t="shared" si="6"/>
        <v>6</v>
      </c>
      <c r="G121" s="75">
        <f t="shared" si="7"/>
        <v>1.2010036785305302</v>
      </c>
      <c r="H121" s="75">
        <f>VLOOKUP($A121,'Data Vlaue (Cr)'!$C:$FB,99)</f>
        <v>1802</v>
      </c>
      <c r="I121" s="75">
        <f>VLOOKUP($A121,'Data Vlaue (Cr)'!$C:$FB,100)</f>
        <v>1741</v>
      </c>
      <c r="J121" s="75">
        <f t="shared" si="8"/>
        <v>61</v>
      </c>
      <c r="K121" s="75">
        <f t="shared" si="9"/>
        <v>3.3851276359600444</v>
      </c>
      <c r="L121" s="75">
        <f>VLOOKUP($A121,'Data Vlaue (Cr)'!$C:$FB,67)</f>
        <v>678</v>
      </c>
      <c r="M121" s="75">
        <f>VLOOKUP($A121,'Data Vlaue (Cr)'!$C:$FB,68)</f>
        <v>862</v>
      </c>
      <c r="N121" s="75">
        <f t="shared" si="10"/>
        <v>-184</v>
      </c>
      <c r="O121" s="75">
        <f t="shared" si="11"/>
        <v>-27.138643067846608</v>
      </c>
      <c r="P121" s="75">
        <f>VLOOKUP($A121,'Data Vlaue (Cr)'!$C:$FB,119)</f>
        <v>0.69</v>
      </c>
      <c r="Q121" s="75">
        <f>VLOOKUP($A121,'Data Vlaue (Cr)'!$C:$FB,122)*100</f>
        <v>-5.48</v>
      </c>
      <c r="R121" s="75">
        <f>VLOOKUP($A121,'Data Vlaue (Cr)'!$C:$FB,125)</f>
        <v>0.38</v>
      </c>
      <c r="S121" s="75">
        <f>VLOOKUP($A121,'Data Vlaue (Cr)'!$C:$FB,128)*100</f>
        <v>-25.490000000000002</v>
      </c>
    </row>
    <row r="122" spans="1:19" x14ac:dyDescent="0.25">
      <c r="A122" s="96" t="str">
        <f>'Data Vlaue (Cr)'!C113</f>
        <v>KEI</v>
      </c>
      <c r="B122" s="75">
        <f>VLOOKUP($A122,'Data Vlaue (Cr)'!$C:$FB,2)</f>
        <v>175</v>
      </c>
      <c r="C122" s="75">
        <f>VLOOKUP($A122,'Data Vlaue (Cr)'!$C:$FB,8)</f>
        <v>5058.3</v>
      </c>
      <c r="D122" s="75">
        <f>VLOOKUP($A122,'Data Vlaue (Cr)'!$C:$FB,4)</f>
        <v>5086.3999999999996</v>
      </c>
      <c r="E122" s="75">
        <f>VLOOKUP($A122,'Data Vlaue (Cr)'!$C:$FB,5)</f>
        <v>4885.8</v>
      </c>
      <c r="F122" s="75">
        <f t="shared" si="6"/>
        <v>28.099999999999454</v>
      </c>
      <c r="G122" s="75">
        <f t="shared" si="7"/>
        <v>3.9438502673796685</v>
      </c>
      <c r="H122" s="75">
        <f>VLOOKUP($A122,'Data Vlaue (Cr)'!$C:$FB,99)</f>
        <v>1352</v>
      </c>
      <c r="I122" s="75">
        <f>VLOOKUP($A122,'Data Vlaue (Cr)'!$C:$FB,100)</f>
        <v>1128</v>
      </c>
      <c r="J122" s="75">
        <f t="shared" si="8"/>
        <v>224</v>
      </c>
      <c r="K122" s="75">
        <f t="shared" si="9"/>
        <v>16.568047337278109</v>
      </c>
      <c r="L122" s="75">
        <f>VLOOKUP($A122,'Data Vlaue (Cr)'!$C:$FB,67)</f>
        <v>1664</v>
      </c>
      <c r="M122" s="75">
        <f>VLOOKUP($A122,'Data Vlaue (Cr)'!$C:$FB,68)</f>
        <v>792</v>
      </c>
      <c r="N122" s="75">
        <f t="shared" si="10"/>
        <v>872</v>
      </c>
      <c r="O122" s="75">
        <f t="shared" si="11"/>
        <v>52.403846153846153</v>
      </c>
      <c r="P122" s="75">
        <f>VLOOKUP($A122,'Data Vlaue (Cr)'!$C:$FB,119)</f>
        <v>0.78</v>
      </c>
      <c r="Q122" s="75">
        <f>VLOOKUP($A122,'Data Vlaue (Cr)'!$C:$FB,122)*100</f>
        <v>-4.88</v>
      </c>
      <c r="R122" s="75">
        <f>VLOOKUP($A122,'Data Vlaue (Cr)'!$C:$FB,125)</f>
        <v>0.43</v>
      </c>
      <c r="S122" s="75">
        <f>VLOOKUP($A122,'Data Vlaue (Cr)'!$C:$FB,128)*100</f>
        <v>-8.51</v>
      </c>
    </row>
    <row r="123" spans="1:19" x14ac:dyDescent="0.25">
      <c r="A123" s="96" t="str">
        <f>'Data Vlaue (Cr)'!C114</f>
        <v>KFINTECH</v>
      </c>
      <c r="B123" s="75">
        <f>VLOOKUP($A123,'Data Vlaue (Cr)'!$C:$FB,2)</f>
        <v>500</v>
      </c>
      <c r="C123" s="75">
        <f>VLOOKUP($A123,'Data Vlaue (Cr)'!$C:$FB,8)</f>
        <v>863.95</v>
      </c>
      <c r="D123" s="75">
        <f>VLOOKUP($A123,'Data Vlaue (Cr)'!$C:$FB,4)</f>
        <v>856.5</v>
      </c>
      <c r="E123" s="75">
        <f>VLOOKUP($A123,'Data Vlaue (Cr)'!$C:$FB,5)</f>
        <v>873.4</v>
      </c>
      <c r="F123" s="75">
        <f t="shared" si="6"/>
        <v>-7.4500000000000455</v>
      </c>
      <c r="G123" s="75">
        <f t="shared" si="7"/>
        <v>-1.9731465265615853</v>
      </c>
      <c r="H123" s="75">
        <f>VLOOKUP($A123,'Data Vlaue (Cr)'!$C:$FB,99)</f>
        <v>1156</v>
      </c>
      <c r="I123" s="75">
        <f>VLOOKUP($A123,'Data Vlaue (Cr)'!$C:$FB,100)</f>
        <v>1016</v>
      </c>
      <c r="J123" s="75">
        <f t="shared" si="8"/>
        <v>140</v>
      </c>
      <c r="K123" s="75">
        <f t="shared" si="9"/>
        <v>12.110726643598616</v>
      </c>
      <c r="L123" s="75">
        <f>VLOOKUP($A123,'Data Vlaue (Cr)'!$C:$FB,67)</f>
        <v>963</v>
      </c>
      <c r="M123" s="75">
        <f>VLOOKUP($A123,'Data Vlaue (Cr)'!$C:$FB,68)</f>
        <v>2988</v>
      </c>
      <c r="N123" s="75">
        <f t="shared" si="10"/>
        <v>-2025</v>
      </c>
      <c r="O123" s="75">
        <f t="shared" si="11"/>
        <v>-210.28037383177571</v>
      </c>
      <c r="P123" s="75">
        <f>VLOOKUP($A123,'Data Vlaue (Cr)'!$C:$FB,119)</f>
        <v>0.47</v>
      </c>
      <c r="Q123" s="75">
        <f>VLOOKUP($A123,'Data Vlaue (Cr)'!$C:$FB,122)*100</f>
        <v>-9.6199999999999992</v>
      </c>
      <c r="R123" s="75">
        <f>VLOOKUP($A123,'Data Vlaue (Cr)'!$C:$FB,125)</f>
        <v>0.48</v>
      </c>
      <c r="S123" s="75">
        <f>VLOOKUP($A123,'Data Vlaue (Cr)'!$C:$FB,128)*100</f>
        <v>-36</v>
      </c>
    </row>
    <row r="124" spans="1:19" x14ac:dyDescent="0.25">
      <c r="A124" s="96" t="str">
        <f>'Data Vlaue (Cr)'!C115</f>
        <v>KOTAKBANK</v>
      </c>
      <c r="B124" s="75">
        <f>VLOOKUP($A124,'Data Vlaue (Cr)'!$C:$FB,2)</f>
        <v>2000</v>
      </c>
      <c r="C124" s="75">
        <f>VLOOKUP($A124,'Data Vlaue (Cr)'!$C:$FB,8)</f>
        <v>371.65</v>
      </c>
      <c r="D124" s="75">
        <f>VLOOKUP($A124,'Data Vlaue (Cr)'!$C:$FB,4)</f>
        <v>372.5</v>
      </c>
      <c r="E124" s="75">
        <f>VLOOKUP($A124,'Data Vlaue (Cr)'!$C:$FB,5)</f>
        <v>385.9</v>
      </c>
      <c r="F124" s="75">
        <f t="shared" si="6"/>
        <v>0.85000000000002274</v>
      </c>
      <c r="G124" s="75">
        <f t="shared" si="7"/>
        <v>-3.5973154362416047</v>
      </c>
      <c r="H124" s="75">
        <f>VLOOKUP($A124,'Data Vlaue (Cr)'!$C:$FB,99)</f>
        <v>11505</v>
      </c>
      <c r="I124" s="75">
        <f>VLOOKUP($A124,'Data Vlaue (Cr)'!$C:$FB,100)</f>
        <v>11306</v>
      </c>
      <c r="J124" s="75">
        <f t="shared" si="8"/>
        <v>199</v>
      </c>
      <c r="K124" s="75">
        <f t="shared" si="9"/>
        <v>1.7296827466318991</v>
      </c>
      <c r="L124" s="75">
        <f>VLOOKUP($A124,'Data Vlaue (Cr)'!$C:$FB,67)</f>
        <v>11745</v>
      </c>
      <c r="M124" s="75">
        <f>VLOOKUP($A124,'Data Vlaue (Cr)'!$C:$FB,68)</f>
        <v>4295</v>
      </c>
      <c r="N124" s="75">
        <f t="shared" si="10"/>
        <v>7450</v>
      </c>
      <c r="O124" s="75">
        <f t="shared" si="11"/>
        <v>63.431247339293314</v>
      </c>
      <c r="P124" s="75">
        <f>VLOOKUP($A124,'Data Vlaue (Cr)'!$C:$FB,119)</f>
        <v>0.65</v>
      </c>
      <c r="Q124" s="75">
        <f>VLOOKUP($A124,'Data Vlaue (Cr)'!$C:$FB,122)*100</f>
        <v>-33.67</v>
      </c>
      <c r="R124" s="75">
        <f>VLOOKUP($A124,'Data Vlaue (Cr)'!$C:$FB,125)</f>
        <v>0.48</v>
      </c>
      <c r="S124" s="75">
        <f>VLOOKUP($A124,'Data Vlaue (Cr)'!$C:$FB,128)*100</f>
        <v>-28.360000000000003</v>
      </c>
    </row>
    <row r="125" spans="1:19" x14ac:dyDescent="0.25">
      <c r="A125" s="96" t="str">
        <f>'Data Vlaue (Cr)'!C116</f>
        <v>KPITTECH</v>
      </c>
      <c r="B125" s="75">
        <f>VLOOKUP($A125,'Data Vlaue (Cr)'!$C:$FB,2)</f>
        <v>425</v>
      </c>
      <c r="C125" s="75">
        <f>VLOOKUP($A125,'Data Vlaue (Cr)'!$C:$FB,8)</f>
        <v>768.55</v>
      </c>
      <c r="D125" s="75">
        <f>VLOOKUP($A125,'Data Vlaue (Cr)'!$C:$FB,4)</f>
        <v>769.5</v>
      </c>
      <c r="E125" s="75">
        <f>VLOOKUP($A125,'Data Vlaue (Cr)'!$C:$FB,5)</f>
        <v>761.6</v>
      </c>
      <c r="F125" s="75">
        <f t="shared" si="6"/>
        <v>0.95000000000004547</v>
      </c>
      <c r="G125" s="75">
        <f t="shared" si="7"/>
        <v>1.0266406757634798</v>
      </c>
      <c r="H125" s="75">
        <f>VLOOKUP($A125,'Data Vlaue (Cr)'!$C:$FB,99)</f>
        <v>785</v>
      </c>
      <c r="I125" s="75">
        <f>VLOOKUP($A125,'Data Vlaue (Cr)'!$C:$FB,100)</f>
        <v>717</v>
      </c>
      <c r="J125" s="75">
        <f t="shared" si="8"/>
        <v>68</v>
      </c>
      <c r="K125" s="75">
        <f t="shared" si="9"/>
        <v>8.6624203821656049</v>
      </c>
      <c r="L125" s="75">
        <f>VLOOKUP($A125,'Data Vlaue (Cr)'!$C:$FB,67)</f>
        <v>565</v>
      </c>
      <c r="M125" s="75">
        <f>VLOOKUP($A125,'Data Vlaue (Cr)'!$C:$FB,68)</f>
        <v>740</v>
      </c>
      <c r="N125" s="75">
        <f t="shared" si="10"/>
        <v>-175</v>
      </c>
      <c r="O125" s="75">
        <f t="shared" si="11"/>
        <v>-30.973451327433626</v>
      </c>
      <c r="P125" s="75">
        <f>VLOOKUP($A125,'Data Vlaue (Cr)'!$C:$FB,119)</f>
        <v>0.64</v>
      </c>
      <c r="Q125" s="75">
        <f>VLOOKUP($A125,'Data Vlaue (Cr)'!$C:$FB,122)*100</f>
        <v>-20.990000000000002</v>
      </c>
      <c r="R125" s="75">
        <f>VLOOKUP($A125,'Data Vlaue (Cr)'!$C:$FB,125)</f>
        <v>0.25</v>
      </c>
      <c r="S125" s="75">
        <f>VLOOKUP($A125,'Data Vlaue (Cr)'!$C:$FB,128)*100</f>
        <v>-19.350000000000001</v>
      </c>
    </row>
    <row r="126" spans="1:19" x14ac:dyDescent="0.25">
      <c r="A126" s="96" t="str">
        <f>'Data Vlaue (Cr)'!C117</f>
        <v>LAURUSLABS</v>
      </c>
      <c r="B126" s="75">
        <f>VLOOKUP($A126,'Data Vlaue (Cr)'!$C:$FB,2)</f>
        <v>850</v>
      </c>
      <c r="C126" s="75">
        <f>VLOOKUP($A126,'Data Vlaue (Cr)'!$C:$FB,8)</f>
        <v>1166.4000000000001</v>
      </c>
      <c r="D126" s="75">
        <f>VLOOKUP($A126,'Data Vlaue (Cr)'!$C:$FB,4)</f>
        <v>1172</v>
      </c>
      <c r="E126" s="75">
        <f>VLOOKUP($A126,'Data Vlaue (Cr)'!$C:$FB,5)</f>
        <v>1107.45</v>
      </c>
      <c r="F126" s="75">
        <f t="shared" si="6"/>
        <v>5.5999999999999091</v>
      </c>
      <c r="G126" s="75">
        <f t="shared" si="7"/>
        <v>5.5076791808873686</v>
      </c>
      <c r="H126" s="75">
        <f>VLOOKUP($A126,'Data Vlaue (Cr)'!$C:$FB,99)</f>
        <v>3230</v>
      </c>
      <c r="I126" s="75">
        <f>VLOOKUP($A126,'Data Vlaue (Cr)'!$C:$FB,100)</f>
        <v>3065</v>
      </c>
      <c r="J126" s="75">
        <f t="shared" si="8"/>
        <v>165</v>
      </c>
      <c r="K126" s="75">
        <f t="shared" si="9"/>
        <v>5.1083591331269353</v>
      </c>
      <c r="L126" s="75">
        <f>VLOOKUP($A126,'Data Vlaue (Cr)'!$C:$FB,67)</f>
        <v>5569</v>
      </c>
      <c r="M126" s="75">
        <f>VLOOKUP($A126,'Data Vlaue (Cr)'!$C:$FB,68)</f>
        <v>2394</v>
      </c>
      <c r="N126" s="75">
        <f t="shared" si="10"/>
        <v>3175</v>
      </c>
      <c r="O126" s="75">
        <f t="shared" si="11"/>
        <v>57.01203088525768</v>
      </c>
      <c r="P126" s="75">
        <f>VLOOKUP($A126,'Data Vlaue (Cr)'!$C:$FB,119)</f>
        <v>0.64</v>
      </c>
      <c r="Q126" s="75">
        <f>VLOOKUP($A126,'Data Vlaue (Cr)'!$C:$FB,122)*100</f>
        <v>8.4699999999999989</v>
      </c>
      <c r="R126" s="75">
        <f>VLOOKUP($A126,'Data Vlaue (Cr)'!$C:$FB,125)</f>
        <v>0.45</v>
      </c>
      <c r="S126" s="75">
        <f>VLOOKUP($A126,'Data Vlaue (Cr)'!$C:$FB,128)*100</f>
        <v>-23.73</v>
      </c>
    </row>
    <row r="127" spans="1:19" x14ac:dyDescent="0.25">
      <c r="A127" s="96" t="str">
        <f>'Data Vlaue (Cr)'!C118</f>
        <v>LICHSGFIN</v>
      </c>
      <c r="B127" s="75">
        <f>VLOOKUP($A127,'Data Vlaue (Cr)'!$C:$FB,2)</f>
        <v>1000</v>
      </c>
      <c r="C127" s="75">
        <f>VLOOKUP($A127,'Data Vlaue (Cr)'!$C:$FB,8)</f>
        <v>557</v>
      </c>
      <c r="D127" s="75">
        <f>VLOOKUP($A127,'Data Vlaue (Cr)'!$C:$FB,4)</f>
        <v>560.20000000000005</v>
      </c>
      <c r="E127" s="75">
        <f>VLOOKUP($A127,'Data Vlaue (Cr)'!$C:$FB,5)</f>
        <v>558</v>
      </c>
      <c r="F127" s="75">
        <f t="shared" si="6"/>
        <v>3.2000000000000455</v>
      </c>
      <c r="G127" s="75">
        <f t="shared" si="7"/>
        <v>0.39271688682614159</v>
      </c>
      <c r="H127" s="75">
        <f>VLOOKUP($A127,'Data Vlaue (Cr)'!$C:$FB,99)</f>
        <v>2180</v>
      </c>
      <c r="I127" s="75">
        <f>VLOOKUP($A127,'Data Vlaue (Cr)'!$C:$FB,100)</f>
        <v>2140</v>
      </c>
      <c r="J127" s="75">
        <f t="shared" si="8"/>
        <v>40</v>
      </c>
      <c r="K127" s="75">
        <f t="shared" si="9"/>
        <v>1.834862385321101</v>
      </c>
      <c r="L127" s="75">
        <f>VLOOKUP($A127,'Data Vlaue (Cr)'!$C:$FB,67)</f>
        <v>338</v>
      </c>
      <c r="M127" s="75">
        <f>VLOOKUP($A127,'Data Vlaue (Cr)'!$C:$FB,68)</f>
        <v>469</v>
      </c>
      <c r="N127" s="75">
        <f t="shared" si="10"/>
        <v>-131</v>
      </c>
      <c r="O127" s="75">
        <f t="shared" si="11"/>
        <v>-38.757396449704139</v>
      </c>
      <c r="P127" s="75">
        <f>VLOOKUP($A127,'Data Vlaue (Cr)'!$C:$FB,119)</f>
        <v>0.65</v>
      </c>
      <c r="Q127" s="75">
        <f>VLOOKUP($A127,'Data Vlaue (Cr)'!$C:$FB,122)*100</f>
        <v>-1.52</v>
      </c>
      <c r="R127" s="75">
        <f>VLOOKUP($A127,'Data Vlaue (Cr)'!$C:$FB,125)</f>
        <v>0.41</v>
      </c>
      <c r="S127" s="75">
        <f>VLOOKUP($A127,'Data Vlaue (Cr)'!$C:$FB,128)*100</f>
        <v>-45.33</v>
      </c>
    </row>
    <row r="128" spans="1:19" x14ac:dyDescent="0.25">
      <c r="A128" s="96" t="str">
        <f>'Data Vlaue (Cr)'!C119</f>
        <v>LICI</v>
      </c>
      <c r="B128" s="75">
        <f>VLOOKUP($A128,'Data Vlaue (Cr)'!$C:$FB,2)</f>
        <v>700</v>
      </c>
      <c r="C128" s="75">
        <f>VLOOKUP($A128,'Data Vlaue (Cr)'!$C:$FB,8)</f>
        <v>802</v>
      </c>
      <c r="D128" s="75">
        <f>VLOOKUP($A128,'Data Vlaue (Cr)'!$C:$FB,4)</f>
        <v>799</v>
      </c>
      <c r="E128" s="75">
        <f>VLOOKUP($A128,'Data Vlaue (Cr)'!$C:$FB,5)</f>
        <v>791.3</v>
      </c>
      <c r="F128" s="75">
        <f t="shared" si="6"/>
        <v>-3</v>
      </c>
      <c r="G128" s="75">
        <f t="shared" si="7"/>
        <v>0.96370463078849133</v>
      </c>
      <c r="H128" s="75">
        <f>VLOOKUP($A128,'Data Vlaue (Cr)'!$C:$FB,99)</f>
        <v>1545</v>
      </c>
      <c r="I128" s="75">
        <f>VLOOKUP($A128,'Data Vlaue (Cr)'!$C:$FB,100)</f>
        <v>1466</v>
      </c>
      <c r="J128" s="75">
        <f t="shared" si="8"/>
        <v>79</v>
      </c>
      <c r="K128" s="75">
        <f t="shared" si="9"/>
        <v>5.1132686084142396</v>
      </c>
      <c r="L128" s="75">
        <f>VLOOKUP($A128,'Data Vlaue (Cr)'!$C:$FB,67)</f>
        <v>461</v>
      </c>
      <c r="M128" s="75">
        <f>VLOOKUP($A128,'Data Vlaue (Cr)'!$C:$FB,68)</f>
        <v>585</v>
      </c>
      <c r="N128" s="75">
        <f t="shared" si="10"/>
        <v>-124</v>
      </c>
      <c r="O128" s="75">
        <f t="shared" si="11"/>
        <v>-26.898047722342731</v>
      </c>
      <c r="P128" s="75">
        <f>VLOOKUP($A128,'Data Vlaue (Cr)'!$C:$FB,119)</f>
        <v>0.61</v>
      </c>
      <c r="Q128" s="75">
        <f>VLOOKUP($A128,'Data Vlaue (Cr)'!$C:$FB,122)*100</f>
        <v>-6.15</v>
      </c>
      <c r="R128" s="75">
        <f>VLOOKUP($A128,'Data Vlaue (Cr)'!$C:$FB,125)</f>
        <v>0.35</v>
      </c>
      <c r="S128" s="75">
        <f>VLOOKUP($A128,'Data Vlaue (Cr)'!$C:$FB,128)*100</f>
        <v>-45.31</v>
      </c>
    </row>
    <row r="129" spans="1:19" x14ac:dyDescent="0.25">
      <c r="A129" s="96" t="str">
        <f>'Data Vlaue (Cr)'!C120</f>
        <v>LODHA</v>
      </c>
      <c r="B129" s="75">
        <f>VLOOKUP($A129,'Data Vlaue (Cr)'!$C:$FB,2)</f>
        <v>450</v>
      </c>
      <c r="C129" s="75">
        <f>VLOOKUP($A129,'Data Vlaue (Cr)'!$C:$FB,8)</f>
        <v>923.6</v>
      </c>
      <c r="D129" s="75">
        <f>VLOOKUP($A129,'Data Vlaue (Cr)'!$C:$FB,4)</f>
        <v>926.55</v>
      </c>
      <c r="E129" s="75">
        <f>VLOOKUP($A129,'Data Vlaue (Cr)'!$C:$FB,5)</f>
        <v>902.4</v>
      </c>
      <c r="F129" s="75">
        <f t="shared" si="6"/>
        <v>2.9499999999999318</v>
      </c>
      <c r="G129" s="75">
        <f t="shared" si="7"/>
        <v>2.606443257244615</v>
      </c>
      <c r="H129" s="75">
        <f>VLOOKUP($A129,'Data Vlaue (Cr)'!$C:$FB,99)</f>
        <v>1766</v>
      </c>
      <c r="I129" s="75">
        <f>VLOOKUP($A129,'Data Vlaue (Cr)'!$C:$FB,100)</f>
        <v>1793</v>
      </c>
      <c r="J129" s="75">
        <f t="shared" si="8"/>
        <v>-27</v>
      </c>
      <c r="K129" s="75">
        <f t="shared" si="9"/>
        <v>-1.5288788221970555</v>
      </c>
      <c r="L129" s="75">
        <f>VLOOKUP($A129,'Data Vlaue (Cr)'!$C:$FB,67)</f>
        <v>713</v>
      </c>
      <c r="M129" s="75">
        <f>VLOOKUP($A129,'Data Vlaue (Cr)'!$C:$FB,68)</f>
        <v>685</v>
      </c>
      <c r="N129" s="75">
        <f t="shared" si="10"/>
        <v>28</v>
      </c>
      <c r="O129" s="75">
        <f t="shared" si="11"/>
        <v>3.9270687237026647</v>
      </c>
      <c r="P129" s="75">
        <f>VLOOKUP($A129,'Data Vlaue (Cr)'!$C:$FB,119)</f>
        <v>0.67</v>
      </c>
      <c r="Q129" s="75">
        <f>VLOOKUP($A129,'Data Vlaue (Cr)'!$C:$FB,122)*100</f>
        <v>11.67</v>
      </c>
      <c r="R129" s="75">
        <f>VLOOKUP($A129,'Data Vlaue (Cr)'!$C:$FB,125)</f>
        <v>0.35</v>
      </c>
      <c r="S129" s="75">
        <f>VLOOKUP($A129,'Data Vlaue (Cr)'!$C:$FB,128)*100</f>
        <v>-35.19</v>
      </c>
    </row>
    <row r="130" spans="1:19" x14ac:dyDescent="0.25">
      <c r="A130" s="96" t="str">
        <f>'Data Vlaue (Cr)'!C121</f>
        <v>LT</v>
      </c>
      <c r="B130" s="75">
        <f>VLOOKUP($A130,'Data Vlaue (Cr)'!$C:$FB,2)</f>
        <v>175</v>
      </c>
      <c r="C130" s="75">
        <f>VLOOKUP($A130,'Data Vlaue (Cr)'!$C:$FB,8)</f>
        <v>4100.8</v>
      </c>
      <c r="D130" s="75">
        <f>VLOOKUP($A130,'Data Vlaue (Cr)'!$C:$FB,4)</f>
        <v>4120.3</v>
      </c>
      <c r="E130" s="75">
        <f>VLOOKUP($A130,'Data Vlaue (Cr)'!$C:$FB,5)</f>
        <v>4037.7</v>
      </c>
      <c r="F130" s="75">
        <f t="shared" si="6"/>
        <v>19.5</v>
      </c>
      <c r="G130" s="75">
        <f t="shared" si="7"/>
        <v>2.0047083950197888</v>
      </c>
      <c r="H130" s="75">
        <f>VLOOKUP($A130,'Data Vlaue (Cr)'!$C:$FB,99)</f>
        <v>9580</v>
      </c>
      <c r="I130" s="75">
        <f>VLOOKUP($A130,'Data Vlaue (Cr)'!$C:$FB,100)</f>
        <v>9030</v>
      </c>
      <c r="J130" s="75">
        <f t="shared" si="8"/>
        <v>550</v>
      </c>
      <c r="K130" s="75">
        <f t="shared" si="9"/>
        <v>5.7411273486430066</v>
      </c>
      <c r="L130" s="75">
        <f>VLOOKUP($A130,'Data Vlaue (Cr)'!$C:$FB,67)</f>
        <v>6369</v>
      </c>
      <c r="M130" s="75">
        <f>VLOOKUP($A130,'Data Vlaue (Cr)'!$C:$FB,68)</f>
        <v>4162</v>
      </c>
      <c r="N130" s="75">
        <f t="shared" si="10"/>
        <v>2207</v>
      </c>
      <c r="O130" s="75">
        <f t="shared" si="11"/>
        <v>34.652221698853822</v>
      </c>
      <c r="P130" s="75">
        <f>VLOOKUP($A130,'Data Vlaue (Cr)'!$C:$FB,119)</f>
        <v>0.83</v>
      </c>
      <c r="Q130" s="75">
        <f>VLOOKUP($A130,'Data Vlaue (Cr)'!$C:$FB,122)*100</f>
        <v>-15.310000000000002</v>
      </c>
      <c r="R130" s="75">
        <f>VLOOKUP($A130,'Data Vlaue (Cr)'!$C:$FB,125)</f>
        <v>0.37</v>
      </c>
      <c r="S130" s="75">
        <f>VLOOKUP($A130,'Data Vlaue (Cr)'!$C:$FB,128)*100</f>
        <v>-43.08</v>
      </c>
    </row>
    <row r="131" spans="1:19" x14ac:dyDescent="0.25">
      <c r="A131" s="96" t="str">
        <f>'Data Vlaue (Cr)'!C122</f>
        <v>LTF</v>
      </c>
      <c r="B131" s="75">
        <f>VLOOKUP($A131,'Data Vlaue (Cr)'!$C:$FB,2)</f>
        <v>2250</v>
      </c>
      <c r="C131" s="75">
        <f>VLOOKUP($A131,'Data Vlaue (Cr)'!$C:$FB,8)</f>
        <v>285.64999999999998</v>
      </c>
      <c r="D131" s="75">
        <f>VLOOKUP($A131,'Data Vlaue (Cr)'!$C:$FB,4)</f>
        <v>284.64999999999998</v>
      </c>
      <c r="E131" s="75">
        <f>VLOOKUP($A131,'Data Vlaue (Cr)'!$C:$FB,5)</f>
        <v>280.81</v>
      </c>
      <c r="F131" s="75">
        <f t="shared" si="6"/>
        <v>-1</v>
      </c>
      <c r="G131" s="75">
        <f t="shared" si="7"/>
        <v>1.3490251185666522</v>
      </c>
      <c r="H131" s="75">
        <f>VLOOKUP($A131,'Data Vlaue (Cr)'!$C:$FB,99)</f>
        <v>1976</v>
      </c>
      <c r="I131" s="75">
        <f>VLOOKUP($A131,'Data Vlaue (Cr)'!$C:$FB,100)</f>
        <v>1895</v>
      </c>
      <c r="J131" s="75">
        <f t="shared" si="8"/>
        <v>81</v>
      </c>
      <c r="K131" s="75">
        <f t="shared" si="9"/>
        <v>4.0991902834008096</v>
      </c>
      <c r="L131" s="75">
        <f>VLOOKUP($A131,'Data Vlaue (Cr)'!$C:$FB,67)</f>
        <v>536</v>
      </c>
      <c r="M131" s="75">
        <f>VLOOKUP($A131,'Data Vlaue (Cr)'!$C:$FB,68)</f>
        <v>468</v>
      </c>
      <c r="N131" s="75">
        <f t="shared" si="10"/>
        <v>68</v>
      </c>
      <c r="O131" s="75">
        <f t="shared" si="11"/>
        <v>12.686567164179104</v>
      </c>
      <c r="P131" s="75">
        <f>VLOOKUP($A131,'Data Vlaue (Cr)'!$C:$FB,119)</f>
        <v>0.75</v>
      </c>
      <c r="Q131" s="75">
        <f>VLOOKUP($A131,'Data Vlaue (Cr)'!$C:$FB,122)*100</f>
        <v>-8.5400000000000009</v>
      </c>
      <c r="R131" s="75">
        <f>VLOOKUP($A131,'Data Vlaue (Cr)'!$C:$FB,125)</f>
        <v>0.33</v>
      </c>
      <c r="S131" s="75">
        <f>VLOOKUP($A131,'Data Vlaue (Cr)'!$C:$FB,128)*100</f>
        <v>-36.54</v>
      </c>
    </row>
    <row r="132" spans="1:19" x14ac:dyDescent="0.25">
      <c r="A132" s="96" t="str">
        <f>'Data Vlaue (Cr)'!C123</f>
        <v>LTM</v>
      </c>
      <c r="B132" s="75">
        <f>VLOOKUP($A132,'Data Vlaue (Cr)'!$C:$FB,2)</f>
        <v>150</v>
      </c>
      <c r="C132" s="75">
        <f>VLOOKUP($A132,'Data Vlaue (Cr)'!$C:$FB,8)</f>
        <v>4202.7</v>
      </c>
      <c r="D132" s="75">
        <f>VLOOKUP($A132,'Data Vlaue (Cr)'!$C:$FB,4)</f>
        <v>4189.7</v>
      </c>
      <c r="E132" s="75">
        <f>VLOOKUP($A132,'Data Vlaue (Cr)'!$C:$FB,5)</f>
        <v>4258.8</v>
      </c>
      <c r="F132" s="75">
        <f t="shared" si="6"/>
        <v>-13</v>
      </c>
      <c r="G132" s="75">
        <f t="shared" si="7"/>
        <v>-1.6492827648757753</v>
      </c>
      <c r="H132" s="75">
        <f>VLOOKUP($A132,'Data Vlaue (Cr)'!$C:$FB,99)</f>
        <v>2013</v>
      </c>
      <c r="I132" s="75">
        <f>VLOOKUP($A132,'Data Vlaue (Cr)'!$C:$FB,100)</f>
        <v>1944</v>
      </c>
      <c r="J132" s="75">
        <f t="shared" si="8"/>
        <v>69</v>
      </c>
      <c r="K132" s="75">
        <f t="shared" si="9"/>
        <v>3.427719821162444</v>
      </c>
      <c r="L132" s="75">
        <f>VLOOKUP($A132,'Data Vlaue (Cr)'!$C:$FB,67)</f>
        <v>604</v>
      </c>
      <c r="M132" s="75">
        <f>VLOOKUP($A132,'Data Vlaue (Cr)'!$C:$FB,68)</f>
        <v>637</v>
      </c>
      <c r="N132" s="75">
        <f t="shared" si="10"/>
        <v>-33</v>
      </c>
      <c r="O132" s="75">
        <f t="shared" si="11"/>
        <v>-5.4635761589403975</v>
      </c>
      <c r="P132" s="75">
        <f>VLOOKUP($A132,'Data Vlaue (Cr)'!$C:$FB,119)</f>
        <v>0.67</v>
      </c>
      <c r="Q132" s="75">
        <f>VLOOKUP($A132,'Data Vlaue (Cr)'!$C:$FB,122)*100</f>
        <v>-2.9000000000000004</v>
      </c>
      <c r="R132" s="75">
        <f>VLOOKUP($A132,'Data Vlaue (Cr)'!$C:$FB,125)</f>
        <v>0.48</v>
      </c>
      <c r="S132" s="75">
        <f>VLOOKUP($A132,'Data Vlaue (Cr)'!$C:$FB,128)*100</f>
        <v>2.13</v>
      </c>
    </row>
    <row r="133" spans="1:19" x14ac:dyDescent="0.25">
      <c r="A133" s="96" t="str">
        <f>'Data Vlaue (Cr)'!C124</f>
        <v>LUPIN</v>
      </c>
      <c r="B133" s="75">
        <f>VLOOKUP($A133,'Data Vlaue (Cr)'!$C:$FB,2)</f>
        <v>425</v>
      </c>
      <c r="C133" s="75">
        <f>VLOOKUP($A133,'Data Vlaue (Cr)'!$C:$FB,8)</f>
        <v>2348.8000000000002</v>
      </c>
      <c r="D133" s="75">
        <f>VLOOKUP($A133,'Data Vlaue (Cr)'!$C:$FB,4)</f>
        <v>2351.5</v>
      </c>
      <c r="E133" s="75">
        <f>VLOOKUP($A133,'Data Vlaue (Cr)'!$C:$FB,5)</f>
        <v>2310.8000000000002</v>
      </c>
      <c r="F133" s="75">
        <f t="shared" si="6"/>
        <v>2.6999999999998181</v>
      </c>
      <c r="G133" s="75">
        <f t="shared" si="7"/>
        <v>1.7308101211992266</v>
      </c>
      <c r="H133" s="75">
        <f>VLOOKUP($A133,'Data Vlaue (Cr)'!$C:$FB,99)</f>
        <v>2779</v>
      </c>
      <c r="I133" s="75">
        <f>VLOOKUP($A133,'Data Vlaue (Cr)'!$C:$FB,100)</f>
        <v>2417</v>
      </c>
      <c r="J133" s="75">
        <f t="shared" si="8"/>
        <v>362</v>
      </c>
      <c r="K133" s="75">
        <f t="shared" si="9"/>
        <v>13.02626844188557</v>
      </c>
      <c r="L133" s="75">
        <f>VLOOKUP($A133,'Data Vlaue (Cr)'!$C:$FB,67)</f>
        <v>2376</v>
      </c>
      <c r="M133" s="75">
        <f>VLOOKUP($A133,'Data Vlaue (Cr)'!$C:$FB,68)</f>
        <v>955</v>
      </c>
      <c r="N133" s="75">
        <f t="shared" si="10"/>
        <v>1421</v>
      </c>
      <c r="O133" s="75">
        <f t="shared" si="11"/>
        <v>59.806397306397308</v>
      </c>
      <c r="P133" s="75">
        <f>VLOOKUP($A133,'Data Vlaue (Cr)'!$C:$FB,119)</f>
        <v>0.63</v>
      </c>
      <c r="Q133" s="75">
        <f>VLOOKUP($A133,'Data Vlaue (Cr)'!$C:$FB,122)*100</f>
        <v>-21.25</v>
      </c>
      <c r="R133" s="75">
        <f>VLOOKUP($A133,'Data Vlaue (Cr)'!$C:$FB,125)</f>
        <v>0.3</v>
      </c>
      <c r="S133" s="75">
        <f>VLOOKUP($A133,'Data Vlaue (Cr)'!$C:$FB,128)*100</f>
        <v>-56.52</v>
      </c>
    </row>
    <row r="134" spans="1:19" x14ac:dyDescent="0.25">
      <c r="A134" s="96" t="str">
        <f>'Data Vlaue (Cr)'!C125</f>
        <v>M&amp;M</v>
      </c>
      <c r="B134" s="75">
        <f>VLOOKUP($A134,'Data Vlaue (Cr)'!$C:$FB,2)</f>
        <v>200</v>
      </c>
      <c r="C134" s="75">
        <f>VLOOKUP($A134,'Data Vlaue (Cr)'!$C:$FB,8)</f>
        <v>3106.5</v>
      </c>
      <c r="D134" s="75">
        <f>VLOOKUP($A134,'Data Vlaue (Cr)'!$C:$FB,4)</f>
        <v>3120.2</v>
      </c>
      <c r="E134" s="75">
        <f>VLOOKUP($A134,'Data Vlaue (Cr)'!$C:$FB,5)</f>
        <v>3115</v>
      </c>
      <c r="F134" s="75">
        <f t="shared" si="6"/>
        <v>13.699999999999818</v>
      </c>
      <c r="G134" s="75">
        <f t="shared" si="7"/>
        <v>0.16665598359078965</v>
      </c>
      <c r="H134" s="75">
        <f>VLOOKUP($A134,'Data Vlaue (Cr)'!$C:$FB,99)</f>
        <v>8960</v>
      </c>
      <c r="I134" s="75">
        <f>VLOOKUP($A134,'Data Vlaue (Cr)'!$C:$FB,100)</f>
        <v>8321</v>
      </c>
      <c r="J134" s="75">
        <f t="shared" si="8"/>
        <v>639</v>
      </c>
      <c r="K134" s="75">
        <f t="shared" si="9"/>
        <v>7.1316964285714279</v>
      </c>
      <c r="L134" s="75">
        <f>VLOOKUP($A134,'Data Vlaue (Cr)'!$C:$FB,67)</f>
        <v>4840</v>
      </c>
      <c r="M134" s="75">
        <f>VLOOKUP($A134,'Data Vlaue (Cr)'!$C:$FB,68)</f>
        <v>3168</v>
      </c>
      <c r="N134" s="75">
        <f t="shared" si="10"/>
        <v>1672</v>
      </c>
      <c r="O134" s="75">
        <f t="shared" si="11"/>
        <v>34.545454545454547</v>
      </c>
      <c r="P134" s="75">
        <f>VLOOKUP($A134,'Data Vlaue (Cr)'!$C:$FB,119)</f>
        <v>0.8</v>
      </c>
      <c r="Q134" s="75">
        <f>VLOOKUP($A134,'Data Vlaue (Cr)'!$C:$FB,122)*100</f>
        <v>-10.11</v>
      </c>
      <c r="R134" s="75">
        <f>VLOOKUP($A134,'Data Vlaue (Cr)'!$C:$FB,125)</f>
        <v>0.37</v>
      </c>
      <c r="S134" s="75">
        <f>VLOOKUP($A134,'Data Vlaue (Cr)'!$C:$FB,128)*100</f>
        <v>-49.32</v>
      </c>
    </row>
    <row r="135" spans="1:19" x14ac:dyDescent="0.25">
      <c r="A135" s="96" t="str">
        <f>'Data Vlaue (Cr)'!C126</f>
        <v>MANAPPURAM</v>
      </c>
      <c r="B135" s="75">
        <f>VLOOKUP($A135,'Data Vlaue (Cr)'!$C:$FB,2)</f>
        <v>3000</v>
      </c>
      <c r="C135" s="75">
        <f>VLOOKUP($A135,'Data Vlaue (Cr)'!$C:$FB,8)</f>
        <v>305.14999999999998</v>
      </c>
      <c r="D135" s="75">
        <f>VLOOKUP($A135,'Data Vlaue (Cr)'!$C:$FB,4)</f>
        <v>306.7</v>
      </c>
      <c r="E135" s="75">
        <f>VLOOKUP($A135,'Data Vlaue (Cr)'!$C:$FB,5)</f>
        <v>295.8</v>
      </c>
      <c r="F135" s="75">
        <f t="shared" si="6"/>
        <v>1.5500000000000114</v>
      </c>
      <c r="G135" s="75">
        <f t="shared" si="7"/>
        <v>3.5539615259210886</v>
      </c>
      <c r="H135" s="75">
        <f>VLOOKUP($A135,'Data Vlaue (Cr)'!$C:$FB,99)</f>
        <v>2277</v>
      </c>
      <c r="I135" s="75">
        <f>VLOOKUP($A135,'Data Vlaue (Cr)'!$C:$FB,100)</f>
        <v>2072</v>
      </c>
      <c r="J135" s="75">
        <f t="shared" si="8"/>
        <v>205</v>
      </c>
      <c r="K135" s="75">
        <f t="shared" si="9"/>
        <v>9.0030742204655247</v>
      </c>
      <c r="L135" s="75">
        <f>VLOOKUP($A135,'Data Vlaue (Cr)'!$C:$FB,67)</f>
        <v>2277</v>
      </c>
      <c r="M135" s="75">
        <f>VLOOKUP($A135,'Data Vlaue (Cr)'!$C:$FB,68)</f>
        <v>556</v>
      </c>
      <c r="N135" s="75">
        <f t="shared" si="10"/>
        <v>1721</v>
      </c>
      <c r="O135" s="75">
        <f t="shared" si="11"/>
        <v>75.58190601668862</v>
      </c>
      <c r="P135" s="75">
        <f>VLOOKUP($A135,'Data Vlaue (Cr)'!$C:$FB,119)</f>
        <v>0.65</v>
      </c>
      <c r="Q135" s="75">
        <f>VLOOKUP($A135,'Data Vlaue (Cr)'!$C:$FB,122)*100</f>
        <v>20.369999999999997</v>
      </c>
      <c r="R135" s="75">
        <f>VLOOKUP($A135,'Data Vlaue (Cr)'!$C:$FB,125)</f>
        <v>0.44</v>
      </c>
      <c r="S135" s="75">
        <f>VLOOKUP($A135,'Data Vlaue (Cr)'!$C:$FB,128)*100</f>
        <v>33.33</v>
      </c>
    </row>
    <row r="136" spans="1:19" x14ac:dyDescent="0.25">
      <c r="A136" s="96" t="str">
        <f>'Data Vlaue (Cr)'!C127</f>
        <v>MANKIND</v>
      </c>
      <c r="B136" s="75">
        <f>VLOOKUP($A136,'Data Vlaue (Cr)'!$C:$FB,2)</f>
        <v>225</v>
      </c>
      <c r="C136" s="75">
        <f>VLOOKUP($A136,'Data Vlaue (Cr)'!$C:$FB,8)</f>
        <v>2257.8000000000002</v>
      </c>
      <c r="D136" s="75">
        <f>VLOOKUP($A136,'Data Vlaue (Cr)'!$C:$FB,4)</f>
        <v>2269.6</v>
      </c>
      <c r="E136" s="75">
        <f>VLOOKUP($A136,'Data Vlaue (Cr)'!$C:$FB,5)</f>
        <v>2252.1</v>
      </c>
      <c r="F136" s="75">
        <f t="shared" si="6"/>
        <v>11.799999999999727</v>
      </c>
      <c r="G136" s="75">
        <f t="shared" si="7"/>
        <v>0.77106097990835387</v>
      </c>
      <c r="H136" s="75">
        <f>VLOOKUP($A136,'Data Vlaue (Cr)'!$C:$FB,99)</f>
        <v>1002</v>
      </c>
      <c r="I136" s="75">
        <f>VLOOKUP($A136,'Data Vlaue (Cr)'!$C:$FB,100)</f>
        <v>955</v>
      </c>
      <c r="J136" s="75">
        <f t="shared" si="8"/>
        <v>47</v>
      </c>
      <c r="K136" s="75">
        <f t="shared" si="9"/>
        <v>4.6906187624750499</v>
      </c>
      <c r="L136" s="75">
        <f>VLOOKUP($A136,'Data Vlaue (Cr)'!$C:$FB,67)</f>
        <v>252</v>
      </c>
      <c r="M136" s="75">
        <f>VLOOKUP($A136,'Data Vlaue (Cr)'!$C:$FB,68)</f>
        <v>101</v>
      </c>
      <c r="N136" s="75">
        <f t="shared" si="10"/>
        <v>151</v>
      </c>
      <c r="O136" s="75">
        <f t="shared" si="11"/>
        <v>59.920634920634917</v>
      </c>
      <c r="P136" s="75">
        <f>VLOOKUP($A136,'Data Vlaue (Cr)'!$C:$FB,119)</f>
        <v>0.82</v>
      </c>
      <c r="Q136" s="75">
        <f>VLOOKUP($A136,'Data Vlaue (Cr)'!$C:$FB,122)*100</f>
        <v>-27.43</v>
      </c>
      <c r="R136" s="75">
        <f>VLOOKUP($A136,'Data Vlaue (Cr)'!$C:$FB,125)</f>
        <v>0.23</v>
      </c>
      <c r="S136" s="75">
        <f>VLOOKUP($A136,'Data Vlaue (Cr)'!$C:$FB,128)*100</f>
        <v>-53.059999999999995</v>
      </c>
    </row>
    <row r="137" spans="1:19" x14ac:dyDescent="0.25">
      <c r="A137" s="96" t="str">
        <f>'Data Vlaue (Cr)'!C128</f>
        <v>MARICO</v>
      </c>
      <c r="B137" s="75">
        <f>VLOOKUP($A137,'Data Vlaue (Cr)'!$C:$FB,2)</f>
        <v>1200</v>
      </c>
      <c r="C137" s="75">
        <f>VLOOKUP($A137,'Data Vlaue (Cr)'!$C:$FB,8)</f>
        <v>784.55</v>
      </c>
      <c r="D137" s="75">
        <f>VLOOKUP($A137,'Data Vlaue (Cr)'!$C:$FB,4)</f>
        <v>789</v>
      </c>
      <c r="E137" s="75">
        <f>VLOOKUP($A137,'Data Vlaue (Cr)'!$C:$FB,5)</f>
        <v>777.75</v>
      </c>
      <c r="F137" s="75">
        <f t="shared" si="6"/>
        <v>4.4500000000000455</v>
      </c>
      <c r="G137" s="75">
        <f t="shared" si="7"/>
        <v>1.4258555133079849</v>
      </c>
      <c r="H137" s="75">
        <f>VLOOKUP($A137,'Data Vlaue (Cr)'!$C:$FB,99)</f>
        <v>2203</v>
      </c>
      <c r="I137" s="75">
        <f>VLOOKUP($A137,'Data Vlaue (Cr)'!$C:$FB,100)</f>
        <v>2097</v>
      </c>
      <c r="J137" s="75">
        <f t="shared" si="8"/>
        <v>106</v>
      </c>
      <c r="K137" s="75">
        <f t="shared" si="9"/>
        <v>4.811620517476169</v>
      </c>
      <c r="L137" s="75">
        <f>VLOOKUP($A137,'Data Vlaue (Cr)'!$C:$FB,67)</f>
        <v>568</v>
      </c>
      <c r="M137" s="75">
        <f>VLOOKUP($A137,'Data Vlaue (Cr)'!$C:$FB,68)</f>
        <v>499</v>
      </c>
      <c r="N137" s="75">
        <f t="shared" si="10"/>
        <v>69</v>
      </c>
      <c r="O137" s="75">
        <f t="shared" si="11"/>
        <v>12.147887323943662</v>
      </c>
      <c r="P137" s="75">
        <f>VLOOKUP($A137,'Data Vlaue (Cr)'!$C:$FB,119)</f>
        <v>0.8</v>
      </c>
      <c r="Q137" s="75">
        <f>VLOOKUP($A137,'Data Vlaue (Cr)'!$C:$FB,122)*100</f>
        <v>1.27</v>
      </c>
      <c r="R137" s="75">
        <f>VLOOKUP($A137,'Data Vlaue (Cr)'!$C:$FB,125)</f>
        <v>0.82</v>
      </c>
      <c r="S137" s="75">
        <f>VLOOKUP($A137,'Data Vlaue (Cr)'!$C:$FB,128)*100</f>
        <v>36.67</v>
      </c>
    </row>
    <row r="138" spans="1:19" x14ac:dyDescent="0.25">
      <c r="A138" s="96" t="str">
        <f>'Data Vlaue (Cr)'!C129</f>
        <v>MARUTI</v>
      </c>
      <c r="B138" s="75">
        <f>VLOOKUP($A138,'Data Vlaue (Cr)'!$C:$FB,2)</f>
        <v>50</v>
      </c>
      <c r="C138" s="75">
        <f>VLOOKUP($A138,'Data Vlaue (Cr)'!$C:$FB,8)</f>
        <v>13580</v>
      </c>
      <c r="D138" s="75">
        <f>VLOOKUP($A138,'Data Vlaue (Cr)'!$C:$FB,4)</f>
        <v>13656</v>
      </c>
      <c r="E138" s="75">
        <f>VLOOKUP($A138,'Data Vlaue (Cr)'!$C:$FB,5)</f>
        <v>13386</v>
      </c>
      <c r="F138" s="75">
        <f t="shared" si="6"/>
        <v>76</v>
      </c>
      <c r="G138" s="75">
        <f t="shared" si="7"/>
        <v>1.9771528998242531</v>
      </c>
      <c r="H138" s="75">
        <f>VLOOKUP($A138,'Data Vlaue (Cr)'!$C:$FB,99)</f>
        <v>8122</v>
      </c>
      <c r="I138" s="75">
        <f>VLOOKUP($A138,'Data Vlaue (Cr)'!$C:$FB,100)</f>
        <v>7461</v>
      </c>
      <c r="J138" s="75">
        <f t="shared" si="8"/>
        <v>661</v>
      </c>
      <c r="K138" s="75">
        <f t="shared" si="9"/>
        <v>8.1383895592218654</v>
      </c>
      <c r="L138" s="75">
        <f>VLOOKUP($A138,'Data Vlaue (Cr)'!$C:$FB,67)</f>
        <v>14764</v>
      </c>
      <c r="M138" s="75">
        <f>VLOOKUP($A138,'Data Vlaue (Cr)'!$C:$FB,68)</f>
        <v>8093</v>
      </c>
      <c r="N138" s="75">
        <f t="shared" si="10"/>
        <v>6671</v>
      </c>
      <c r="O138" s="75">
        <f t="shared" si="11"/>
        <v>45.184231915470065</v>
      </c>
      <c r="P138" s="75">
        <f>VLOOKUP($A138,'Data Vlaue (Cr)'!$C:$FB,119)</f>
        <v>0.5</v>
      </c>
      <c r="Q138" s="75">
        <f>VLOOKUP($A138,'Data Vlaue (Cr)'!$C:$FB,122)*100</f>
        <v>6.38</v>
      </c>
      <c r="R138" s="75">
        <f>VLOOKUP($A138,'Data Vlaue (Cr)'!$C:$FB,125)</f>
        <v>0.51</v>
      </c>
      <c r="S138" s="75">
        <f>VLOOKUP($A138,'Data Vlaue (Cr)'!$C:$FB,128)*100</f>
        <v>-1.92</v>
      </c>
    </row>
    <row r="139" spans="1:19" x14ac:dyDescent="0.25">
      <c r="A139" s="96" t="str">
        <f>'Data Vlaue (Cr)'!C130</f>
        <v>MAXHEALTH</v>
      </c>
      <c r="B139" s="75">
        <f>VLOOKUP($A139,'Data Vlaue (Cr)'!$C:$FB,2)</f>
        <v>525</v>
      </c>
      <c r="C139" s="75">
        <f>VLOOKUP($A139,'Data Vlaue (Cr)'!$C:$FB,8)</f>
        <v>1011.55</v>
      </c>
      <c r="D139" s="75">
        <f>VLOOKUP($A139,'Data Vlaue (Cr)'!$C:$FB,4)</f>
        <v>1017.65</v>
      </c>
      <c r="E139" s="75">
        <f>VLOOKUP($A139,'Data Vlaue (Cr)'!$C:$FB,5)</f>
        <v>998.95</v>
      </c>
      <c r="F139" s="75">
        <f t="shared" si="6"/>
        <v>6.1000000000000227</v>
      </c>
      <c r="G139" s="75">
        <f t="shared" si="7"/>
        <v>1.8375669434481336</v>
      </c>
      <c r="H139" s="75">
        <f>VLOOKUP($A139,'Data Vlaue (Cr)'!$C:$FB,99)</f>
        <v>1694</v>
      </c>
      <c r="I139" s="75">
        <f>VLOOKUP($A139,'Data Vlaue (Cr)'!$C:$FB,100)</f>
        <v>1616</v>
      </c>
      <c r="J139" s="75">
        <f t="shared" si="8"/>
        <v>78</v>
      </c>
      <c r="K139" s="75">
        <f t="shared" si="9"/>
        <v>4.6044864226682405</v>
      </c>
      <c r="L139" s="75">
        <f>VLOOKUP($A139,'Data Vlaue (Cr)'!$C:$FB,67)</f>
        <v>652</v>
      </c>
      <c r="M139" s="75">
        <f>VLOOKUP($A139,'Data Vlaue (Cr)'!$C:$FB,68)</f>
        <v>548</v>
      </c>
      <c r="N139" s="75">
        <f t="shared" si="10"/>
        <v>104</v>
      </c>
      <c r="O139" s="75">
        <f t="shared" si="11"/>
        <v>15.950920245398773</v>
      </c>
      <c r="P139" s="75">
        <f>VLOOKUP($A139,'Data Vlaue (Cr)'!$C:$FB,119)</f>
        <v>0.64</v>
      </c>
      <c r="Q139" s="75">
        <f>VLOOKUP($A139,'Data Vlaue (Cr)'!$C:$FB,122)*100</f>
        <v>14.29</v>
      </c>
      <c r="R139" s="75">
        <f>VLOOKUP($A139,'Data Vlaue (Cr)'!$C:$FB,125)</f>
        <v>0.5</v>
      </c>
      <c r="S139" s="75">
        <f>VLOOKUP($A139,'Data Vlaue (Cr)'!$C:$FB,128)*100</f>
        <v>-27.54</v>
      </c>
    </row>
    <row r="140" spans="1:19" x14ac:dyDescent="0.25">
      <c r="A140" s="96" t="str">
        <f>'Data Vlaue (Cr)'!C131</f>
        <v>MAZDOCK</v>
      </c>
      <c r="B140" s="75">
        <f>VLOOKUP($A140,'Data Vlaue (Cr)'!$C:$FB,2)</f>
        <v>200</v>
      </c>
      <c r="C140" s="75">
        <f>VLOOKUP($A140,'Data Vlaue (Cr)'!$C:$FB,8)</f>
        <v>2611.6</v>
      </c>
      <c r="D140" s="75">
        <f>VLOOKUP($A140,'Data Vlaue (Cr)'!$C:$FB,4)</f>
        <v>2625.2</v>
      </c>
      <c r="E140" s="75">
        <f>VLOOKUP($A140,'Data Vlaue (Cr)'!$C:$FB,5)</f>
        <v>2742.2</v>
      </c>
      <c r="F140" s="75">
        <f t="shared" ref="F140:F176" si="12">D140-C140</f>
        <v>13.599999999999909</v>
      </c>
      <c r="G140" s="75">
        <f t="shared" ref="G140:G176" si="13">(D140-E140)/D140*100</f>
        <v>-4.456803291177815</v>
      </c>
      <c r="H140" s="75">
        <f>VLOOKUP($A140,'Data Vlaue (Cr)'!$C:$FB,99)</f>
        <v>2933</v>
      </c>
      <c r="I140" s="75">
        <f>VLOOKUP($A140,'Data Vlaue (Cr)'!$C:$FB,100)</f>
        <v>2180</v>
      </c>
      <c r="J140" s="75">
        <f t="shared" ref="J140:J176" si="14">H140-I140</f>
        <v>753</v>
      </c>
      <c r="K140" s="75">
        <f t="shared" ref="K140:K176" si="15">J140/H140*100</f>
        <v>25.673371974087967</v>
      </c>
      <c r="L140" s="75">
        <f>VLOOKUP($A140,'Data Vlaue (Cr)'!$C:$FB,67)</f>
        <v>4513</v>
      </c>
      <c r="M140" s="75">
        <f>VLOOKUP($A140,'Data Vlaue (Cr)'!$C:$FB,68)</f>
        <v>1736</v>
      </c>
      <c r="N140" s="75">
        <f t="shared" ref="N140:N176" si="16">L140-M140</f>
        <v>2777</v>
      </c>
      <c r="O140" s="75">
        <f t="shared" ref="O140:O176" si="17">N140/L140*100</f>
        <v>61.533348105473074</v>
      </c>
      <c r="P140" s="75">
        <f>VLOOKUP($A140,'Data Vlaue (Cr)'!$C:$FB,119)</f>
        <v>0.39</v>
      </c>
      <c r="Q140" s="75">
        <f>VLOOKUP($A140,'Data Vlaue (Cr)'!$C:$FB,122)*100</f>
        <v>-20.41</v>
      </c>
      <c r="R140" s="75">
        <f>VLOOKUP($A140,'Data Vlaue (Cr)'!$C:$FB,125)</f>
        <v>0.39</v>
      </c>
      <c r="S140" s="75">
        <f>VLOOKUP($A140,'Data Vlaue (Cr)'!$C:$FB,128)*100</f>
        <v>8.33</v>
      </c>
    </row>
    <row r="141" spans="1:19" x14ac:dyDescent="0.25">
      <c r="A141" s="96" t="str">
        <f>'Data Vlaue (Cr)'!C132</f>
        <v>MCX</v>
      </c>
      <c r="B141" s="75">
        <f>VLOOKUP($A141,'Data Vlaue (Cr)'!$C:$FB,2)</f>
        <v>625</v>
      </c>
      <c r="C141" s="75">
        <f>VLOOKUP($A141,'Data Vlaue (Cr)'!$C:$FB,8)</f>
        <v>2912.9</v>
      </c>
      <c r="D141" s="75">
        <f>VLOOKUP($A141,'Data Vlaue (Cr)'!$C:$FB,4)</f>
        <v>2929.5</v>
      </c>
      <c r="E141" s="75">
        <f>VLOOKUP($A141,'Data Vlaue (Cr)'!$C:$FB,5)</f>
        <v>2981</v>
      </c>
      <c r="F141" s="75">
        <f t="shared" si="12"/>
        <v>16.599999999999909</v>
      </c>
      <c r="G141" s="75">
        <f t="shared" si="13"/>
        <v>-1.7579791773340161</v>
      </c>
      <c r="H141" s="75">
        <f>VLOOKUP($A141,'Data Vlaue (Cr)'!$C:$FB,99)</f>
        <v>6073</v>
      </c>
      <c r="I141" s="75">
        <f>VLOOKUP($A141,'Data Vlaue (Cr)'!$C:$FB,100)</f>
        <v>5749</v>
      </c>
      <c r="J141" s="75">
        <f t="shared" si="14"/>
        <v>324</v>
      </c>
      <c r="K141" s="75">
        <f t="shared" si="15"/>
        <v>5.3350897414786758</v>
      </c>
      <c r="L141" s="75">
        <f>VLOOKUP($A141,'Data Vlaue (Cr)'!$C:$FB,67)</f>
        <v>6621</v>
      </c>
      <c r="M141" s="75">
        <f>VLOOKUP($A141,'Data Vlaue (Cr)'!$C:$FB,68)</f>
        <v>4983</v>
      </c>
      <c r="N141" s="75">
        <f t="shared" si="16"/>
        <v>1638</v>
      </c>
      <c r="O141" s="75">
        <f t="shared" si="17"/>
        <v>24.739465337562301</v>
      </c>
      <c r="P141" s="75">
        <f>VLOOKUP($A141,'Data Vlaue (Cr)'!$C:$FB,119)</f>
        <v>0.72</v>
      </c>
      <c r="Q141" s="75">
        <f>VLOOKUP($A141,'Data Vlaue (Cr)'!$C:$FB,122)*100</f>
        <v>-5.26</v>
      </c>
      <c r="R141" s="75">
        <f>VLOOKUP($A141,'Data Vlaue (Cr)'!$C:$FB,125)</f>
        <v>0.72</v>
      </c>
      <c r="S141" s="75">
        <f>VLOOKUP($A141,'Data Vlaue (Cr)'!$C:$FB,128)*100</f>
        <v>4.3499999999999996</v>
      </c>
    </row>
    <row r="142" spans="1:19" x14ac:dyDescent="0.25">
      <c r="A142" s="96" t="str">
        <f>'Data Vlaue (Cr)'!C133</f>
        <v>MFSL</v>
      </c>
      <c r="B142" s="75">
        <f>VLOOKUP($A142,'Data Vlaue (Cr)'!$C:$FB,2)</f>
        <v>400</v>
      </c>
      <c r="C142" s="75">
        <f>VLOOKUP($A142,'Data Vlaue (Cr)'!$C:$FB,8)</f>
        <v>1606.7</v>
      </c>
      <c r="D142" s="75">
        <f>VLOOKUP($A142,'Data Vlaue (Cr)'!$C:$FB,4)</f>
        <v>1615.1</v>
      </c>
      <c r="E142" s="75">
        <f>VLOOKUP($A142,'Data Vlaue (Cr)'!$C:$FB,5)</f>
        <v>1595.1</v>
      </c>
      <c r="F142" s="75">
        <f t="shared" si="12"/>
        <v>8.3999999999998636</v>
      </c>
      <c r="G142" s="75">
        <f t="shared" si="13"/>
        <v>1.2383134171258745</v>
      </c>
      <c r="H142" s="75">
        <f>VLOOKUP($A142,'Data Vlaue (Cr)'!$C:$FB,99)</f>
        <v>1591</v>
      </c>
      <c r="I142" s="75">
        <f>VLOOKUP($A142,'Data Vlaue (Cr)'!$C:$FB,100)</f>
        <v>1561</v>
      </c>
      <c r="J142" s="75">
        <f t="shared" si="14"/>
        <v>30</v>
      </c>
      <c r="K142" s="75">
        <f t="shared" si="15"/>
        <v>1.8856065367693273</v>
      </c>
      <c r="L142" s="75">
        <f>VLOOKUP($A142,'Data Vlaue (Cr)'!$C:$FB,67)</f>
        <v>170</v>
      </c>
      <c r="M142" s="75">
        <f>VLOOKUP($A142,'Data Vlaue (Cr)'!$C:$FB,68)</f>
        <v>89</v>
      </c>
      <c r="N142" s="75">
        <f t="shared" si="16"/>
        <v>81</v>
      </c>
      <c r="O142" s="75">
        <f t="shared" si="17"/>
        <v>47.647058823529406</v>
      </c>
      <c r="P142" s="75">
        <f>VLOOKUP($A142,'Data Vlaue (Cr)'!$C:$FB,119)</f>
        <v>0.85</v>
      </c>
      <c r="Q142" s="75">
        <f>VLOOKUP($A142,'Data Vlaue (Cr)'!$C:$FB,122)*100</f>
        <v>-28.57</v>
      </c>
      <c r="R142" s="75">
        <f>VLOOKUP($A142,'Data Vlaue (Cr)'!$C:$FB,125)</f>
        <v>0.32</v>
      </c>
      <c r="S142" s="75">
        <f>VLOOKUP($A142,'Data Vlaue (Cr)'!$C:$FB,128)*100</f>
        <v>-21.95</v>
      </c>
    </row>
    <row r="143" spans="1:19" x14ac:dyDescent="0.25">
      <c r="A143" s="96" t="str">
        <f>'Data Vlaue (Cr)'!C134</f>
        <v>MIDCPNIFTY</v>
      </c>
      <c r="B143" s="75">
        <f>VLOOKUP($A143,'Data Vlaue (Cr)'!$C:$FB,2)</f>
        <v>120</v>
      </c>
      <c r="C143" s="75">
        <f>VLOOKUP($A143,'Data Vlaue (Cr)'!$C:$FB,8)</f>
        <v>13930.2</v>
      </c>
      <c r="D143" s="75">
        <f>VLOOKUP($A143,'Data Vlaue (Cr)'!$C:$FB,4)</f>
        <v>13964.65</v>
      </c>
      <c r="E143" s="75">
        <f>VLOOKUP($A143,'Data Vlaue (Cr)'!$C:$FB,5)</f>
        <v>13879.65</v>
      </c>
      <c r="F143" s="75">
        <f t="shared" si="12"/>
        <v>34.449999999998909</v>
      </c>
      <c r="G143" s="75">
        <f t="shared" si="13"/>
        <v>0.60867977357112424</v>
      </c>
      <c r="H143" s="75">
        <f>VLOOKUP($A143,'Data Vlaue (Cr)'!$C:$FB,99)</f>
        <v>13336</v>
      </c>
      <c r="I143" s="75">
        <f>VLOOKUP($A143,'Data Vlaue (Cr)'!$C:$FB,100)</f>
        <v>11709</v>
      </c>
      <c r="J143" s="75">
        <f t="shared" si="14"/>
        <v>1627</v>
      </c>
      <c r="K143" s="75"/>
      <c r="L143" s="75">
        <f>VLOOKUP($A143,'Data Vlaue (Cr)'!$C:$FB,67)</f>
        <v>19228</v>
      </c>
      <c r="M143" s="75">
        <f>VLOOKUP($A143,'Data Vlaue (Cr)'!$C:$FB,68)</f>
        <v>19007</v>
      </c>
      <c r="N143" s="75">
        <f t="shared" si="16"/>
        <v>221</v>
      </c>
      <c r="O143" s="75">
        <f t="shared" si="17"/>
        <v>1.1493655086332433</v>
      </c>
      <c r="P143" s="75">
        <f>VLOOKUP($A143,'Data Vlaue (Cr)'!$C:$FB,119)</f>
        <v>1.1299999999999999</v>
      </c>
      <c r="Q143" s="75">
        <f>VLOOKUP($A143,'Data Vlaue (Cr)'!$C:$FB,122)*100</f>
        <v>9.7100000000000009</v>
      </c>
      <c r="R143" s="75">
        <f>VLOOKUP($A143,'Data Vlaue (Cr)'!$C:$FB,125)</f>
        <v>1</v>
      </c>
      <c r="S143" s="75">
        <f>VLOOKUP($A143,'Data Vlaue (Cr)'!$C:$FB,128)*100</f>
        <v>26.58</v>
      </c>
    </row>
    <row r="144" spans="1:19" x14ac:dyDescent="0.25">
      <c r="A144" s="96" t="str">
        <f>'Data Vlaue (Cr)'!C135</f>
        <v>MOTHERSON</v>
      </c>
      <c r="B144" s="75">
        <f>VLOOKUP($A144,'Data Vlaue (Cr)'!$C:$FB,2)</f>
        <v>6150</v>
      </c>
      <c r="C144" s="75">
        <f>VLOOKUP($A144,'Data Vlaue (Cr)'!$C:$FB,8)</f>
        <v>120.21</v>
      </c>
      <c r="D144" s="75">
        <f>VLOOKUP($A144,'Data Vlaue (Cr)'!$C:$FB,4)</f>
        <v>120.79</v>
      </c>
      <c r="E144" s="75">
        <f>VLOOKUP($A144,'Data Vlaue (Cr)'!$C:$FB,5)</f>
        <v>121.92</v>
      </c>
      <c r="F144" s="75">
        <f t="shared" si="12"/>
        <v>0.58000000000001251</v>
      </c>
      <c r="G144" s="75">
        <f t="shared" si="13"/>
        <v>-0.9355079062836289</v>
      </c>
      <c r="H144" s="75">
        <f>VLOOKUP($A144,'Data Vlaue (Cr)'!$C:$FB,99)</f>
        <v>2160</v>
      </c>
      <c r="I144" s="75">
        <f>VLOOKUP($A144,'Data Vlaue (Cr)'!$C:$FB,100)</f>
        <v>2107</v>
      </c>
      <c r="J144" s="75">
        <f t="shared" si="14"/>
        <v>53</v>
      </c>
      <c r="K144" s="75">
        <f t="shared" si="15"/>
        <v>2.4537037037037037</v>
      </c>
      <c r="L144" s="75">
        <f>VLOOKUP($A144,'Data Vlaue (Cr)'!$C:$FB,67)</f>
        <v>405</v>
      </c>
      <c r="M144" s="75">
        <f>VLOOKUP($A144,'Data Vlaue (Cr)'!$C:$FB,68)</f>
        <v>715</v>
      </c>
      <c r="N144" s="75">
        <f t="shared" si="16"/>
        <v>-310</v>
      </c>
      <c r="O144" s="75">
        <f t="shared" si="17"/>
        <v>-76.543209876543202</v>
      </c>
      <c r="P144" s="75">
        <f>VLOOKUP($A144,'Data Vlaue (Cr)'!$C:$FB,119)</f>
        <v>0.66</v>
      </c>
      <c r="Q144" s="75">
        <f>VLOOKUP($A144,'Data Vlaue (Cr)'!$C:$FB,122)*100</f>
        <v>-8.33</v>
      </c>
      <c r="R144" s="75">
        <f>VLOOKUP($A144,'Data Vlaue (Cr)'!$C:$FB,125)</f>
        <v>0.44</v>
      </c>
      <c r="S144" s="75">
        <f>VLOOKUP($A144,'Data Vlaue (Cr)'!$C:$FB,128)*100</f>
        <v>-22.81</v>
      </c>
    </row>
    <row r="145" spans="1:19" x14ac:dyDescent="0.25">
      <c r="A145" s="96" t="str">
        <f>'Data Vlaue (Cr)'!C136</f>
        <v>MOTILALOFS</v>
      </c>
      <c r="B145" s="75">
        <f>VLOOKUP($A145,'Data Vlaue (Cr)'!$C:$FB,2)</f>
        <v>775</v>
      </c>
      <c r="C145" s="75">
        <f>VLOOKUP($A145,'Data Vlaue (Cr)'!$C:$FB,8)</f>
        <v>836.6</v>
      </c>
      <c r="D145" s="75">
        <f>VLOOKUP($A145,'Data Vlaue (Cr)'!$C:$FB,4)</f>
        <v>840.45</v>
      </c>
      <c r="E145" s="75">
        <f>VLOOKUP($A145,'Data Vlaue (Cr)'!$C:$FB,5)</f>
        <v>805.15</v>
      </c>
      <c r="F145" s="75">
        <f t="shared" si="12"/>
        <v>3.8500000000000227</v>
      </c>
      <c r="G145" s="75">
        <f t="shared" si="13"/>
        <v>4.2001308822654613</v>
      </c>
      <c r="H145" s="75">
        <f>VLOOKUP($A145,'Data Vlaue (Cr)'!$C:$FB,99)</f>
        <v>525</v>
      </c>
      <c r="I145" s="75">
        <f>VLOOKUP($A145,'Data Vlaue (Cr)'!$C:$FB,100)</f>
        <v>500</v>
      </c>
      <c r="J145" s="75">
        <f t="shared" si="14"/>
        <v>25</v>
      </c>
      <c r="K145" s="75">
        <f t="shared" si="15"/>
        <v>4.7619047619047619</v>
      </c>
      <c r="L145" s="75">
        <f>VLOOKUP($A145,'Data Vlaue (Cr)'!$C:$FB,67)</f>
        <v>701</v>
      </c>
      <c r="M145" s="75">
        <f>VLOOKUP($A145,'Data Vlaue (Cr)'!$C:$FB,68)</f>
        <v>1349</v>
      </c>
      <c r="N145" s="75">
        <f t="shared" si="16"/>
        <v>-648</v>
      </c>
      <c r="O145" s="75">
        <f t="shared" si="17"/>
        <v>-92.43937232524965</v>
      </c>
      <c r="P145" s="75">
        <f>VLOOKUP($A145,'Data Vlaue (Cr)'!$C:$FB,119)</f>
        <v>0.67</v>
      </c>
      <c r="Q145" s="75">
        <f>VLOOKUP($A145,'Data Vlaue (Cr)'!$C:$FB,122)*100</f>
        <v>-9.4600000000000009</v>
      </c>
      <c r="R145" s="75">
        <f>VLOOKUP($A145,'Data Vlaue (Cr)'!$C:$FB,125)</f>
        <v>0.24</v>
      </c>
      <c r="S145" s="75">
        <f>VLOOKUP($A145,'Data Vlaue (Cr)'!$C:$FB,128)*100</f>
        <v>-41.46</v>
      </c>
    </row>
    <row r="146" spans="1:19" x14ac:dyDescent="0.25">
      <c r="A146" s="96" t="str">
        <f>'Data Vlaue (Cr)'!C137</f>
        <v>MPHASIS</v>
      </c>
      <c r="B146" s="75">
        <f>VLOOKUP($A146,'Data Vlaue (Cr)'!$C:$FB,2)</f>
        <v>275</v>
      </c>
      <c r="C146" s="75">
        <f>VLOOKUP($A146,'Data Vlaue (Cr)'!$C:$FB,8)</f>
        <v>2276.6</v>
      </c>
      <c r="D146" s="75">
        <f>VLOOKUP($A146,'Data Vlaue (Cr)'!$C:$FB,4)</f>
        <v>2284</v>
      </c>
      <c r="E146" s="75">
        <f>VLOOKUP($A146,'Data Vlaue (Cr)'!$C:$FB,5)</f>
        <v>2288.8000000000002</v>
      </c>
      <c r="F146" s="75">
        <f t="shared" si="12"/>
        <v>7.4000000000000909</v>
      </c>
      <c r="G146" s="75">
        <f t="shared" si="13"/>
        <v>-0.21015761821366821</v>
      </c>
      <c r="H146" s="75">
        <f>VLOOKUP($A146,'Data Vlaue (Cr)'!$C:$FB,99)</f>
        <v>1634</v>
      </c>
      <c r="I146" s="75">
        <f>VLOOKUP($A146,'Data Vlaue (Cr)'!$C:$FB,100)</f>
        <v>1679</v>
      </c>
      <c r="J146" s="75">
        <f t="shared" si="14"/>
        <v>-45</v>
      </c>
      <c r="K146" s="75">
        <f t="shared" si="15"/>
        <v>-2.7539779681762546</v>
      </c>
      <c r="L146" s="75">
        <f>VLOOKUP($A146,'Data Vlaue (Cr)'!$C:$FB,67)</f>
        <v>628</v>
      </c>
      <c r="M146" s="75">
        <f>VLOOKUP($A146,'Data Vlaue (Cr)'!$C:$FB,68)</f>
        <v>3956</v>
      </c>
      <c r="N146" s="75">
        <f t="shared" si="16"/>
        <v>-3328</v>
      </c>
      <c r="O146" s="75">
        <f t="shared" si="17"/>
        <v>-529.93630573248402</v>
      </c>
      <c r="P146" s="75">
        <f>VLOOKUP($A146,'Data Vlaue (Cr)'!$C:$FB,119)</f>
        <v>0.68</v>
      </c>
      <c r="Q146" s="75">
        <f>VLOOKUP($A146,'Data Vlaue (Cr)'!$C:$FB,122)*100</f>
        <v>0</v>
      </c>
      <c r="R146" s="75">
        <f>VLOOKUP($A146,'Data Vlaue (Cr)'!$C:$FB,125)</f>
        <v>0.49</v>
      </c>
      <c r="S146" s="75">
        <f>VLOOKUP($A146,'Data Vlaue (Cr)'!$C:$FB,128)*100</f>
        <v>8.89</v>
      </c>
    </row>
    <row r="147" spans="1:19" x14ac:dyDescent="0.25">
      <c r="A147" s="96" t="str">
        <f>'Data Vlaue (Cr)'!C138</f>
        <v>MUTHOOTFIN</v>
      </c>
      <c r="B147" s="75">
        <f>VLOOKUP($A147,'Data Vlaue (Cr)'!$C:$FB,2)</f>
        <v>275</v>
      </c>
      <c r="C147" s="75">
        <f>VLOOKUP($A147,'Data Vlaue (Cr)'!$C:$FB,8)</f>
        <v>3487.7</v>
      </c>
      <c r="D147" s="75">
        <f>VLOOKUP($A147,'Data Vlaue (Cr)'!$C:$FB,4)</f>
        <v>3503.9</v>
      </c>
      <c r="E147" s="75">
        <f>VLOOKUP($A147,'Data Vlaue (Cr)'!$C:$FB,5)</f>
        <v>3444.4</v>
      </c>
      <c r="F147" s="75">
        <f t="shared" si="12"/>
        <v>16.200000000000273</v>
      </c>
      <c r="G147" s="75">
        <f t="shared" si="13"/>
        <v>1.6981078227118351</v>
      </c>
      <c r="H147" s="75">
        <f>VLOOKUP($A147,'Data Vlaue (Cr)'!$C:$FB,99)</f>
        <v>1891</v>
      </c>
      <c r="I147" s="75">
        <f>VLOOKUP($A147,'Data Vlaue (Cr)'!$C:$FB,100)</f>
        <v>1792</v>
      </c>
      <c r="J147" s="75">
        <f t="shared" si="14"/>
        <v>99</v>
      </c>
      <c r="K147" s="75">
        <f t="shared" si="15"/>
        <v>5.2353252247488102</v>
      </c>
      <c r="L147" s="75">
        <f>VLOOKUP($A147,'Data Vlaue (Cr)'!$C:$FB,67)</f>
        <v>779</v>
      </c>
      <c r="M147" s="75">
        <f>VLOOKUP($A147,'Data Vlaue (Cr)'!$C:$FB,68)</f>
        <v>505</v>
      </c>
      <c r="N147" s="75">
        <f t="shared" si="16"/>
        <v>274</v>
      </c>
      <c r="O147" s="75">
        <f t="shared" si="17"/>
        <v>35.173299101412063</v>
      </c>
      <c r="P147" s="75">
        <f>VLOOKUP($A147,'Data Vlaue (Cr)'!$C:$FB,119)</f>
        <v>0.68</v>
      </c>
      <c r="Q147" s="75">
        <f>VLOOKUP($A147,'Data Vlaue (Cr)'!$C:$FB,122)*100</f>
        <v>-11.690000000000001</v>
      </c>
      <c r="R147" s="75">
        <f>VLOOKUP($A147,'Data Vlaue (Cr)'!$C:$FB,125)</f>
        <v>0.31</v>
      </c>
      <c r="S147" s="75">
        <f>VLOOKUP($A147,'Data Vlaue (Cr)'!$C:$FB,128)*100</f>
        <v>-58.109999999999992</v>
      </c>
    </row>
    <row r="148" spans="1:19" x14ac:dyDescent="0.25">
      <c r="A148" s="96" t="str">
        <f>'Data Vlaue (Cr)'!C139</f>
        <v>NAM-INDIA</v>
      </c>
      <c r="B148" s="75">
        <f>VLOOKUP($A148,'Data Vlaue (Cr)'!$C:$FB,2)</f>
        <v>625</v>
      </c>
      <c r="C148" s="75">
        <f>VLOOKUP($A148,'Data Vlaue (Cr)'!$C:$FB,8)</f>
        <v>1019.3</v>
      </c>
      <c r="D148" s="75">
        <f>VLOOKUP($A148,'Data Vlaue (Cr)'!$C:$FB,4)</f>
        <v>1021.6</v>
      </c>
      <c r="E148" s="75">
        <f>VLOOKUP($A148,'Data Vlaue (Cr)'!$C:$FB,5)</f>
        <v>1014.05</v>
      </c>
      <c r="F148" s="75">
        <f t="shared" si="12"/>
        <v>2.3000000000000682</v>
      </c>
      <c r="G148" s="75">
        <f t="shared" si="13"/>
        <v>0.73903680501175295</v>
      </c>
      <c r="H148" s="75">
        <f>VLOOKUP($A148,'Data Vlaue (Cr)'!$C:$FB,99)</f>
        <v>522</v>
      </c>
      <c r="I148" s="75">
        <f>VLOOKUP($A148,'Data Vlaue (Cr)'!$C:$FB,100)</f>
        <v>511</v>
      </c>
      <c r="J148" s="75">
        <f t="shared" si="14"/>
        <v>11</v>
      </c>
      <c r="K148" s="75">
        <f t="shared" si="15"/>
        <v>2.1072796934865901</v>
      </c>
      <c r="L148" s="75">
        <f>VLOOKUP($A148,'Data Vlaue (Cr)'!$C:$FB,67)</f>
        <v>173</v>
      </c>
      <c r="M148" s="75">
        <f>VLOOKUP($A148,'Data Vlaue (Cr)'!$C:$FB,68)</f>
        <v>341</v>
      </c>
      <c r="N148" s="75">
        <f t="shared" si="16"/>
        <v>-168</v>
      </c>
      <c r="O148" s="75">
        <f t="shared" si="17"/>
        <v>-97.109826589595372</v>
      </c>
      <c r="P148" s="75">
        <f>VLOOKUP($A148,'Data Vlaue (Cr)'!$C:$FB,119)</f>
        <v>0.45</v>
      </c>
      <c r="Q148" s="75">
        <f>VLOOKUP($A148,'Data Vlaue (Cr)'!$C:$FB,122)*100</f>
        <v>-18.18</v>
      </c>
      <c r="R148" s="75">
        <f>VLOOKUP($A148,'Data Vlaue (Cr)'!$C:$FB,125)</f>
        <v>0.24</v>
      </c>
      <c r="S148" s="75">
        <f>VLOOKUP($A148,'Data Vlaue (Cr)'!$C:$FB,128)*100</f>
        <v>-41.46</v>
      </c>
    </row>
    <row r="149" spans="1:19" x14ac:dyDescent="0.25">
      <c r="A149" s="96" t="str">
        <f>'Data Vlaue (Cr)'!C140</f>
        <v>NATIONALUM</v>
      </c>
      <c r="B149" s="75">
        <f>VLOOKUP($A149,'Data Vlaue (Cr)'!$C:$FB,2)</f>
        <v>1875</v>
      </c>
      <c r="C149" s="75">
        <f>VLOOKUP($A149,'Data Vlaue (Cr)'!$C:$FB,8)</f>
        <v>407.8</v>
      </c>
      <c r="D149" s="75">
        <f>VLOOKUP($A149,'Data Vlaue (Cr)'!$C:$FB,4)</f>
        <v>408.85</v>
      </c>
      <c r="E149" s="75">
        <f>VLOOKUP($A149,'Data Vlaue (Cr)'!$C:$FB,5)</f>
        <v>398.45</v>
      </c>
      <c r="F149" s="75">
        <f t="shared" si="12"/>
        <v>1.0500000000000114</v>
      </c>
      <c r="G149" s="75">
        <f t="shared" si="13"/>
        <v>2.5437201907790223</v>
      </c>
      <c r="H149" s="75">
        <f>VLOOKUP($A149,'Data Vlaue (Cr)'!$C:$FB,99)</f>
        <v>3911</v>
      </c>
      <c r="I149" s="75">
        <f>VLOOKUP($A149,'Data Vlaue (Cr)'!$C:$FB,100)</f>
        <v>3735</v>
      </c>
      <c r="J149" s="75">
        <f t="shared" si="14"/>
        <v>176</v>
      </c>
      <c r="K149" s="75">
        <f t="shared" si="15"/>
        <v>4.500127844541038</v>
      </c>
      <c r="L149" s="75">
        <f>VLOOKUP($A149,'Data Vlaue (Cr)'!$C:$FB,67)</f>
        <v>4049</v>
      </c>
      <c r="M149" s="75">
        <f>VLOOKUP($A149,'Data Vlaue (Cr)'!$C:$FB,68)</f>
        <v>5106</v>
      </c>
      <c r="N149" s="75">
        <f t="shared" si="16"/>
        <v>-1057</v>
      </c>
      <c r="O149" s="75">
        <f t="shared" si="17"/>
        <v>-26.105211163250186</v>
      </c>
      <c r="P149" s="75">
        <f>VLOOKUP($A149,'Data Vlaue (Cr)'!$C:$FB,119)</f>
        <v>0.56000000000000005</v>
      </c>
      <c r="Q149" s="75">
        <f>VLOOKUP($A149,'Data Vlaue (Cr)'!$C:$FB,122)*100</f>
        <v>-3.45</v>
      </c>
      <c r="R149" s="75">
        <f>VLOOKUP($A149,'Data Vlaue (Cr)'!$C:$FB,125)</f>
        <v>0.45</v>
      </c>
      <c r="S149" s="75">
        <f>VLOOKUP($A149,'Data Vlaue (Cr)'!$C:$FB,128)*100</f>
        <v>-40</v>
      </c>
    </row>
    <row r="150" spans="1:19" x14ac:dyDescent="0.25">
      <c r="A150" s="96" t="str">
        <f>'Data Vlaue (Cr)'!C141</f>
        <v>NAUKRI</v>
      </c>
      <c r="B150" s="75">
        <f>VLOOKUP($A150,'Data Vlaue (Cr)'!$C:$FB,2)</f>
        <v>375</v>
      </c>
      <c r="C150" s="75">
        <f>VLOOKUP($A150,'Data Vlaue (Cr)'!$C:$FB,8)</f>
        <v>976.65</v>
      </c>
      <c r="D150" s="75">
        <f>VLOOKUP($A150,'Data Vlaue (Cr)'!$C:$FB,4)</f>
        <v>982.25</v>
      </c>
      <c r="E150" s="75">
        <f>VLOOKUP($A150,'Data Vlaue (Cr)'!$C:$FB,5)</f>
        <v>978.2</v>
      </c>
      <c r="F150" s="75">
        <f t="shared" si="12"/>
        <v>5.6000000000000227</v>
      </c>
      <c r="G150" s="75">
        <f t="shared" si="13"/>
        <v>0.41231865614659752</v>
      </c>
      <c r="H150" s="75">
        <f>VLOOKUP($A150,'Data Vlaue (Cr)'!$C:$FB,99)</f>
        <v>1326</v>
      </c>
      <c r="I150" s="75">
        <f>VLOOKUP($A150,'Data Vlaue (Cr)'!$C:$FB,100)</f>
        <v>1315</v>
      </c>
      <c r="J150" s="75">
        <f t="shared" si="14"/>
        <v>11</v>
      </c>
      <c r="K150" s="75">
        <f t="shared" si="15"/>
        <v>0.82956259426847667</v>
      </c>
      <c r="L150" s="75">
        <f>VLOOKUP($A150,'Data Vlaue (Cr)'!$C:$FB,67)</f>
        <v>248</v>
      </c>
      <c r="M150" s="75">
        <f>VLOOKUP($A150,'Data Vlaue (Cr)'!$C:$FB,68)</f>
        <v>399</v>
      </c>
      <c r="N150" s="75">
        <f t="shared" si="16"/>
        <v>-151</v>
      </c>
      <c r="O150" s="75">
        <f t="shared" si="17"/>
        <v>-60.887096774193552</v>
      </c>
      <c r="P150" s="75">
        <f>VLOOKUP($A150,'Data Vlaue (Cr)'!$C:$FB,119)</f>
        <v>0.44</v>
      </c>
      <c r="Q150" s="75">
        <f>VLOOKUP($A150,'Data Vlaue (Cr)'!$C:$FB,122)*100</f>
        <v>-4.3499999999999996</v>
      </c>
      <c r="R150" s="75">
        <f>VLOOKUP($A150,'Data Vlaue (Cr)'!$C:$FB,125)</f>
        <v>0.25</v>
      </c>
      <c r="S150" s="75">
        <f>VLOOKUP($A150,'Data Vlaue (Cr)'!$C:$FB,128)*100</f>
        <v>-52.83</v>
      </c>
    </row>
    <row r="151" spans="1:19" x14ac:dyDescent="0.25">
      <c r="A151" s="96" t="str">
        <f>'Data Vlaue (Cr)'!C142</f>
        <v>NBCC</v>
      </c>
      <c r="B151" s="75">
        <f>VLOOKUP($A151,'Data Vlaue (Cr)'!$C:$FB,2)</f>
        <v>6500</v>
      </c>
      <c r="C151" s="75">
        <f>VLOOKUP($A151,'Data Vlaue (Cr)'!$C:$FB,8)</f>
        <v>92.52</v>
      </c>
      <c r="D151" s="75">
        <f>VLOOKUP($A151,'Data Vlaue (Cr)'!$C:$FB,4)</f>
        <v>93.17</v>
      </c>
      <c r="E151" s="75">
        <f>VLOOKUP($A151,'Data Vlaue (Cr)'!$C:$FB,5)</f>
        <v>92.22</v>
      </c>
      <c r="F151" s="75">
        <f t="shared" si="12"/>
        <v>0.65000000000000568</v>
      </c>
      <c r="G151" s="75">
        <f t="shared" si="13"/>
        <v>1.0196415155092871</v>
      </c>
      <c r="H151" s="75">
        <f>VLOOKUP($A151,'Data Vlaue (Cr)'!$C:$FB,99)</f>
        <v>933</v>
      </c>
      <c r="I151" s="75">
        <f>VLOOKUP($A151,'Data Vlaue (Cr)'!$C:$FB,100)</f>
        <v>892</v>
      </c>
      <c r="J151" s="75">
        <f t="shared" si="14"/>
        <v>41</v>
      </c>
      <c r="K151" s="75">
        <f t="shared" si="15"/>
        <v>4.394426580921758</v>
      </c>
      <c r="L151" s="75">
        <f>VLOOKUP($A151,'Data Vlaue (Cr)'!$C:$FB,67)</f>
        <v>187</v>
      </c>
      <c r="M151" s="75">
        <f>VLOOKUP($A151,'Data Vlaue (Cr)'!$C:$FB,68)</f>
        <v>244</v>
      </c>
      <c r="N151" s="75">
        <f t="shared" si="16"/>
        <v>-57</v>
      </c>
      <c r="O151" s="75">
        <f t="shared" si="17"/>
        <v>-30.481283422459892</v>
      </c>
      <c r="P151" s="75">
        <f>VLOOKUP($A151,'Data Vlaue (Cr)'!$C:$FB,119)</f>
        <v>0.8</v>
      </c>
      <c r="Q151" s="75">
        <f>VLOOKUP($A151,'Data Vlaue (Cr)'!$C:$FB,122)*100</f>
        <v>1.27</v>
      </c>
      <c r="R151" s="75">
        <f>VLOOKUP($A151,'Data Vlaue (Cr)'!$C:$FB,125)</f>
        <v>0.57999999999999996</v>
      </c>
      <c r="S151" s="75">
        <f>VLOOKUP($A151,'Data Vlaue (Cr)'!$C:$FB,128)*100</f>
        <v>-4.92</v>
      </c>
    </row>
    <row r="152" spans="1:19" x14ac:dyDescent="0.25">
      <c r="A152" s="96" t="str">
        <f>'Data Vlaue (Cr)'!C143</f>
        <v>NESTLEIND</v>
      </c>
      <c r="B152" s="75">
        <f>VLOOKUP($A152,'Data Vlaue (Cr)'!$C:$FB,2)</f>
        <v>500</v>
      </c>
      <c r="C152" s="75">
        <f>VLOOKUP($A152,'Data Vlaue (Cr)'!$C:$FB,8)</f>
        <v>1457.1</v>
      </c>
      <c r="D152" s="75">
        <f>VLOOKUP($A152,'Data Vlaue (Cr)'!$C:$FB,4)</f>
        <v>1460.1</v>
      </c>
      <c r="E152" s="75">
        <f>VLOOKUP($A152,'Data Vlaue (Cr)'!$C:$FB,5)</f>
        <v>1462.1</v>
      </c>
      <c r="F152" s="75">
        <f t="shared" si="12"/>
        <v>3</v>
      </c>
      <c r="G152" s="75">
        <f t="shared" si="13"/>
        <v>-0.13697691938908294</v>
      </c>
      <c r="H152" s="75">
        <f>VLOOKUP($A152,'Data Vlaue (Cr)'!$C:$FB,99)</f>
        <v>3128</v>
      </c>
      <c r="I152" s="75">
        <f>VLOOKUP($A152,'Data Vlaue (Cr)'!$C:$FB,100)</f>
        <v>3110</v>
      </c>
      <c r="J152" s="75">
        <f t="shared" si="14"/>
        <v>18</v>
      </c>
      <c r="K152" s="75">
        <f t="shared" si="15"/>
        <v>0.57544757033248084</v>
      </c>
      <c r="L152" s="75">
        <f>VLOOKUP($A152,'Data Vlaue (Cr)'!$C:$FB,67)</f>
        <v>1069</v>
      </c>
      <c r="M152" s="75">
        <f>VLOOKUP($A152,'Data Vlaue (Cr)'!$C:$FB,68)</f>
        <v>1567</v>
      </c>
      <c r="N152" s="75">
        <f t="shared" si="16"/>
        <v>-498</v>
      </c>
      <c r="O152" s="75">
        <f t="shared" si="17"/>
        <v>-46.585594013096355</v>
      </c>
      <c r="P152" s="75">
        <f>VLOOKUP($A152,'Data Vlaue (Cr)'!$C:$FB,119)</f>
        <v>0.87</v>
      </c>
      <c r="Q152" s="75">
        <f>VLOOKUP($A152,'Data Vlaue (Cr)'!$C:$FB,122)*100</f>
        <v>-3.3300000000000005</v>
      </c>
      <c r="R152" s="75">
        <f>VLOOKUP($A152,'Data Vlaue (Cr)'!$C:$FB,125)</f>
        <v>0.6</v>
      </c>
      <c r="S152" s="75">
        <f>VLOOKUP($A152,'Data Vlaue (Cr)'!$C:$FB,128)*100</f>
        <v>-27.71</v>
      </c>
    </row>
    <row r="153" spans="1:19" x14ac:dyDescent="0.25">
      <c r="A153" s="96" t="str">
        <f>'Data Vlaue (Cr)'!C144</f>
        <v>NHPC</v>
      </c>
      <c r="B153" s="75">
        <f>VLOOKUP($A153,'Data Vlaue (Cr)'!$C:$FB,2)</f>
        <v>6400</v>
      </c>
      <c r="C153" s="75">
        <f>VLOOKUP($A153,'Data Vlaue (Cr)'!$C:$FB,8)</f>
        <v>83.28</v>
      </c>
      <c r="D153" s="75">
        <f>VLOOKUP($A153,'Data Vlaue (Cr)'!$C:$FB,4)</f>
        <v>82.68</v>
      </c>
      <c r="E153" s="75">
        <f>VLOOKUP($A153,'Data Vlaue (Cr)'!$C:$FB,5)</f>
        <v>82.43</v>
      </c>
      <c r="F153" s="75">
        <f t="shared" si="12"/>
        <v>-0.59999999999999432</v>
      </c>
      <c r="G153" s="75">
        <f t="shared" si="13"/>
        <v>0.30237058538945327</v>
      </c>
      <c r="H153" s="75">
        <f>VLOOKUP($A153,'Data Vlaue (Cr)'!$C:$FB,99)</f>
        <v>1306</v>
      </c>
      <c r="I153" s="75">
        <f>VLOOKUP($A153,'Data Vlaue (Cr)'!$C:$FB,100)</f>
        <v>1247</v>
      </c>
      <c r="J153" s="75">
        <f t="shared" si="14"/>
        <v>59</v>
      </c>
      <c r="K153" s="75">
        <f t="shared" si="15"/>
        <v>4.5176110260336904</v>
      </c>
      <c r="L153" s="75">
        <f>VLOOKUP($A153,'Data Vlaue (Cr)'!$C:$FB,67)</f>
        <v>443</v>
      </c>
      <c r="M153" s="75">
        <f>VLOOKUP($A153,'Data Vlaue (Cr)'!$C:$FB,68)</f>
        <v>487</v>
      </c>
      <c r="N153" s="75">
        <f t="shared" si="16"/>
        <v>-44</v>
      </c>
      <c r="O153" s="75">
        <f t="shared" si="17"/>
        <v>-9.932279909706546</v>
      </c>
      <c r="P153" s="75">
        <f>VLOOKUP($A153,'Data Vlaue (Cr)'!$C:$FB,119)</f>
        <v>0.56000000000000005</v>
      </c>
      <c r="Q153" s="75">
        <f>VLOOKUP($A153,'Data Vlaue (Cr)'!$C:$FB,122)*100</f>
        <v>-1.7500000000000002</v>
      </c>
      <c r="R153" s="75">
        <f>VLOOKUP($A153,'Data Vlaue (Cr)'!$C:$FB,125)</f>
        <v>0.37</v>
      </c>
      <c r="S153" s="75">
        <f>VLOOKUP($A153,'Data Vlaue (Cr)'!$C:$FB,128)*100</f>
        <v>-11.899999999999999</v>
      </c>
    </row>
    <row r="154" spans="1:19" x14ac:dyDescent="0.25">
      <c r="A154" s="96" t="str">
        <f>'Data Vlaue (Cr)'!C145</f>
        <v>NIFTY</v>
      </c>
      <c r="B154" s="75">
        <f>VLOOKUP($A154,'Data Vlaue (Cr)'!$C:$FB,2)</f>
        <v>65</v>
      </c>
      <c r="C154" s="75">
        <f>VLOOKUP($A154,'Data Vlaue (Cr)'!$C:$FB,8)</f>
        <v>24119.3</v>
      </c>
      <c r="D154" s="75">
        <f>VLOOKUP($A154,'Data Vlaue (Cr)'!$C:$FB,4)</f>
        <v>24206</v>
      </c>
      <c r="E154" s="75">
        <f>VLOOKUP($A154,'Data Vlaue (Cr)'!$C:$FB,5)</f>
        <v>24098.2</v>
      </c>
      <c r="F154" s="75">
        <f t="shared" si="12"/>
        <v>86.700000000000728</v>
      </c>
      <c r="G154" s="75">
        <f t="shared" si="13"/>
        <v>0.44534412955465291</v>
      </c>
      <c r="H154" s="75">
        <f>VLOOKUP($A154,'Data Vlaue (Cr)'!$C:$FB,99)</f>
        <v>1356178</v>
      </c>
      <c r="I154" s="75">
        <f>VLOOKUP($A154,'Data Vlaue (Cr)'!$C:$FB,100)</f>
        <v>1013849</v>
      </c>
      <c r="J154" s="75">
        <f t="shared" si="14"/>
        <v>342329</v>
      </c>
      <c r="K154" s="75">
        <f t="shared" si="15"/>
        <v>25.242187972375309</v>
      </c>
      <c r="L154" s="75">
        <f>VLOOKUP($A154,'Data Vlaue (Cr)'!$C:$FB,67)</f>
        <v>27361319</v>
      </c>
      <c r="M154" s="75">
        <f>VLOOKUP($A154,'Data Vlaue (Cr)'!$C:$FB,68)</f>
        <v>7923688</v>
      </c>
      <c r="N154" s="75">
        <f t="shared" si="16"/>
        <v>19437631</v>
      </c>
      <c r="O154" s="75">
        <f t="shared" si="17"/>
        <v>71.040548154860517</v>
      </c>
      <c r="P154" s="75">
        <f>VLOOKUP($A154,'Data Vlaue (Cr)'!$C:$FB,119)</f>
        <v>0.8</v>
      </c>
      <c r="Q154" s="75">
        <f>VLOOKUP($A154,'Data Vlaue (Cr)'!$C:$FB,122)*100</f>
        <v>-18.37</v>
      </c>
      <c r="R154" s="75">
        <f>VLOOKUP($A154,'Data Vlaue (Cr)'!$C:$FB,125)</f>
        <v>1.1000000000000001</v>
      </c>
      <c r="S154" s="75">
        <f>VLOOKUP($A154,'Data Vlaue (Cr)'!$C:$FB,128)*100</f>
        <v>19.57</v>
      </c>
    </row>
    <row r="155" spans="1:19" x14ac:dyDescent="0.25">
      <c r="A155" s="96" t="str">
        <f>'Data Vlaue (Cr)'!C146</f>
        <v>NIFTYNXT50</v>
      </c>
      <c r="B155" s="75">
        <f>VLOOKUP($A155,'Data Vlaue (Cr)'!$C:$FB,2)</f>
        <v>25</v>
      </c>
      <c r="C155" s="75">
        <f>VLOOKUP($A155,'Data Vlaue (Cr)'!$C:$FB,8)</f>
        <v>70283.850000000006</v>
      </c>
      <c r="D155" s="75">
        <f>VLOOKUP($A155,'Data Vlaue (Cr)'!$C:$FB,4)</f>
        <v>70524.800000000003</v>
      </c>
      <c r="E155" s="75">
        <f>VLOOKUP($A155,'Data Vlaue (Cr)'!$C:$FB,5)</f>
        <v>70084.2</v>
      </c>
      <c r="F155" s="75">
        <f t="shared" si="12"/>
        <v>240.94999999999709</v>
      </c>
      <c r="G155" s="75">
        <f t="shared" si="13"/>
        <v>0.62474477063388456</v>
      </c>
      <c r="H155" s="75">
        <f>VLOOKUP($A155,'Data Vlaue (Cr)'!$C:$FB,99)</f>
        <v>143</v>
      </c>
      <c r="I155" s="75">
        <f>VLOOKUP($A155,'Data Vlaue (Cr)'!$C:$FB,100)</f>
        <v>135</v>
      </c>
      <c r="J155" s="75">
        <f t="shared" si="14"/>
        <v>8</v>
      </c>
      <c r="K155" s="75">
        <f t="shared" si="15"/>
        <v>5.5944055944055942</v>
      </c>
      <c r="L155" s="75">
        <f>VLOOKUP($A155,'Data Vlaue (Cr)'!$C:$FB,67)</f>
        <v>62</v>
      </c>
      <c r="M155" s="75">
        <f>VLOOKUP($A155,'Data Vlaue (Cr)'!$C:$FB,68)</f>
        <v>47</v>
      </c>
      <c r="N155" s="75">
        <f t="shared" si="16"/>
        <v>15</v>
      </c>
      <c r="O155" s="75">
        <f t="shared" si="17"/>
        <v>24.193548387096776</v>
      </c>
      <c r="P155" s="75">
        <f>VLOOKUP($A155,'Data Vlaue (Cr)'!$C:$FB,119)</f>
        <v>0.15</v>
      </c>
      <c r="Q155" s="75">
        <f>VLOOKUP($A155,'Data Vlaue (Cr)'!$C:$FB,122)*100</f>
        <v>-34.78</v>
      </c>
      <c r="R155" s="75">
        <f>VLOOKUP($A155,'Data Vlaue (Cr)'!$C:$FB,125)</f>
        <v>0.04</v>
      </c>
      <c r="S155" s="75">
        <f>VLOOKUP($A155,'Data Vlaue (Cr)'!$C:$FB,128)*100</f>
        <v>-91.490000000000009</v>
      </c>
    </row>
    <row r="156" spans="1:19" x14ac:dyDescent="0.25">
      <c r="A156" s="96" t="str">
        <f>'Data Vlaue (Cr)'!C147</f>
        <v>NMDC</v>
      </c>
      <c r="B156" s="75">
        <f>VLOOKUP($A156,'Data Vlaue (Cr)'!$C:$FB,2)</f>
        <v>6750</v>
      </c>
      <c r="C156" s="75">
        <f>VLOOKUP($A156,'Data Vlaue (Cr)'!$C:$FB,8)</f>
        <v>89.09</v>
      </c>
      <c r="D156" s="75">
        <f>VLOOKUP($A156,'Data Vlaue (Cr)'!$C:$FB,4)</f>
        <v>89.69</v>
      </c>
      <c r="E156" s="75">
        <f>VLOOKUP($A156,'Data Vlaue (Cr)'!$C:$FB,5)</f>
        <v>90.89</v>
      </c>
      <c r="F156" s="75">
        <f t="shared" si="12"/>
        <v>0.59999999999999432</v>
      </c>
      <c r="G156" s="75">
        <f t="shared" si="13"/>
        <v>-1.3379417995317235</v>
      </c>
      <c r="H156" s="75">
        <f>VLOOKUP($A156,'Data Vlaue (Cr)'!$C:$FB,99)</f>
        <v>3762</v>
      </c>
      <c r="I156" s="75">
        <f>VLOOKUP($A156,'Data Vlaue (Cr)'!$C:$FB,100)</f>
        <v>3673</v>
      </c>
      <c r="J156" s="75">
        <f t="shared" si="14"/>
        <v>89</v>
      </c>
      <c r="K156" s="75">
        <f t="shared" si="15"/>
        <v>2.3657628920786813</v>
      </c>
      <c r="L156" s="75">
        <f>VLOOKUP($A156,'Data Vlaue (Cr)'!$C:$FB,67)</f>
        <v>833</v>
      </c>
      <c r="M156" s="75">
        <f>VLOOKUP($A156,'Data Vlaue (Cr)'!$C:$FB,68)</f>
        <v>751</v>
      </c>
      <c r="N156" s="75">
        <f t="shared" si="16"/>
        <v>82</v>
      </c>
      <c r="O156" s="75">
        <f t="shared" si="17"/>
        <v>9.8439375750300115</v>
      </c>
      <c r="P156" s="75">
        <f>VLOOKUP($A156,'Data Vlaue (Cr)'!$C:$FB,119)</f>
        <v>0.49</v>
      </c>
      <c r="Q156" s="75">
        <f>VLOOKUP($A156,'Data Vlaue (Cr)'!$C:$FB,122)*100</f>
        <v>-3.92</v>
      </c>
      <c r="R156" s="75">
        <f>VLOOKUP($A156,'Data Vlaue (Cr)'!$C:$FB,125)</f>
        <v>0.38</v>
      </c>
      <c r="S156" s="75">
        <f>VLOOKUP($A156,'Data Vlaue (Cr)'!$C:$FB,128)*100</f>
        <v>-13.639999999999999</v>
      </c>
    </row>
    <row r="157" spans="1:19" x14ac:dyDescent="0.25">
      <c r="A157" s="96" t="str">
        <f>'Data Vlaue (Cr)'!C148</f>
        <v>NTPC</v>
      </c>
      <c r="B157" s="75">
        <f>VLOOKUP($A157,'Data Vlaue (Cr)'!$C:$FB,2)</f>
        <v>1500</v>
      </c>
      <c r="C157" s="75">
        <f>VLOOKUP($A157,'Data Vlaue (Cr)'!$C:$FB,8)</f>
        <v>400.05</v>
      </c>
      <c r="D157" s="75">
        <f>VLOOKUP($A157,'Data Vlaue (Cr)'!$C:$FB,4)</f>
        <v>402.2</v>
      </c>
      <c r="E157" s="75">
        <f>VLOOKUP($A157,'Data Vlaue (Cr)'!$C:$FB,5)</f>
        <v>400.5</v>
      </c>
      <c r="F157" s="75">
        <f t="shared" si="12"/>
        <v>2.1499999999999773</v>
      </c>
      <c r="G157" s="75">
        <f t="shared" si="13"/>
        <v>0.42267528592739645</v>
      </c>
      <c r="H157" s="75">
        <f>VLOOKUP($A157,'Data Vlaue (Cr)'!$C:$FB,99)</f>
        <v>6316</v>
      </c>
      <c r="I157" s="75">
        <f>VLOOKUP($A157,'Data Vlaue (Cr)'!$C:$FB,100)</f>
        <v>6172</v>
      </c>
      <c r="J157" s="75">
        <f t="shared" si="14"/>
        <v>144</v>
      </c>
      <c r="K157" s="75">
        <f t="shared" si="15"/>
        <v>2.279924002533249</v>
      </c>
      <c r="L157" s="75">
        <f>VLOOKUP($A157,'Data Vlaue (Cr)'!$C:$FB,67)</f>
        <v>1685</v>
      </c>
      <c r="M157" s="75">
        <f>VLOOKUP($A157,'Data Vlaue (Cr)'!$C:$FB,68)</f>
        <v>2476</v>
      </c>
      <c r="N157" s="75">
        <f t="shared" si="16"/>
        <v>-791</v>
      </c>
      <c r="O157" s="75">
        <f t="shared" si="17"/>
        <v>-46.943620178041542</v>
      </c>
      <c r="P157" s="75">
        <f>VLOOKUP($A157,'Data Vlaue (Cr)'!$C:$FB,119)</f>
        <v>0.43</v>
      </c>
      <c r="Q157" s="75">
        <f>VLOOKUP($A157,'Data Vlaue (Cr)'!$C:$FB,122)*100</f>
        <v>-2.27</v>
      </c>
      <c r="R157" s="75">
        <f>VLOOKUP($A157,'Data Vlaue (Cr)'!$C:$FB,125)</f>
        <v>0.39</v>
      </c>
      <c r="S157" s="75">
        <f>VLOOKUP($A157,'Data Vlaue (Cr)'!$C:$FB,128)*100</f>
        <v>34.479999999999997</v>
      </c>
    </row>
    <row r="158" spans="1:19" x14ac:dyDescent="0.25">
      <c r="A158" s="96" t="str">
        <f>'Data Vlaue (Cr)'!C149</f>
        <v>NUVAMA</v>
      </c>
      <c r="B158" s="75">
        <f>VLOOKUP($A158,'Data Vlaue (Cr)'!$C:$FB,2)</f>
        <v>500</v>
      </c>
      <c r="C158" s="75">
        <f>VLOOKUP($A158,'Data Vlaue (Cr)'!$C:$FB,8)</f>
        <v>1329.3</v>
      </c>
      <c r="D158" s="75">
        <f>VLOOKUP($A158,'Data Vlaue (Cr)'!$C:$FB,4)</f>
        <v>1338.3</v>
      </c>
      <c r="E158" s="75">
        <f>VLOOKUP($A158,'Data Vlaue (Cr)'!$C:$FB,5)</f>
        <v>1323.5</v>
      </c>
      <c r="F158" s="75">
        <f t="shared" si="12"/>
        <v>9</v>
      </c>
      <c r="G158" s="75">
        <f t="shared" si="13"/>
        <v>1.1058805947844248</v>
      </c>
      <c r="H158" s="75">
        <f>VLOOKUP($A158,'Data Vlaue (Cr)'!$C:$FB,99)</f>
        <v>282</v>
      </c>
      <c r="I158" s="75">
        <f>VLOOKUP($A158,'Data Vlaue (Cr)'!$C:$FB,100)</f>
        <v>269</v>
      </c>
      <c r="J158" s="75">
        <f t="shared" si="14"/>
        <v>13</v>
      </c>
      <c r="K158" s="75">
        <f t="shared" si="15"/>
        <v>4.6099290780141837</v>
      </c>
      <c r="L158" s="75">
        <f>VLOOKUP($A158,'Data Vlaue (Cr)'!$C:$FB,67)</f>
        <v>170</v>
      </c>
      <c r="M158" s="75">
        <f>VLOOKUP($A158,'Data Vlaue (Cr)'!$C:$FB,68)</f>
        <v>140</v>
      </c>
      <c r="N158" s="75">
        <f t="shared" si="16"/>
        <v>30</v>
      </c>
      <c r="O158" s="75">
        <f t="shared" si="17"/>
        <v>17.647058823529413</v>
      </c>
      <c r="P158" s="75">
        <f>VLOOKUP($A158,'Data Vlaue (Cr)'!$C:$FB,119)</f>
        <v>0.52</v>
      </c>
      <c r="Q158" s="75">
        <f>VLOOKUP($A158,'Data Vlaue (Cr)'!$C:$FB,122)*100</f>
        <v>-10.34</v>
      </c>
      <c r="R158" s="75">
        <f>VLOOKUP($A158,'Data Vlaue (Cr)'!$C:$FB,125)</f>
        <v>0.23</v>
      </c>
      <c r="S158" s="75">
        <f>VLOOKUP($A158,'Data Vlaue (Cr)'!$C:$FB,128)*100</f>
        <v>-67.14</v>
      </c>
    </row>
    <row r="159" spans="1:19" x14ac:dyDescent="0.25">
      <c r="A159" s="96" t="str">
        <f>'Data Vlaue (Cr)'!C150</f>
        <v>NYKAA</v>
      </c>
      <c r="B159" s="75">
        <f>VLOOKUP($A159,'Data Vlaue (Cr)'!$C:$FB,2)</f>
        <v>3125</v>
      </c>
      <c r="C159" s="75">
        <f>VLOOKUP($A159,'Data Vlaue (Cr)'!$C:$FB,8)</f>
        <v>264.85000000000002</v>
      </c>
      <c r="D159" s="75">
        <f>VLOOKUP($A159,'Data Vlaue (Cr)'!$C:$FB,4)</f>
        <v>266.35000000000002</v>
      </c>
      <c r="E159" s="75">
        <f>VLOOKUP($A159,'Data Vlaue (Cr)'!$C:$FB,5)</f>
        <v>266.33999999999997</v>
      </c>
      <c r="F159" s="75">
        <f t="shared" si="12"/>
        <v>1.5</v>
      </c>
      <c r="G159" s="75">
        <f t="shared" si="13"/>
        <v>3.7544584193909326E-3</v>
      </c>
      <c r="H159" s="75">
        <f>VLOOKUP($A159,'Data Vlaue (Cr)'!$C:$FB,99)</f>
        <v>1471</v>
      </c>
      <c r="I159" s="75">
        <f>VLOOKUP($A159,'Data Vlaue (Cr)'!$C:$FB,100)</f>
        <v>1428</v>
      </c>
      <c r="J159" s="75">
        <f t="shared" si="14"/>
        <v>43</v>
      </c>
      <c r="K159" s="75">
        <f t="shared" si="15"/>
        <v>2.9231815091774305</v>
      </c>
      <c r="L159" s="75">
        <f>VLOOKUP($A159,'Data Vlaue (Cr)'!$C:$FB,67)</f>
        <v>199</v>
      </c>
      <c r="M159" s="75">
        <f>VLOOKUP($A159,'Data Vlaue (Cr)'!$C:$FB,68)</f>
        <v>198</v>
      </c>
      <c r="N159" s="75">
        <f t="shared" si="16"/>
        <v>1</v>
      </c>
      <c r="O159" s="75">
        <f t="shared" si="17"/>
        <v>0.50251256281407031</v>
      </c>
      <c r="P159" s="75">
        <f>VLOOKUP($A159,'Data Vlaue (Cr)'!$C:$FB,119)</f>
        <v>0.68</v>
      </c>
      <c r="Q159" s="75">
        <f>VLOOKUP($A159,'Data Vlaue (Cr)'!$C:$FB,122)*100</f>
        <v>-17.07</v>
      </c>
      <c r="R159" s="75">
        <f>VLOOKUP($A159,'Data Vlaue (Cr)'!$C:$FB,125)</f>
        <v>0.31</v>
      </c>
      <c r="S159" s="75">
        <f>VLOOKUP($A159,'Data Vlaue (Cr)'!$C:$FB,128)*100</f>
        <v>-72.070000000000007</v>
      </c>
    </row>
    <row r="160" spans="1:19" x14ac:dyDescent="0.25">
      <c r="A160" s="96" t="str">
        <f>'Data Vlaue (Cr)'!C151</f>
        <v>OBEROIRLTY</v>
      </c>
      <c r="B160" s="75">
        <f>VLOOKUP($A160,'Data Vlaue (Cr)'!$C:$FB,2)</f>
        <v>350</v>
      </c>
      <c r="C160" s="75">
        <f>VLOOKUP($A160,'Data Vlaue (Cr)'!$C:$FB,8)</f>
        <v>1693.7</v>
      </c>
      <c r="D160" s="75">
        <f>VLOOKUP($A160,'Data Vlaue (Cr)'!$C:$FB,4)</f>
        <v>1701.9</v>
      </c>
      <c r="E160" s="75">
        <f>VLOOKUP($A160,'Data Vlaue (Cr)'!$C:$FB,5)</f>
        <v>1678</v>
      </c>
      <c r="F160" s="75">
        <f t="shared" si="12"/>
        <v>8.2000000000000455</v>
      </c>
      <c r="G160" s="75">
        <f t="shared" si="13"/>
        <v>1.4043128268405951</v>
      </c>
      <c r="H160" s="75">
        <f>VLOOKUP($A160,'Data Vlaue (Cr)'!$C:$FB,99)</f>
        <v>1417</v>
      </c>
      <c r="I160" s="75">
        <f>VLOOKUP($A160,'Data Vlaue (Cr)'!$C:$FB,100)</f>
        <v>1395</v>
      </c>
      <c r="J160" s="75">
        <f t="shared" si="14"/>
        <v>22</v>
      </c>
      <c r="K160" s="75">
        <f t="shared" si="15"/>
        <v>1.5525758645024701</v>
      </c>
      <c r="L160" s="75">
        <f>VLOOKUP($A160,'Data Vlaue (Cr)'!$C:$FB,67)</f>
        <v>206</v>
      </c>
      <c r="M160" s="75">
        <f>VLOOKUP($A160,'Data Vlaue (Cr)'!$C:$FB,68)</f>
        <v>216</v>
      </c>
      <c r="N160" s="75">
        <f t="shared" si="16"/>
        <v>-10</v>
      </c>
      <c r="O160" s="75">
        <f t="shared" si="17"/>
        <v>-4.8543689320388346</v>
      </c>
      <c r="P160" s="75">
        <f>VLOOKUP($A160,'Data Vlaue (Cr)'!$C:$FB,119)</f>
        <v>0.35</v>
      </c>
      <c r="Q160" s="75">
        <f>VLOOKUP($A160,'Data Vlaue (Cr)'!$C:$FB,122)*100</f>
        <v>0</v>
      </c>
      <c r="R160" s="75">
        <f>VLOOKUP($A160,'Data Vlaue (Cr)'!$C:$FB,125)</f>
        <v>0.3</v>
      </c>
      <c r="S160" s="75">
        <f>VLOOKUP($A160,'Data Vlaue (Cr)'!$C:$FB,128)*100</f>
        <v>-36.17</v>
      </c>
    </row>
    <row r="161" spans="1:19" x14ac:dyDescent="0.25">
      <c r="A161" s="96" t="str">
        <f>'Data Vlaue (Cr)'!C152</f>
        <v>OFSS</v>
      </c>
      <c r="B161" s="75">
        <f>VLOOKUP($A161,'Data Vlaue (Cr)'!$C:$FB,2)</f>
        <v>75</v>
      </c>
      <c r="C161" s="75">
        <f>VLOOKUP($A161,'Data Vlaue (Cr)'!$C:$FB,8)</f>
        <v>9730</v>
      </c>
      <c r="D161" s="75">
        <f>VLOOKUP($A161,'Data Vlaue (Cr)'!$C:$FB,4)</f>
        <v>9628.5</v>
      </c>
      <c r="E161" s="75">
        <f>VLOOKUP($A161,'Data Vlaue (Cr)'!$C:$FB,5)</f>
        <v>9584.5</v>
      </c>
      <c r="F161" s="75">
        <f t="shared" si="12"/>
        <v>-101.5</v>
      </c>
      <c r="G161" s="75">
        <f t="shared" si="13"/>
        <v>0.45697668380329226</v>
      </c>
      <c r="H161" s="75">
        <f>VLOOKUP($A161,'Data Vlaue (Cr)'!$C:$FB,99)</f>
        <v>2450</v>
      </c>
      <c r="I161" s="75">
        <f>VLOOKUP($A161,'Data Vlaue (Cr)'!$C:$FB,100)</f>
        <v>2404</v>
      </c>
      <c r="J161" s="75">
        <f t="shared" si="14"/>
        <v>46</v>
      </c>
      <c r="K161" s="75">
        <f t="shared" si="15"/>
        <v>1.8775510204081631</v>
      </c>
      <c r="L161" s="75">
        <f>VLOOKUP($A161,'Data Vlaue (Cr)'!$C:$FB,67)</f>
        <v>1793</v>
      </c>
      <c r="M161" s="75">
        <f>VLOOKUP($A161,'Data Vlaue (Cr)'!$C:$FB,68)</f>
        <v>2164</v>
      </c>
      <c r="N161" s="75">
        <f t="shared" si="16"/>
        <v>-371</v>
      </c>
      <c r="O161" s="75">
        <f t="shared" si="17"/>
        <v>-20.691578360290016</v>
      </c>
      <c r="P161" s="75">
        <f>VLOOKUP($A161,'Data Vlaue (Cr)'!$C:$FB,119)</f>
        <v>1</v>
      </c>
      <c r="Q161" s="75">
        <f>VLOOKUP($A161,'Data Vlaue (Cr)'!$C:$FB,122)*100</f>
        <v>3.09</v>
      </c>
      <c r="R161" s="75">
        <f>VLOOKUP($A161,'Data Vlaue (Cr)'!$C:$FB,125)</f>
        <v>0.6</v>
      </c>
      <c r="S161" s="75">
        <f>VLOOKUP($A161,'Data Vlaue (Cr)'!$C:$FB,128)*100</f>
        <v>25</v>
      </c>
    </row>
    <row r="162" spans="1:19" x14ac:dyDescent="0.25">
      <c r="A162" s="96" t="str">
        <f>'Data Vlaue (Cr)'!C153</f>
        <v>OIL</v>
      </c>
      <c r="B162" s="75">
        <f>VLOOKUP($A162,'Data Vlaue (Cr)'!$C:$FB,2)</f>
        <v>1400</v>
      </c>
      <c r="C162" s="75">
        <f>VLOOKUP($A162,'Data Vlaue (Cr)'!$C:$FB,8)</f>
        <v>475.1</v>
      </c>
      <c r="D162" s="75">
        <f>VLOOKUP($A162,'Data Vlaue (Cr)'!$C:$FB,4)</f>
        <v>477.9</v>
      </c>
      <c r="E162" s="75">
        <f>VLOOKUP($A162,'Data Vlaue (Cr)'!$C:$FB,5)</f>
        <v>491.4</v>
      </c>
      <c r="F162" s="75">
        <f t="shared" si="12"/>
        <v>2.7999999999999545</v>
      </c>
      <c r="G162" s="75">
        <f t="shared" si="13"/>
        <v>-2.8248587570621471</v>
      </c>
      <c r="H162" s="75">
        <f>VLOOKUP($A162,'Data Vlaue (Cr)'!$C:$FB,99)</f>
        <v>1540</v>
      </c>
      <c r="I162" s="75">
        <f>VLOOKUP($A162,'Data Vlaue (Cr)'!$C:$FB,100)</f>
        <v>1524</v>
      </c>
      <c r="J162" s="75">
        <f t="shared" si="14"/>
        <v>16</v>
      </c>
      <c r="K162" s="75">
        <f t="shared" si="15"/>
        <v>1.0389610389610389</v>
      </c>
      <c r="L162" s="75">
        <f>VLOOKUP($A162,'Data Vlaue (Cr)'!$C:$FB,67)</f>
        <v>955</v>
      </c>
      <c r="M162" s="75">
        <f>VLOOKUP($A162,'Data Vlaue (Cr)'!$C:$FB,68)</f>
        <v>859</v>
      </c>
      <c r="N162" s="75">
        <f t="shared" si="16"/>
        <v>96</v>
      </c>
      <c r="O162" s="75">
        <f t="shared" si="17"/>
        <v>10.052356020942408</v>
      </c>
      <c r="P162" s="75">
        <f>VLOOKUP($A162,'Data Vlaue (Cr)'!$C:$FB,119)</f>
        <v>0.52</v>
      </c>
      <c r="Q162" s="75">
        <f>VLOOKUP($A162,'Data Vlaue (Cr)'!$C:$FB,122)*100</f>
        <v>0</v>
      </c>
      <c r="R162" s="75">
        <f>VLOOKUP($A162,'Data Vlaue (Cr)'!$C:$FB,125)</f>
        <v>0.44</v>
      </c>
      <c r="S162" s="75">
        <f>VLOOKUP($A162,'Data Vlaue (Cr)'!$C:$FB,128)*100</f>
        <v>29.409999999999997</v>
      </c>
    </row>
    <row r="163" spans="1:19" x14ac:dyDescent="0.25">
      <c r="A163" s="96" t="str">
        <f>'Data Vlaue (Cr)'!C154</f>
        <v>ONGC</v>
      </c>
      <c r="B163" s="75">
        <f>VLOOKUP($A163,'Data Vlaue (Cr)'!$C:$FB,2)</f>
        <v>2250</v>
      </c>
      <c r="C163" s="75">
        <f>VLOOKUP($A163,'Data Vlaue (Cr)'!$C:$FB,8)</f>
        <v>292.89999999999998</v>
      </c>
      <c r="D163" s="75">
        <f>VLOOKUP($A163,'Data Vlaue (Cr)'!$C:$FB,4)</f>
        <v>294.55</v>
      </c>
      <c r="E163" s="75">
        <f>VLOOKUP($A163,'Data Vlaue (Cr)'!$C:$FB,5)</f>
        <v>301.05</v>
      </c>
      <c r="F163" s="75">
        <f t="shared" si="12"/>
        <v>1.6500000000000341</v>
      </c>
      <c r="G163" s="75">
        <f t="shared" si="13"/>
        <v>-2.2067560685791885</v>
      </c>
      <c r="H163" s="75">
        <f>VLOOKUP($A163,'Data Vlaue (Cr)'!$C:$FB,99)</f>
        <v>4800</v>
      </c>
      <c r="I163" s="75">
        <f>VLOOKUP($A163,'Data Vlaue (Cr)'!$C:$FB,100)</f>
        <v>4664</v>
      </c>
      <c r="J163" s="75">
        <f t="shared" si="14"/>
        <v>136</v>
      </c>
      <c r="K163" s="75">
        <f t="shared" si="15"/>
        <v>2.833333333333333</v>
      </c>
      <c r="L163" s="75">
        <f>VLOOKUP($A163,'Data Vlaue (Cr)'!$C:$FB,67)</f>
        <v>2370</v>
      </c>
      <c r="M163" s="75">
        <f>VLOOKUP($A163,'Data Vlaue (Cr)'!$C:$FB,68)</f>
        <v>3842</v>
      </c>
      <c r="N163" s="75">
        <f t="shared" si="16"/>
        <v>-1472</v>
      </c>
      <c r="O163" s="75">
        <f t="shared" si="17"/>
        <v>-62.10970464135022</v>
      </c>
      <c r="P163" s="75">
        <f>VLOOKUP($A163,'Data Vlaue (Cr)'!$C:$FB,119)</f>
        <v>0.41</v>
      </c>
      <c r="Q163" s="75">
        <f>VLOOKUP($A163,'Data Vlaue (Cr)'!$C:$FB,122)*100</f>
        <v>-21.15</v>
      </c>
      <c r="R163" s="75">
        <f>VLOOKUP($A163,'Data Vlaue (Cr)'!$C:$FB,125)</f>
        <v>0.34</v>
      </c>
      <c r="S163" s="75">
        <f>VLOOKUP($A163,'Data Vlaue (Cr)'!$C:$FB,128)*100</f>
        <v>9.68</v>
      </c>
    </row>
    <row r="164" spans="1:19" x14ac:dyDescent="0.25">
      <c r="A164" s="96" t="str">
        <f>'Data Vlaue (Cr)'!C155</f>
        <v>PAGEIND</v>
      </c>
      <c r="B164" s="75">
        <f>VLOOKUP($A164,'Data Vlaue (Cr)'!$C:$FB,2)</f>
        <v>15</v>
      </c>
      <c r="C164" s="75">
        <f>VLOOKUP($A164,'Data Vlaue (Cr)'!$C:$FB,8)</f>
        <v>36955</v>
      </c>
      <c r="D164" s="75">
        <f>VLOOKUP($A164,'Data Vlaue (Cr)'!$C:$FB,4)</f>
        <v>37105</v>
      </c>
      <c r="E164" s="75">
        <f>VLOOKUP($A164,'Data Vlaue (Cr)'!$C:$FB,5)</f>
        <v>36980</v>
      </c>
      <c r="F164" s="75">
        <f t="shared" si="12"/>
        <v>150</v>
      </c>
      <c r="G164" s="75">
        <f t="shared" si="13"/>
        <v>0.33688182185689258</v>
      </c>
      <c r="H164" s="75">
        <f>VLOOKUP($A164,'Data Vlaue (Cr)'!$C:$FB,99)</f>
        <v>1246</v>
      </c>
      <c r="I164" s="75">
        <f>VLOOKUP($A164,'Data Vlaue (Cr)'!$C:$FB,100)</f>
        <v>1241</v>
      </c>
      <c r="J164" s="75">
        <f t="shared" si="14"/>
        <v>5</v>
      </c>
      <c r="K164" s="75">
        <f t="shared" si="15"/>
        <v>0.40128410914927765</v>
      </c>
      <c r="L164" s="75">
        <f>VLOOKUP($A164,'Data Vlaue (Cr)'!$C:$FB,67)</f>
        <v>148</v>
      </c>
      <c r="M164" s="75">
        <f>VLOOKUP($A164,'Data Vlaue (Cr)'!$C:$FB,68)</f>
        <v>209</v>
      </c>
      <c r="N164" s="75">
        <f t="shared" si="16"/>
        <v>-61</v>
      </c>
      <c r="O164" s="75">
        <f t="shared" si="17"/>
        <v>-41.216216216216218</v>
      </c>
      <c r="P164" s="75">
        <f>VLOOKUP($A164,'Data Vlaue (Cr)'!$C:$FB,119)</f>
        <v>0.65</v>
      </c>
      <c r="Q164" s="75">
        <f>VLOOKUP($A164,'Data Vlaue (Cr)'!$C:$FB,122)*100</f>
        <v>16.07</v>
      </c>
      <c r="R164" s="75">
        <f>VLOOKUP($A164,'Data Vlaue (Cr)'!$C:$FB,125)</f>
        <v>0.48</v>
      </c>
      <c r="S164" s="75">
        <f>VLOOKUP($A164,'Data Vlaue (Cr)'!$C:$FB,128)*100</f>
        <v>60</v>
      </c>
    </row>
    <row r="165" spans="1:19" x14ac:dyDescent="0.25">
      <c r="A165" s="96" t="str">
        <f>'Data Vlaue (Cr)'!C156</f>
        <v>PATANJALI</v>
      </c>
      <c r="B165" s="75">
        <f>VLOOKUP($A165,'Data Vlaue (Cr)'!$C:$FB,2)</f>
        <v>900</v>
      </c>
      <c r="C165" s="75">
        <f>VLOOKUP($A165,'Data Vlaue (Cr)'!$C:$FB,8)</f>
        <v>456.25</v>
      </c>
      <c r="D165" s="75">
        <f>VLOOKUP($A165,'Data Vlaue (Cr)'!$C:$FB,4)</f>
        <v>458.15</v>
      </c>
      <c r="E165" s="75">
        <f>VLOOKUP($A165,'Data Vlaue (Cr)'!$C:$FB,5)</f>
        <v>460.3</v>
      </c>
      <c r="F165" s="75">
        <f t="shared" si="12"/>
        <v>1.8999999999999773</v>
      </c>
      <c r="G165" s="75">
        <f t="shared" si="13"/>
        <v>-0.46927862053913222</v>
      </c>
      <c r="H165" s="75">
        <f>VLOOKUP($A165,'Data Vlaue (Cr)'!$C:$FB,99)</f>
        <v>1902</v>
      </c>
      <c r="I165" s="75">
        <f>VLOOKUP($A165,'Data Vlaue (Cr)'!$C:$FB,100)</f>
        <v>1859</v>
      </c>
      <c r="J165" s="75">
        <f t="shared" si="14"/>
        <v>43</v>
      </c>
      <c r="K165" s="75">
        <f t="shared" si="15"/>
        <v>2.2607781282860149</v>
      </c>
      <c r="L165" s="75">
        <f>VLOOKUP($A165,'Data Vlaue (Cr)'!$C:$FB,67)</f>
        <v>401</v>
      </c>
      <c r="M165" s="75">
        <f>VLOOKUP($A165,'Data Vlaue (Cr)'!$C:$FB,68)</f>
        <v>252</v>
      </c>
      <c r="N165" s="75">
        <f t="shared" si="16"/>
        <v>149</v>
      </c>
      <c r="O165" s="75">
        <f t="shared" si="17"/>
        <v>37.1571072319202</v>
      </c>
      <c r="P165" s="75">
        <f>VLOOKUP($A165,'Data Vlaue (Cr)'!$C:$FB,119)</f>
        <v>0.71</v>
      </c>
      <c r="Q165" s="75">
        <f>VLOOKUP($A165,'Data Vlaue (Cr)'!$C:$FB,122)*100</f>
        <v>-11.25</v>
      </c>
      <c r="R165" s="75">
        <f>VLOOKUP($A165,'Data Vlaue (Cr)'!$C:$FB,125)</f>
        <v>0.17</v>
      </c>
      <c r="S165" s="75">
        <f>VLOOKUP($A165,'Data Vlaue (Cr)'!$C:$FB,128)*100</f>
        <v>-46.88</v>
      </c>
    </row>
    <row r="166" spans="1:19" x14ac:dyDescent="0.25">
      <c r="A166" s="96" t="str">
        <f>'Data Vlaue (Cr)'!C157</f>
        <v>PAYTM</v>
      </c>
      <c r="B166" s="75">
        <f>VLOOKUP($A166,'Data Vlaue (Cr)'!$C:$FB,2)</f>
        <v>725</v>
      </c>
      <c r="C166" s="75">
        <f>VLOOKUP($A166,'Data Vlaue (Cr)'!$C:$FB,8)</f>
        <v>1115.8</v>
      </c>
      <c r="D166" s="75">
        <f>VLOOKUP($A166,'Data Vlaue (Cr)'!$C:$FB,4)</f>
        <v>1119.5999999999999</v>
      </c>
      <c r="E166" s="75">
        <f>VLOOKUP($A166,'Data Vlaue (Cr)'!$C:$FB,5)</f>
        <v>1101.5</v>
      </c>
      <c r="F166" s="75">
        <f t="shared" si="12"/>
        <v>3.7999999999999545</v>
      </c>
      <c r="G166" s="75">
        <f t="shared" si="13"/>
        <v>1.6166488031439719</v>
      </c>
      <c r="H166" s="75">
        <f>VLOOKUP($A166,'Data Vlaue (Cr)'!$C:$FB,99)</f>
        <v>2744</v>
      </c>
      <c r="I166" s="75">
        <f>VLOOKUP($A166,'Data Vlaue (Cr)'!$C:$FB,100)</f>
        <v>2675</v>
      </c>
      <c r="J166" s="75">
        <f t="shared" si="14"/>
        <v>69</v>
      </c>
      <c r="K166" s="75">
        <f t="shared" si="15"/>
        <v>2.5145772594752187</v>
      </c>
      <c r="L166" s="75">
        <f>VLOOKUP($A166,'Data Vlaue (Cr)'!$C:$FB,67)</f>
        <v>993</v>
      </c>
      <c r="M166" s="75">
        <f>VLOOKUP($A166,'Data Vlaue (Cr)'!$C:$FB,68)</f>
        <v>1208</v>
      </c>
      <c r="N166" s="75">
        <f t="shared" si="16"/>
        <v>-215</v>
      </c>
      <c r="O166" s="75">
        <f t="shared" si="17"/>
        <v>-21.651560926485399</v>
      </c>
      <c r="P166" s="75">
        <f>VLOOKUP($A166,'Data Vlaue (Cr)'!$C:$FB,119)</f>
        <v>1.01</v>
      </c>
      <c r="Q166" s="75">
        <f>VLOOKUP($A166,'Data Vlaue (Cr)'!$C:$FB,122)*100</f>
        <v>-9.01</v>
      </c>
      <c r="R166" s="75">
        <f>VLOOKUP($A166,'Data Vlaue (Cr)'!$C:$FB,125)</f>
        <v>0.86</v>
      </c>
      <c r="S166" s="75">
        <f>VLOOKUP($A166,'Data Vlaue (Cr)'!$C:$FB,128)*100</f>
        <v>-23.21</v>
      </c>
    </row>
    <row r="167" spans="1:19" x14ac:dyDescent="0.25">
      <c r="A167" s="96" t="str">
        <f>'Data Vlaue (Cr)'!C158</f>
        <v>PERSISTENT</v>
      </c>
      <c r="B167" s="75">
        <f>VLOOKUP($A167,'Data Vlaue (Cr)'!$C:$FB,2)</f>
        <v>100</v>
      </c>
      <c r="C167" s="75">
        <f>VLOOKUP($A167,'Data Vlaue (Cr)'!$C:$FB,8)</f>
        <v>4788.1000000000004</v>
      </c>
      <c r="D167" s="75">
        <f>VLOOKUP($A167,'Data Vlaue (Cr)'!$C:$FB,4)</f>
        <v>4808.2</v>
      </c>
      <c r="E167" s="75">
        <f>VLOOKUP($A167,'Data Vlaue (Cr)'!$C:$FB,5)</f>
        <v>4822.2</v>
      </c>
      <c r="F167" s="75">
        <f t="shared" si="12"/>
        <v>20.099999999999454</v>
      </c>
      <c r="G167" s="75">
        <f t="shared" si="13"/>
        <v>-0.29116925252693315</v>
      </c>
      <c r="H167" s="75">
        <f>VLOOKUP($A167,'Data Vlaue (Cr)'!$C:$FB,99)</f>
        <v>3165</v>
      </c>
      <c r="I167" s="75">
        <f>VLOOKUP($A167,'Data Vlaue (Cr)'!$C:$FB,100)</f>
        <v>3128</v>
      </c>
      <c r="J167" s="75">
        <f t="shared" si="14"/>
        <v>37</v>
      </c>
      <c r="K167" s="75">
        <f t="shared" si="15"/>
        <v>1.1690363349131121</v>
      </c>
      <c r="L167" s="75">
        <f>VLOOKUP($A167,'Data Vlaue (Cr)'!$C:$FB,67)</f>
        <v>1001</v>
      </c>
      <c r="M167" s="75">
        <f>VLOOKUP($A167,'Data Vlaue (Cr)'!$C:$FB,68)</f>
        <v>891</v>
      </c>
      <c r="N167" s="75">
        <f t="shared" si="16"/>
        <v>110</v>
      </c>
      <c r="O167" s="75">
        <f t="shared" si="17"/>
        <v>10.989010989010989</v>
      </c>
      <c r="P167" s="75">
        <f>VLOOKUP($A167,'Data Vlaue (Cr)'!$C:$FB,119)</f>
        <v>0.6</v>
      </c>
      <c r="Q167" s="75">
        <f>VLOOKUP($A167,'Data Vlaue (Cr)'!$C:$FB,122)*100</f>
        <v>-3.2300000000000004</v>
      </c>
      <c r="R167" s="75">
        <f>VLOOKUP($A167,'Data Vlaue (Cr)'!$C:$FB,125)</f>
        <v>0.49</v>
      </c>
      <c r="S167" s="75">
        <f>VLOOKUP($A167,'Data Vlaue (Cr)'!$C:$FB,128)*100</f>
        <v>-2</v>
      </c>
    </row>
    <row r="168" spans="1:19" x14ac:dyDescent="0.25">
      <c r="A168" s="96" t="str">
        <f>'Data Vlaue (Cr)'!C159</f>
        <v>PETRONET</v>
      </c>
      <c r="B168" s="75">
        <f>VLOOKUP($A168,'Data Vlaue (Cr)'!$C:$FB,2)</f>
        <v>1900</v>
      </c>
      <c r="C168" s="75">
        <f>VLOOKUP($A168,'Data Vlaue (Cr)'!$C:$FB,8)</f>
        <v>276.7</v>
      </c>
      <c r="D168" s="75">
        <f>VLOOKUP($A168,'Data Vlaue (Cr)'!$C:$FB,4)</f>
        <v>278.25</v>
      </c>
      <c r="E168" s="75">
        <f>VLOOKUP($A168,'Data Vlaue (Cr)'!$C:$FB,5)</f>
        <v>278.52999999999997</v>
      </c>
      <c r="F168" s="75">
        <f t="shared" si="12"/>
        <v>1.5500000000000114</v>
      </c>
      <c r="G168" s="75">
        <f t="shared" si="13"/>
        <v>-0.10062893081760026</v>
      </c>
      <c r="H168" s="75">
        <f>VLOOKUP($A168,'Data Vlaue (Cr)'!$C:$FB,99)</f>
        <v>1404</v>
      </c>
      <c r="I168" s="75">
        <f>VLOOKUP($A168,'Data Vlaue (Cr)'!$C:$FB,100)</f>
        <v>1276</v>
      </c>
      <c r="J168" s="75">
        <f t="shared" si="14"/>
        <v>128</v>
      </c>
      <c r="K168" s="75">
        <f t="shared" si="15"/>
        <v>9.116809116809117</v>
      </c>
      <c r="L168" s="75">
        <f>VLOOKUP($A168,'Data Vlaue (Cr)'!$C:$FB,67)</f>
        <v>574</v>
      </c>
      <c r="M168" s="75">
        <f>VLOOKUP($A168,'Data Vlaue (Cr)'!$C:$FB,68)</f>
        <v>288</v>
      </c>
      <c r="N168" s="75">
        <f t="shared" si="16"/>
        <v>286</v>
      </c>
      <c r="O168" s="75">
        <f t="shared" si="17"/>
        <v>49.825783972125436</v>
      </c>
      <c r="P168" s="75">
        <f>VLOOKUP($A168,'Data Vlaue (Cr)'!$C:$FB,119)</f>
        <v>1.17</v>
      </c>
      <c r="Q168" s="75">
        <f>VLOOKUP($A168,'Data Vlaue (Cr)'!$C:$FB,122)*100</f>
        <v>0.86</v>
      </c>
      <c r="R168" s="75">
        <f>VLOOKUP($A168,'Data Vlaue (Cr)'!$C:$FB,125)</f>
        <v>0.84</v>
      </c>
      <c r="S168" s="75">
        <f>VLOOKUP($A168,'Data Vlaue (Cr)'!$C:$FB,128)*100</f>
        <v>27.27</v>
      </c>
    </row>
    <row r="169" spans="1:19" x14ac:dyDescent="0.25">
      <c r="A169" s="96" t="str">
        <f>'Data Vlaue (Cr)'!C160</f>
        <v>PFC</v>
      </c>
      <c r="B169" s="75">
        <f>VLOOKUP($A169,'Data Vlaue (Cr)'!$C:$FB,2)</f>
        <v>1300</v>
      </c>
      <c r="C169" s="75">
        <f>VLOOKUP($A169,'Data Vlaue (Cr)'!$C:$FB,8)</f>
        <v>448.25</v>
      </c>
      <c r="D169" s="75">
        <f>VLOOKUP($A169,'Data Vlaue (Cr)'!$C:$FB,4)</f>
        <v>449.7</v>
      </c>
      <c r="E169" s="75">
        <f>VLOOKUP($A169,'Data Vlaue (Cr)'!$C:$FB,5)</f>
        <v>451.25</v>
      </c>
      <c r="F169" s="75">
        <f t="shared" si="12"/>
        <v>1.4499999999999886</v>
      </c>
      <c r="G169" s="75">
        <f t="shared" si="13"/>
        <v>-0.34467422726262209</v>
      </c>
      <c r="H169" s="75">
        <f>VLOOKUP($A169,'Data Vlaue (Cr)'!$C:$FB,99)</f>
        <v>3912</v>
      </c>
      <c r="I169" s="75">
        <f>VLOOKUP($A169,'Data Vlaue (Cr)'!$C:$FB,100)</f>
        <v>3831</v>
      </c>
      <c r="J169" s="75">
        <f t="shared" si="14"/>
        <v>81</v>
      </c>
      <c r="K169" s="75">
        <f t="shared" si="15"/>
        <v>2.0705521472392636</v>
      </c>
      <c r="L169" s="75">
        <f>VLOOKUP($A169,'Data Vlaue (Cr)'!$C:$FB,67)</f>
        <v>1232</v>
      </c>
      <c r="M169" s="75">
        <f>VLOOKUP($A169,'Data Vlaue (Cr)'!$C:$FB,68)</f>
        <v>2444</v>
      </c>
      <c r="N169" s="75">
        <f t="shared" si="16"/>
        <v>-1212</v>
      </c>
      <c r="O169" s="75">
        <f t="shared" si="17"/>
        <v>-98.376623376623371</v>
      </c>
      <c r="P169" s="75">
        <f>VLOOKUP($A169,'Data Vlaue (Cr)'!$C:$FB,119)</f>
        <v>0.56000000000000005</v>
      </c>
      <c r="Q169" s="75">
        <f>VLOOKUP($A169,'Data Vlaue (Cr)'!$C:$FB,122)*100</f>
        <v>0</v>
      </c>
      <c r="R169" s="75">
        <f>VLOOKUP($A169,'Data Vlaue (Cr)'!$C:$FB,125)</f>
        <v>0.47</v>
      </c>
      <c r="S169" s="75">
        <f>VLOOKUP($A169,'Data Vlaue (Cr)'!$C:$FB,128)*100</f>
        <v>-24.19</v>
      </c>
    </row>
    <row r="170" spans="1:19" x14ac:dyDescent="0.25">
      <c r="A170" s="96" t="str">
        <f>'Data Vlaue (Cr)'!C161</f>
        <v>PGEL</v>
      </c>
      <c r="B170" s="75">
        <f>VLOOKUP($A170,'Data Vlaue (Cr)'!$C:$FB,2)</f>
        <v>950</v>
      </c>
      <c r="C170" s="75">
        <f>VLOOKUP($A170,'Data Vlaue (Cr)'!$C:$FB,8)</f>
        <v>534.5</v>
      </c>
      <c r="D170" s="75">
        <f>VLOOKUP($A170,'Data Vlaue (Cr)'!$C:$FB,4)</f>
        <v>537.4</v>
      </c>
      <c r="E170" s="75">
        <f>VLOOKUP($A170,'Data Vlaue (Cr)'!$C:$FB,5)</f>
        <v>536.75</v>
      </c>
      <c r="F170" s="75">
        <f t="shared" si="12"/>
        <v>2.8999999999999773</v>
      </c>
      <c r="G170" s="75">
        <f t="shared" si="13"/>
        <v>0.12095273539262695</v>
      </c>
      <c r="H170" s="75">
        <f>VLOOKUP($A170,'Data Vlaue (Cr)'!$C:$FB,99)</f>
        <v>986</v>
      </c>
      <c r="I170" s="75">
        <f>VLOOKUP($A170,'Data Vlaue (Cr)'!$C:$FB,100)</f>
        <v>964</v>
      </c>
      <c r="J170" s="75">
        <f t="shared" si="14"/>
        <v>22</v>
      </c>
      <c r="K170" s="75">
        <f t="shared" si="15"/>
        <v>2.2312373225152129</v>
      </c>
      <c r="L170" s="75">
        <f>VLOOKUP($A170,'Data Vlaue (Cr)'!$C:$FB,67)</f>
        <v>333</v>
      </c>
      <c r="M170" s="75">
        <f>VLOOKUP($A170,'Data Vlaue (Cr)'!$C:$FB,68)</f>
        <v>744</v>
      </c>
      <c r="N170" s="75">
        <f t="shared" si="16"/>
        <v>-411</v>
      </c>
      <c r="O170" s="75">
        <f t="shared" si="17"/>
        <v>-123.42342342342343</v>
      </c>
      <c r="P170" s="75">
        <f>VLOOKUP($A170,'Data Vlaue (Cr)'!$C:$FB,119)</f>
        <v>0.96</v>
      </c>
      <c r="Q170" s="75">
        <f>VLOOKUP($A170,'Data Vlaue (Cr)'!$C:$FB,122)*100</f>
        <v>-1.03</v>
      </c>
      <c r="R170" s="75">
        <f>VLOOKUP($A170,'Data Vlaue (Cr)'!$C:$FB,125)</f>
        <v>0.49</v>
      </c>
      <c r="S170" s="75">
        <f>VLOOKUP($A170,'Data Vlaue (Cr)'!$C:$FB,128)*100</f>
        <v>-43.68</v>
      </c>
    </row>
    <row r="171" spans="1:19" x14ac:dyDescent="0.25">
      <c r="A171" s="96" t="str">
        <f>'Data Vlaue (Cr)'!C162</f>
        <v>PHOENIXLTD</v>
      </c>
      <c r="B171" s="75">
        <f>VLOOKUP($A171,'Data Vlaue (Cr)'!$C:$FB,2)</f>
        <v>350</v>
      </c>
      <c r="C171" s="75">
        <f>VLOOKUP($A171,'Data Vlaue (Cr)'!$C:$FB,8)</f>
        <v>1787.4</v>
      </c>
      <c r="D171" s="75">
        <f>VLOOKUP($A171,'Data Vlaue (Cr)'!$C:$FB,4)</f>
        <v>1797.9</v>
      </c>
      <c r="E171" s="75">
        <f>VLOOKUP($A171,'Data Vlaue (Cr)'!$C:$FB,5)</f>
        <v>1771</v>
      </c>
      <c r="F171" s="75">
        <f t="shared" si="12"/>
        <v>10.5</v>
      </c>
      <c r="G171" s="75">
        <f t="shared" si="13"/>
        <v>1.4961899994438004</v>
      </c>
      <c r="H171" s="75">
        <f>VLOOKUP($A171,'Data Vlaue (Cr)'!$C:$FB,99)</f>
        <v>1012</v>
      </c>
      <c r="I171" s="75">
        <f>VLOOKUP($A171,'Data Vlaue (Cr)'!$C:$FB,100)</f>
        <v>1001</v>
      </c>
      <c r="J171" s="75">
        <f t="shared" si="14"/>
        <v>11</v>
      </c>
      <c r="K171" s="75">
        <f t="shared" si="15"/>
        <v>1.0869565217391304</v>
      </c>
      <c r="L171" s="75">
        <f>VLOOKUP($A171,'Data Vlaue (Cr)'!$C:$FB,67)</f>
        <v>324</v>
      </c>
      <c r="M171" s="75">
        <f>VLOOKUP($A171,'Data Vlaue (Cr)'!$C:$FB,68)</f>
        <v>665</v>
      </c>
      <c r="N171" s="75">
        <f t="shared" si="16"/>
        <v>-341</v>
      </c>
      <c r="O171" s="75">
        <f t="shared" si="17"/>
        <v>-105.24691358024691</v>
      </c>
      <c r="P171" s="75">
        <f>VLOOKUP($A171,'Data Vlaue (Cr)'!$C:$FB,119)</f>
        <v>0.75</v>
      </c>
      <c r="Q171" s="75">
        <f>VLOOKUP($A171,'Data Vlaue (Cr)'!$C:$FB,122)*100</f>
        <v>2.74</v>
      </c>
      <c r="R171" s="75">
        <f>VLOOKUP($A171,'Data Vlaue (Cr)'!$C:$FB,125)</f>
        <v>0.43</v>
      </c>
      <c r="S171" s="75">
        <f>VLOOKUP($A171,'Data Vlaue (Cr)'!$C:$FB,128)*100</f>
        <v>-60.550000000000004</v>
      </c>
    </row>
    <row r="172" spans="1:19" x14ac:dyDescent="0.25">
      <c r="A172" s="96" t="str">
        <f>'Data Vlaue (Cr)'!C163</f>
        <v>PIDILITIND</v>
      </c>
      <c r="B172" s="75">
        <f>VLOOKUP($A172,'Data Vlaue (Cr)'!$C:$FB,2)</f>
        <v>500</v>
      </c>
      <c r="C172" s="75">
        <f>VLOOKUP($A172,'Data Vlaue (Cr)'!$C:$FB,8)</f>
        <v>1364.6</v>
      </c>
      <c r="D172" s="75">
        <f>VLOOKUP($A172,'Data Vlaue (Cr)'!$C:$FB,4)</f>
        <v>1372.3</v>
      </c>
      <c r="E172" s="75">
        <f>VLOOKUP($A172,'Data Vlaue (Cr)'!$C:$FB,5)</f>
        <v>1385.3</v>
      </c>
      <c r="F172" s="75">
        <f t="shared" si="12"/>
        <v>7.7000000000000455</v>
      </c>
      <c r="G172" s="75">
        <f t="shared" si="13"/>
        <v>-0.94731472710048825</v>
      </c>
      <c r="H172" s="75">
        <f>VLOOKUP($A172,'Data Vlaue (Cr)'!$C:$FB,99)</f>
        <v>1215</v>
      </c>
      <c r="I172" s="75">
        <f>VLOOKUP($A172,'Data Vlaue (Cr)'!$C:$FB,100)</f>
        <v>1147</v>
      </c>
      <c r="J172" s="75">
        <f t="shared" si="14"/>
        <v>68</v>
      </c>
      <c r="K172" s="75">
        <f t="shared" si="15"/>
        <v>5.5967078189300414</v>
      </c>
      <c r="L172" s="75">
        <f>VLOOKUP($A172,'Data Vlaue (Cr)'!$C:$FB,67)</f>
        <v>367</v>
      </c>
      <c r="M172" s="75">
        <f>VLOOKUP($A172,'Data Vlaue (Cr)'!$C:$FB,68)</f>
        <v>339</v>
      </c>
      <c r="N172" s="75">
        <f t="shared" si="16"/>
        <v>28</v>
      </c>
      <c r="O172" s="75">
        <f t="shared" si="17"/>
        <v>7.6294277929155312</v>
      </c>
      <c r="P172" s="75">
        <f>VLOOKUP($A172,'Data Vlaue (Cr)'!$C:$FB,119)</f>
        <v>0.65</v>
      </c>
      <c r="Q172" s="75">
        <f>VLOOKUP($A172,'Data Vlaue (Cr)'!$C:$FB,122)*100</f>
        <v>-7.1400000000000006</v>
      </c>
      <c r="R172" s="75">
        <f>VLOOKUP($A172,'Data Vlaue (Cr)'!$C:$FB,125)</f>
        <v>0.51</v>
      </c>
      <c r="S172" s="75">
        <f>VLOOKUP($A172,'Data Vlaue (Cr)'!$C:$FB,128)*100</f>
        <v>-23.880000000000003</v>
      </c>
    </row>
    <row r="173" spans="1:19" x14ac:dyDescent="0.25">
      <c r="A173" s="96" t="str">
        <f>'Data Vlaue (Cr)'!C164</f>
        <v>PIIND</v>
      </c>
      <c r="B173" s="75">
        <f>VLOOKUP($A173,'Data Vlaue (Cr)'!$C:$FB,2)</f>
        <v>175</v>
      </c>
      <c r="C173" s="75">
        <f>VLOOKUP($A173,'Data Vlaue (Cr)'!$C:$FB,8)</f>
        <v>3047.5</v>
      </c>
      <c r="D173" s="75">
        <f>VLOOKUP($A173,'Data Vlaue (Cr)'!$C:$FB,4)</f>
        <v>3064.9</v>
      </c>
      <c r="E173" s="75">
        <f>VLOOKUP($A173,'Data Vlaue (Cr)'!$C:$FB,5)</f>
        <v>3074.1</v>
      </c>
      <c r="F173" s="75">
        <f t="shared" si="12"/>
        <v>17.400000000000091</v>
      </c>
      <c r="G173" s="75">
        <f t="shared" si="13"/>
        <v>-0.30017292570719495</v>
      </c>
      <c r="H173" s="75">
        <f>VLOOKUP($A173,'Data Vlaue (Cr)'!$C:$FB,99)</f>
        <v>1264</v>
      </c>
      <c r="I173" s="75">
        <f>VLOOKUP($A173,'Data Vlaue (Cr)'!$C:$FB,100)</f>
        <v>1227</v>
      </c>
      <c r="J173" s="75">
        <f t="shared" si="14"/>
        <v>37</v>
      </c>
      <c r="K173" s="75">
        <f t="shared" si="15"/>
        <v>2.9272151898734178</v>
      </c>
      <c r="L173" s="75">
        <f>VLOOKUP($A173,'Data Vlaue (Cr)'!$C:$FB,67)</f>
        <v>374</v>
      </c>
      <c r="M173" s="75">
        <f>VLOOKUP($A173,'Data Vlaue (Cr)'!$C:$FB,68)</f>
        <v>460</v>
      </c>
      <c r="N173" s="75">
        <f t="shared" si="16"/>
        <v>-86</v>
      </c>
      <c r="O173" s="75">
        <f t="shared" si="17"/>
        <v>-22.994652406417114</v>
      </c>
      <c r="P173" s="75">
        <f>VLOOKUP($A173,'Data Vlaue (Cr)'!$C:$FB,119)</f>
        <v>0.57999999999999996</v>
      </c>
      <c r="Q173" s="75">
        <f>VLOOKUP($A173,'Data Vlaue (Cr)'!$C:$FB,122)*100</f>
        <v>3.5700000000000003</v>
      </c>
      <c r="R173" s="75">
        <f>VLOOKUP($A173,'Data Vlaue (Cr)'!$C:$FB,125)</f>
        <v>0.24</v>
      </c>
      <c r="S173" s="75">
        <f>VLOOKUP($A173,'Data Vlaue (Cr)'!$C:$FB,128)*100</f>
        <v>9.09</v>
      </c>
    </row>
    <row r="174" spans="1:19" x14ac:dyDescent="0.25">
      <c r="A174" s="96" t="str">
        <f>'Data Vlaue (Cr)'!C165</f>
        <v>PNB</v>
      </c>
      <c r="B174" s="75">
        <f>VLOOKUP($A174,'Data Vlaue (Cr)'!$C:$FB,2)</f>
        <v>8000</v>
      </c>
      <c r="C174" s="75">
        <f>VLOOKUP($A174,'Data Vlaue (Cr)'!$C:$FB,8)</f>
        <v>108.68</v>
      </c>
      <c r="D174" s="75">
        <f>VLOOKUP($A174,'Data Vlaue (Cr)'!$C:$FB,4)</f>
        <v>109.2</v>
      </c>
      <c r="E174" s="75">
        <f>VLOOKUP($A174,'Data Vlaue (Cr)'!$C:$FB,5)</f>
        <v>109.73</v>
      </c>
      <c r="F174" s="75">
        <f t="shared" si="12"/>
        <v>0.51999999999999602</v>
      </c>
      <c r="G174" s="75">
        <f t="shared" si="13"/>
        <v>-0.4853479853479864</v>
      </c>
      <c r="H174" s="75">
        <f>VLOOKUP($A174,'Data Vlaue (Cr)'!$C:$FB,99)</f>
        <v>4412</v>
      </c>
      <c r="I174" s="75">
        <f>VLOOKUP($A174,'Data Vlaue (Cr)'!$C:$FB,100)</f>
        <v>4222</v>
      </c>
      <c r="J174" s="75">
        <f t="shared" si="14"/>
        <v>190</v>
      </c>
      <c r="K174" s="75">
        <f t="shared" si="15"/>
        <v>4.3064369900271986</v>
      </c>
      <c r="L174" s="75">
        <f>VLOOKUP($A174,'Data Vlaue (Cr)'!$C:$FB,67)</f>
        <v>1507</v>
      </c>
      <c r="M174" s="75">
        <f>VLOOKUP($A174,'Data Vlaue (Cr)'!$C:$FB,68)</f>
        <v>1762</v>
      </c>
      <c r="N174" s="75">
        <f t="shared" si="16"/>
        <v>-255</v>
      </c>
      <c r="O174" s="75">
        <f t="shared" si="17"/>
        <v>-16.921035169210352</v>
      </c>
      <c r="P174" s="75">
        <f>VLOOKUP($A174,'Data Vlaue (Cr)'!$C:$FB,119)</f>
        <v>0.82</v>
      </c>
      <c r="Q174" s="75">
        <f>VLOOKUP($A174,'Data Vlaue (Cr)'!$C:$FB,122)*100</f>
        <v>-1.2</v>
      </c>
      <c r="R174" s="75">
        <f>VLOOKUP($A174,'Data Vlaue (Cr)'!$C:$FB,125)</f>
        <v>0.64</v>
      </c>
      <c r="S174" s="75">
        <f>VLOOKUP($A174,'Data Vlaue (Cr)'!$C:$FB,128)*100</f>
        <v>0</v>
      </c>
    </row>
    <row r="175" spans="1:19" x14ac:dyDescent="0.25">
      <c r="A175" s="96" t="str">
        <f>'Data Vlaue (Cr)'!C166</f>
        <v>PNBHOUSING</v>
      </c>
      <c r="B175" s="75">
        <f>VLOOKUP($A175,'Data Vlaue (Cr)'!$C:$FB,2)</f>
        <v>650</v>
      </c>
      <c r="C175" s="75">
        <f>VLOOKUP($A175,'Data Vlaue (Cr)'!$C:$FB,8)</f>
        <v>1042.2</v>
      </c>
      <c r="D175" s="75">
        <f>VLOOKUP($A175,'Data Vlaue (Cr)'!$C:$FB,4)</f>
        <v>1047.8</v>
      </c>
      <c r="E175" s="75">
        <f>VLOOKUP($A175,'Data Vlaue (Cr)'!$C:$FB,5)</f>
        <v>1051.05</v>
      </c>
      <c r="F175" s="75">
        <f t="shared" si="12"/>
        <v>5.5999999999999091</v>
      </c>
      <c r="G175" s="75">
        <f t="shared" si="13"/>
        <v>-0.3101736972704715</v>
      </c>
      <c r="H175" s="75">
        <f>VLOOKUP($A175,'Data Vlaue (Cr)'!$C:$FB,99)</f>
        <v>1431</v>
      </c>
      <c r="I175" s="75">
        <f>VLOOKUP($A175,'Data Vlaue (Cr)'!$C:$FB,100)</f>
        <v>1410</v>
      </c>
      <c r="J175" s="75">
        <f t="shared" si="14"/>
        <v>21</v>
      </c>
      <c r="K175" s="75">
        <f t="shared" si="15"/>
        <v>1.4675052410901468</v>
      </c>
      <c r="L175" s="75">
        <f>VLOOKUP($A175,'Data Vlaue (Cr)'!$C:$FB,67)</f>
        <v>267</v>
      </c>
      <c r="M175" s="75">
        <f>VLOOKUP($A175,'Data Vlaue (Cr)'!$C:$FB,68)</f>
        <v>436</v>
      </c>
      <c r="N175" s="75">
        <f t="shared" si="16"/>
        <v>-169</v>
      </c>
      <c r="O175" s="75">
        <f t="shared" si="17"/>
        <v>-63.295880149812731</v>
      </c>
      <c r="P175" s="75">
        <f>VLOOKUP($A175,'Data Vlaue (Cr)'!$C:$FB,119)</f>
        <v>0.78</v>
      </c>
      <c r="Q175" s="75">
        <f>VLOOKUP($A175,'Data Vlaue (Cr)'!$C:$FB,122)*100</f>
        <v>0</v>
      </c>
      <c r="R175" s="75">
        <f>VLOOKUP($A175,'Data Vlaue (Cr)'!$C:$FB,125)</f>
        <v>0.55000000000000004</v>
      </c>
      <c r="S175" s="75">
        <f>VLOOKUP($A175,'Data Vlaue (Cr)'!$C:$FB,128)*100</f>
        <v>-32.1</v>
      </c>
    </row>
    <row r="176" spans="1:19" x14ac:dyDescent="0.25">
      <c r="A176" s="96" t="str">
        <f>'Data Vlaue (Cr)'!C167</f>
        <v>POLICYBZR</v>
      </c>
      <c r="B176" s="75">
        <f>VLOOKUP($A176,'Data Vlaue (Cr)'!$C:$FB,2)</f>
        <v>350</v>
      </c>
      <c r="C176" s="75">
        <f>VLOOKUP($A176,'Data Vlaue (Cr)'!$C:$FB,8)</f>
        <v>1670.8</v>
      </c>
      <c r="D176" s="75">
        <f>VLOOKUP($A176,'Data Vlaue (Cr)'!$C:$FB,4)</f>
        <v>1676.8</v>
      </c>
      <c r="E176" s="75">
        <f>VLOOKUP($A176,'Data Vlaue (Cr)'!$C:$FB,5)</f>
        <v>1671</v>
      </c>
      <c r="F176" s="75">
        <f t="shared" si="12"/>
        <v>6</v>
      </c>
      <c r="G176" s="75">
        <f t="shared" si="13"/>
        <v>0.34589694656488279</v>
      </c>
      <c r="H176" s="75">
        <f>VLOOKUP($A176,'Data Vlaue (Cr)'!$C:$FB,99)</f>
        <v>1639</v>
      </c>
      <c r="I176" s="75">
        <f>VLOOKUP($A176,'Data Vlaue (Cr)'!$C:$FB,100)</f>
        <v>1604</v>
      </c>
      <c r="J176" s="75">
        <f t="shared" si="14"/>
        <v>35</v>
      </c>
      <c r="K176" s="75">
        <f t="shared" si="15"/>
        <v>2.1354484441732766</v>
      </c>
      <c r="L176" s="75">
        <f>VLOOKUP($A176,'Data Vlaue (Cr)'!$C:$FB,67)</f>
        <v>341</v>
      </c>
      <c r="M176" s="75">
        <f>VLOOKUP($A176,'Data Vlaue (Cr)'!$C:$FB,68)</f>
        <v>318</v>
      </c>
      <c r="N176" s="75">
        <f t="shared" si="16"/>
        <v>23</v>
      </c>
      <c r="O176" s="75">
        <f t="shared" si="17"/>
        <v>6.7448680351906152</v>
      </c>
      <c r="P176" s="75">
        <f>VLOOKUP($A176,'Data Vlaue (Cr)'!$C:$FB,119)</f>
        <v>0.65</v>
      </c>
      <c r="Q176" s="75">
        <f>VLOOKUP($A176,'Data Vlaue (Cr)'!$C:$FB,122)*100</f>
        <v>-10.96</v>
      </c>
      <c r="R176" s="75">
        <f>VLOOKUP($A176,'Data Vlaue (Cr)'!$C:$FB,125)</f>
        <v>0.41</v>
      </c>
      <c r="S176" s="75">
        <f>VLOOKUP($A176,'Data Vlaue (Cr)'!$C:$FB,128)*100</f>
        <v>-42.25</v>
      </c>
    </row>
    <row r="177" spans="1:19" x14ac:dyDescent="0.25">
      <c r="A177" s="96" t="str">
        <f>'Data Vlaue (Cr)'!C168</f>
        <v>POLYCAB</v>
      </c>
      <c r="B177" s="75">
        <f>VLOOKUP($A177,'Data Vlaue (Cr)'!$C:$FB,2)</f>
        <v>125</v>
      </c>
      <c r="C177" s="75">
        <f>VLOOKUP($A177,'Data Vlaue (Cr)'!$C:$FB,8)</f>
        <v>8344.5</v>
      </c>
      <c r="D177" s="75">
        <f>VLOOKUP($A177,'Data Vlaue (Cr)'!$C:$FB,4)</f>
        <v>8391.5</v>
      </c>
      <c r="E177" s="75">
        <f>VLOOKUP($A177,'Data Vlaue (Cr)'!$C:$FB,5)</f>
        <v>8159.5</v>
      </c>
      <c r="F177" s="75">
        <f t="shared" ref="F177:F185" si="18">D177-C177</f>
        <v>47</v>
      </c>
      <c r="G177" s="75">
        <f t="shared" ref="G177:G185" si="19">(D177-E177)/D177*100</f>
        <v>2.7647023774057082</v>
      </c>
      <c r="H177" s="75">
        <f>VLOOKUP($A177,'Data Vlaue (Cr)'!$C:$FB,99)</f>
        <v>3292</v>
      </c>
      <c r="I177" s="75">
        <f>VLOOKUP($A177,'Data Vlaue (Cr)'!$C:$FB,100)</f>
        <v>2913</v>
      </c>
      <c r="J177" s="75">
        <f t="shared" ref="J177:J185" si="20">H177-I177</f>
        <v>379</v>
      </c>
      <c r="K177" s="75">
        <f t="shared" ref="K177:K185" si="21">J177/H177*100</f>
        <v>11.512758201701095</v>
      </c>
      <c r="L177" s="75">
        <f>VLOOKUP($A177,'Data Vlaue (Cr)'!$C:$FB,67)</f>
        <v>3380</v>
      </c>
      <c r="M177" s="75">
        <f>VLOOKUP($A177,'Data Vlaue (Cr)'!$C:$FB,68)</f>
        <v>1360</v>
      </c>
      <c r="N177" s="75">
        <f t="shared" ref="N177:N185" si="22">L177-M177</f>
        <v>2020</v>
      </c>
      <c r="O177" s="75">
        <f t="shared" ref="O177:O185" si="23">N177/L177*100</f>
        <v>59.76331360946746</v>
      </c>
      <c r="P177" s="75">
        <f>VLOOKUP($A177,'Data Vlaue (Cr)'!$C:$FB,119)</f>
        <v>1.4</v>
      </c>
      <c r="Q177" s="75">
        <f>VLOOKUP($A177,'Data Vlaue (Cr)'!$C:$FB,122)*100</f>
        <v>-3.45</v>
      </c>
      <c r="R177" s="75">
        <f>VLOOKUP($A177,'Data Vlaue (Cr)'!$C:$FB,125)</f>
        <v>1.21</v>
      </c>
      <c r="S177" s="75">
        <f>VLOOKUP($A177,'Data Vlaue (Cr)'!$C:$FB,128)*100</f>
        <v>51.249999999999993</v>
      </c>
    </row>
    <row r="178" spans="1:19" x14ac:dyDescent="0.25">
      <c r="A178" s="96" t="str">
        <f>'Data Vlaue (Cr)'!C169</f>
        <v>POWERGRID</v>
      </c>
      <c r="B178" s="75">
        <f>VLOOKUP($A178,'Data Vlaue (Cr)'!$C:$FB,2)</f>
        <v>1900</v>
      </c>
      <c r="C178" s="75">
        <f>VLOOKUP($A178,'Data Vlaue (Cr)'!$C:$FB,8)</f>
        <v>319.05</v>
      </c>
      <c r="D178" s="75">
        <f>VLOOKUP($A178,'Data Vlaue (Cr)'!$C:$FB,4)</f>
        <v>320.10000000000002</v>
      </c>
      <c r="E178" s="75">
        <f>VLOOKUP($A178,'Data Vlaue (Cr)'!$C:$FB,5)</f>
        <v>319.14999999999998</v>
      </c>
      <c r="F178" s="75">
        <f t="shared" si="18"/>
        <v>1.0500000000000114</v>
      </c>
      <c r="G178" s="75">
        <f t="shared" si="19"/>
        <v>0.29678225554515636</v>
      </c>
      <c r="H178" s="75">
        <f>VLOOKUP($A178,'Data Vlaue (Cr)'!$C:$FB,99)</f>
        <v>3586</v>
      </c>
      <c r="I178" s="75">
        <f>VLOOKUP($A178,'Data Vlaue (Cr)'!$C:$FB,100)</f>
        <v>3444</v>
      </c>
      <c r="J178" s="75">
        <f t="shared" si="20"/>
        <v>142</v>
      </c>
      <c r="K178" s="75">
        <f t="shared" si="21"/>
        <v>3.9598438371444509</v>
      </c>
      <c r="L178" s="75">
        <f>VLOOKUP($A178,'Data Vlaue (Cr)'!$C:$FB,67)</f>
        <v>1255</v>
      </c>
      <c r="M178" s="75">
        <f>VLOOKUP($A178,'Data Vlaue (Cr)'!$C:$FB,68)</f>
        <v>1260</v>
      </c>
      <c r="N178" s="75">
        <f t="shared" si="22"/>
        <v>-5</v>
      </c>
      <c r="O178" s="75">
        <f t="shared" si="23"/>
        <v>-0.39840637450199201</v>
      </c>
      <c r="P178" s="75">
        <f>VLOOKUP($A178,'Data Vlaue (Cr)'!$C:$FB,119)</f>
        <v>0.65</v>
      </c>
      <c r="Q178" s="75">
        <f>VLOOKUP($A178,'Data Vlaue (Cr)'!$C:$FB,122)*100</f>
        <v>-7.1400000000000006</v>
      </c>
      <c r="R178" s="75">
        <f>VLOOKUP($A178,'Data Vlaue (Cr)'!$C:$FB,125)</f>
        <v>0.48</v>
      </c>
      <c r="S178" s="75">
        <f>VLOOKUP($A178,'Data Vlaue (Cr)'!$C:$FB,128)*100</f>
        <v>-2.04</v>
      </c>
    </row>
    <row r="179" spans="1:19" x14ac:dyDescent="0.25">
      <c r="A179" s="96" t="str">
        <f>'Data Vlaue (Cr)'!C170</f>
        <v>POWERINDIA</v>
      </c>
      <c r="B179" s="75">
        <f>VLOOKUP($A179,'Data Vlaue (Cr)'!$C:$FB,2)</f>
        <v>25</v>
      </c>
      <c r="C179" s="75">
        <f>VLOOKUP($A179,'Data Vlaue (Cr)'!$C:$FB,8)</f>
        <v>33730</v>
      </c>
      <c r="D179" s="75">
        <f>VLOOKUP($A179,'Data Vlaue (Cr)'!$C:$FB,4)</f>
        <v>33890</v>
      </c>
      <c r="E179" s="75">
        <f>VLOOKUP($A179,'Data Vlaue (Cr)'!$C:$FB,5)</f>
        <v>33725</v>
      </c>
      <c r="F179" s="75">
        <f t="shared" si="18"/>
        <v>160</v>
      </c>
      <c r="G179" s="75">
        <f t="shared" si="19"/>
        <v>0.48686928297432869</v>
      </c>
      <c r="H179" s="75">
        <f>VLOOKUP($A179,'Data Vlaue (Cr)'!$C:$FB,99)</f>
        <v>2798</v>
      </c>
      <c r="I179" s="75">
        <f>VLOOKUP($A179,'Data Vlaue (Cr)'!$C:$FB,100)</f>
        <v>2668</v>
      </c>
      <c r="J179" s="75">
        <f t="shared" si="20"/>
        <v>130</v>
      </c>
      <c r="K179" s="75">
        <f t="shared" si="21"/>
        <v>4.6461758398856325</v>
      </c>
      <c r="L179" s="75">
        <f>VLOOKUP($A179,'Data Vlaue (Cr)'!$C:$FB,67)</f>
        <v>1823</v>
      </c>
      <c r="M179" s="75">
        <f>VLOOKUP($A179,'Data Vlaue (Cr)'!$C:$FB,68)</f>
        <v>1917</v>
      </c>
      <c r="N179" s="75">
        <f t="shared" si="22"/>
        <v>-94</v>
      </c>
      <c r="O179" s="75">
        <f t="shared" si="23"/>
        <v>-5.156335710367526</v>
      </c>
      <c r="P179" s="75">
        <f>VLOOKUP($A179,'Data Vlaue (Cr)'!$C:$FB,119)</f>
        <v>0.84</v>
      </c>
      <c r="Q179" s="75">
        <f>VLOOKUP($A179,'Data Vlaue (Cr)'!$C:$FB,122)*100</f>
        <v>-3.45</v>
      </c>
      <c r="R179" s="75">
        <f>VLOOKUP($A179,'Data Vlaue (Cr)'!$C:$FB,125)</f>
        <v>0.62</v>
      </c>
      <c r="S179" s="75">
        <f>VLOOKUP($A179,'Data Vlaue (Cr)'!$C:$FB,128)*100</f>
        <v>-26.19</v>
      </c>
    </row>
    <row r="180" spans="1:19" x14ac:dyDescent="0.25">
      <c r="A180" s="96" t="str">
        <f>'Data Vlaue (Cr)'!C171</f>
        <v>PREMIERENE</v>
      </c>
      <c r="B180" s="75">
        <f>VLOOKUP($A180,'Data Vlaue (Cr)'!$C:$FB,2)</f>
        <v>575</v>
      </c>
      <c r="C180" s="75">
        <f>VLOOKUP($A180,'Data Vlaue (Cr)'!$C:$FB,8)</f>
        <v>1035.0999999999999</v>
      </c>
      <c r="D180" s="75">
        <f>VLOOKUP($A180,'Data Vlaue (Cr)'!$C:$FB,4)</f>
        <v>1028.8</v>
      </c>
      <c r="E180" s="75">
        <f>VLOOKUP($A180,'Data Vlaue (Cr)'!$C:$FB,5)</f>
        <v>1005.35</v>
      </c>
      <c r="F180" s="75">
        <f t="shared" si="18"/>
        <v>-6.2999999999999545</v>
      </c>
      <c r="G180" s="75">
        <f t="shared" si="19"/>
        <v>2.2793545878693555</v>
      </c>
      <c r="H180" s="75">
        <f>VLOOKUP($A180,'Data Vlaue (Cr)'!$C:$FB,99)</f>
        <v>1382</v>
      </c>
      <c r="I180" s="75">
        <f>VLOOKUP($A180,'Data Vlaue (Cr)'!$C:$FB,100)</f>
        <v>1358</v>
      </c>
      <c r="J180" s="75">
        <f t="shared" si="20"/>
        <v>24</v>
      </c>
      <c r="K180" s="75">
        <f t="shared" si="21"/>
        <v>1.7366136034732274</v>
      </c>
      <c r="L180" s="75">
        <f>VLOOKUP($A180,'Data Vlaue (Cr)'!$C:$FB,67)</f>
        <v>454</v>
      </c>
      <c r="M180" s="75">
        <f>VLOOKUP($A180,'Data Vlaue (Cr)'!$C:$FB,68)</f>
        <v>719</v>
      </c>
      <c r="N180" s="75">
        <f t="shared" si="22"/>
        <v>-265</v>
      </c>
      <c r="O180" s="75">
        <f t="shared" si="23"/>
        <v>-58.370044052863435</v>
      </c>
      <c r="P180" s="75">
        <f>VLOOKUP($A180,'Data Vlaue (Cr)'!$C:$FB,119)</f>
        <v>1.06</v>
      </c>
      <c r="Q180" s="75">
        <f>VLOOKUP($A180,'Data Vlaue (Cr)'!$C:$FB,122)*100</f>
        <v>19.100000000000001</v>
      </c>
      <c r="R180" s="75">
        <f>VLOOKUP($A180,'Data Vlaue (Cr)'!$C:$FB,125)</f>
        <v>0.52</v>
      </c>
      <c r="S180" s="75">
        <f>VLOOKUP($A180,'Data Vlaue (Cr)'!$C:$FB,128)*100</f>
        <v>-30.669999999999998</v>
      </c>
    </row>
    <row r="181" spans="1:19" x14ac:dyDescent="0.25">
      <c r="A181" s="96" t="str">
        <f>'Data Vlaue (Cr)'!C172</f>
        <v>PRESTIGE</v>
      </c>
      <c r="B181" s="75">
        <f>VLOOKUP($A181,'Data Vlaue (Cr)'!$C:$FB,2)</f>
        <v>450</v>
      </c>
      <c r="C181" s="75">
        <f>VLOOKUP($A181,'Data Vlaue (Cr)'!$C:$FB,8)</f>
        <v>1454.4</v>
      </c>
      <c r="D181" s="75">
        <f>VLOOKUP($A181,'Data Vlaue (Cr)'!$C:$FB,4)</f>
        <v>1458.6</v>
      </c>
      <c r="E181" s="75">
        <f>VLOOKUP($A181,'Data Vlaue (Cr)'!$C:$FB,5)</f>
        <v>1423.2</v>
      </c>
      <c r="F181" s="75">
        <f t="shared" si="18"/>
        <v>4.1999999999998181</v>
      </c>
      <c r="G181" s="75">
        <f t="shared" si="19"/>
        <v>2.426984779925947</v>
      </c>
      <c r="H181" s="75">
        <f>VLOOKUP($A181,'Data Vlaue (Cr)'!$C:$FB,99)</f>
        <v>1077</v>
      </c>
      <c r="I181" s="75">
        <f>VLOOKUP($A181,'Data Vlaue (Cr)'!$C:$FB,100)</f>
        <v>1047</v>
      </c>
      <c r="J181" s="75">
        <f t="shared" si="20"/>
        <v>30</v>
      </c>
      <c r="K181" s="75">
        <f t="shared" si="21"/>
        <v>2.785515320334262</v>
      </c>
      <c r="L181" s="75">
        <f>VLOOKUP($A181,'Data Vlaue (Cr)'!$C:$FB,67)</f>
        <v>295</v>
      </c>
      <c r="M181" s="75">
        <f>VLOOKUP($A181,'Data Vlaue (Cr)'!$C:$FB,68)</f>
        <v>229</v>
      </c>
      <c r="N181" s="75">
        <f t="shared" si="22"/>
        <v>66</v>
      </c>
      <c r="O181" s="75">
        <f t="shared" si="23"/>
        <v>22.372881355932204</v>
      </c>
      <c r="P181" s="75">
        <f>VLOOKUP($A181,'Data Vlaue (Cr)'!$C:$FB,119)</f>
        <v>0.87</v>
      </c>
      <c r="Q181" s="75">
        <f>VLOOKUP($A181,'Data Vlaue (Cr)'!$C:$FB,122)*100</f>
        <v>-24.349999999999998</v>
      </c>
      <c r="R181" s="75">
        <f>VLOOKUP($A181,'Data Vlaue (Cr)'!$C:$FB,125)</f>
        <v>0.27</v>
      </c>
      <c r="S181" s="75">
        <f>VLOOKUP($A181,'Data Vlaue (Cr)'!$C:$FB,128)*100</f>
        <v>-73</v>
      </c>
    </row>
    <row r="182" spans="1:19" x14ac:dyDescent="0.25">
      <c r="A182" s="96" t="str">
        <f>'Data Vlaue (Cr)'!C173</f>
        <v>RBLBANK</v>
      </c>
      <c r="B182" s="75">
        <f>VLOOKUP($A182,'Data Vlaue (Cr)'!$C:$FB,2)</f>
        <v>3175</v>
      </c>
      <c r="C182" s="75">
        <f>VLOOKUP($A182,'Data Vlaue (Cr)'!$C:$FB,8)</f>
        <v>330.2</v>
      </c>
      <c r="D182" s="75">
        <f>VLOOKUP($A182,'Data Vlaue (Cr)'!$C:$FB,4)</f>
        <v>332.3</v>
      </c>
      <c r="E182" s="75">
        <f>VLOOKUP($A182,'Data Vlaue (Cr)'!$C:$FB,5)</f>
        <v>338.65</v>
      </c>
      <c r="F182" s="75">
        <f t="shared" si="18"/>
        <v>2.1000000000000227</v>
      </c>
      <c r="G182" s="75">
        <f t="shared" si="19"/>
        <v>-1.9109238639783224</v>
      </c>
      <c r="H182" s="75">
        <f>VLOOKUP($A182,'Data Vlaue (Cr)'!$C:$FB,99)</f>
        <v>3291</v>
      </c>
      <c r="I182" s="75">
        <f>VLOOKUP($A182,'Data Vlaue (Cr)'!$C:$FB,100)</f>
        <v>3116</v>
      </c>
      <c r="J182" s="75">
        <f t="shared" si="20"/>
        <v>175</v>
      </c>
      <c r="K182" s="75">
        <f t="shared" si="21"/>
        <v>5.3175326648435126</v>
      </c>
      <c r="L182" s="75">
        <f>VLOOKUP($A182,'Data Vlaue (Cr)'!$C:$FB,67)</f>
        <v>2312</v>
      </c>
      <c r="M182" s="75">
        <f>VLOOKUP($A182,'Data Vlaue (Cr)'!$C:$FB,68)</f>
        <v>2237</v>
      </c>
      <c r="N182" s="75">
        <f t="shared" si="22"/>
        <v>75</v>
      </c>
      <c r="O182" s="75">
        <f t="shared" si="23"/>
        <v>3.2439446366782003</v>
      </c>
      <c r="P182" s="75">
        <f>VLOOKUP($A182,'Data Vlaue (Cr)'!$C:$FB,119)</f>
        <v>0.74</v>
      </c>
      <c r="Q182" s="75">
        <f>VLOOKUP($A182,'Data Vlaue (Cr)'!$C:$FB,122)*100</f>
        <v>-6.3299999999999992</v>
      </c>
      <c r="R182" s="75">
        <f>VLOOKUP($A182,'Data Vlaue (Cr)'!$C:$FB,125)</f>
        <v>0.61</v>
      </c>
      <c r="S182" s="75">
        <f>VLOOKUP($A182,'Data Vlaue (Cr)'!$C:$FB,128)*100</f>
        <v>-12.86</v>
      </c>
    </row>
    <row r="183" spans="1:19" x14ac:dyDescent="0.25">
      <c r="A183" s="96" t="str">
        <f>'Data Vlaue (Cr)'!C174</f>
        <v>RECLTD</v>
      </c>
      <c r="B183" s="75">
        <f>VLOOKUP($A183,'Data Vlaue (Cr)'!$C:$FB,2)</f>
        <v>1400</v>
      </c>
      <c r="C183" s="75">
        <f>VLOOKUP($A183,'Data Vlaue (Cr)'!$C:$FB,8)</f>
        <v>353.5</v>
      </c>
      <c r="D183" s="75">
        <f>VLOOKUP($A183,'Data Vlaue (Cr)'!$C:$FB,4)</f>
        <v>355.6</v>
      </c>
      <c r="E183" s="75">
        <f>VLOOKUP($A183,'Data Vlaue (Cr)'!$C:$FB,5)</f>
        <v>355.35</v>
      </c>
      <c r="F183" s="75">
        <f t="shared" si="18"/>
        <v>2.1000000000000227</v>
      </c>
      <c r="G183" s="75">
        <f t="shared" si="19"/>
        <v>7.0303712035995503E-2</v>
      </c>
      <c r="H183" s="75">
        <f>VLOOKUP($A183,'Data Vlaue (Cr)'!$C:$FB,99)</f>
        <v>3874</v>
      </c>
      <c r="I183" s="75">
        <f>VLOOKUP($A183,'Data Vlaue (Cr)'!$C:$FB,100)</f>
        <v>3759</v>
      </c>
      <c r="J183" s="75">
        <f t="shared" si="20"/>
        <v>115</v>
      </c>
      <c r="K183" s="75">
        <f t="shared" si="21"/>
        <v>2.9685080020650489</v>
      </c>
      <c r="L183" s="75">
        <f>VLOOKUP($A183,'Data Vlaue (Cr)'!$C:$FB,67)</f>
        <v>1170</v>
      </c>
      <c r="M183" s="75">
        <f>VLOOKUP($A183,'Data Vlaue (Cr)'!$C:$FB,68)</f>
        <v>2343</v>
      </c>
      <c r="N183" s="75">
        <f t="shared" si="22"/>
        <v>-1173</v>
      </c>
      <c r="O183" s="75">
        <f t="shared" si="23"/>
        <v>-100.25641025641025</v>
      </c>
      <c r="P183" s="75">
        <f>VLOOKUP($A183,'Data Vlaue (Cr)'!$C:$FB,119)</f>
        <v>0.59</v>
      </c>
      <c r="Q183" s="75">
        <f>VLOOKUP($A183,'Data Vlaue (Cr)'!$C:$FB,122)*100</f>
        <v>-4.84</v>
      </c>
      <c r="R183" s="75">
        <f>VLOOKUP($A183,'Data Vlaue (Cr)'!$C:$FB,125)</f>
        <v>0.44</v>
      </c>
      <c r="S183" s="75">
        <f>VLOOKUP($A183,'Data Vlaue (Cr)'!$C:$FB,128)*100</f>
        <v>-21.43</v>
      </c>
    </row>
    <row r="184" spans="1:19" x14ac:dyDescent="0.25">
      <c r="A184" s="96" t="str">
        <f>'Data Vlaue (Cr)'!C175</f>
        <v>RELIANCE</v>
      </c>
      <c r="B184" s="75">
        <f>VLOOKUP($A184,'Data Vlaue (Cr)'!$C:$FB,2)</f>
        <v>500</v>
      </c>
      <c r="C184" s="75">
        <f>VLOOKUP($A184,'Data Vlaue (Cr)'!$C:$FB,8)</f>
        <v>1463.1</v>
      </c>
      <c r="D184" s="75">
        <f>VLOOKUP($A184,'Data Vlaue (Cr)'!$C:$FB,4)</f>
        <v>1467</v>
      </c>
      <c r="E184" s="75">
        <f>VLOOKUP($A184,'Data Vlaue (Cr)'!$C:$FB,5)</f>
        <v>1435.2</v>
      </c>
      <c r="F184" s="75">
        <f t="shared" si="18"/>
        <v>3.9000000000000909</v>
      </c>
      <c r="G184" s="75">
        <f t="shared" si="19"/>
        <v>2.1676891615541893</v>
      </c>
      <c r="H184" s="75">
        <f>VLOOKUP($A184,'Data Vlaue (Cr)'!$C:$FB,99)</f>
        <v>25973</v>
      </c>
      <c r="I184" s="75">
        <f>VLOOKUP($A184,'Data Vlaue (Cr)'!$C:$FB,100)</f>
        <v>25771</v>
      </c>
      <c r="J184" s="75">
        <f t="shared" si="20"/>
        <v>202</v>
      </c>
      <c r="K184" s="75">
        <f t="shared" si="21"/>
        <v>0.77773072036345436</v>
      </c>
      <c r="L184" s="75">
        <f>VLOOKUP($A184,'Data Vlaue (Cr)'!$C:$FB,67)</f>
        <v>25739</v>
      </c>
      <c r="M184" s="75">
        <f>VLOOKUP($A184,'Data Vlaue (Cr)'!$C:$FB,68)</f>
        <v>22783</v>
      </c>
      <c r="N184" s="75">
        <f t="shared" si="22"/>
        <v>2956</v>
      </c>
      <c r="O184" s="75">
        <f t="shared" si="23"/>
        <v>11.484517658028674</v>
      </c>
      <c r="P184" s="75">
        <f>VLOOKUP($A184,'Data Vlaue (Cr)'!$C:$FB,119)</f>
        <v>0.92</v>
      </c>
      <c r="Q184" s="75">
        <f>VLOOKUP($A184,'Data Vlaue (Cr)'!$C:$FB,122)*100</f>
        <v>8.24</v>
      </c>
      <c r="R184" s="75">
        <f>VLOOKUP($A184,'Data Vlaue (Cr)'!$C:$FB,125)</f>
        <v>0.66</v>
      </c>
      <c r="S184" s="75">
        <f>VLOOKUP($A184,'Data Vlaue (Cr)'!$C:$FB,128)*100</f>
        <v>-2.94</v>
      </c>
    </row>
    <row r="185" spans="1:19" x14ac:dyDescent="0.25">
      <c r="A185" s="96" t="str">
        <f>'Data Vlaue (Cr)'!C176</f>
        <v>RVNL</v>
      </c>
      <c r="B185" s="75">
        <f>VLOOKUP($A185,'Data Vlaue (Cr)'!$C:$FB,2)</f>
        <v>1525</v>
      </c>
      <c r="C185" s="75">
        <f>VLOOKUP($A185,'Data Vlaue (Cr)'!$C:$FB,8)</f>
        <v>296.64999999999998</v>
      </c>
      <c r="D185" s="75">
        <f>VLOOKUP($A185,'Data Vlaue (Cr)'!$C:$FB,4)</f>
        <v>293.3</v>
      </c>
      <c r="E185" s="75">
        <f>VLOOKUP($A185,'Data Vlaue (Cr)'!$C:$FB,5)</f>
        <v>297.16000000000003</v>
      </c>
      <c r="F185" s="75">
        <f t="shared" si="18"/>
        <v>-3.3499999999999659</v>
      </c>
      <c r="G185" s="75">
        <f t="shared" si="19"/>
        <v>-1.3160586430276213</v>
      </c>
      <c r="H185" s="75">
        <f>VLOOKUP($A185,'Data Vlaue (Cr)'!$C:$FB,99)</f>
        <v>2189</v>
      </c>
      <c r="I185" s="75">
        <f>VLOOKUP($A185,'Data Vlaue (Cr)'!$C:$FB,100)</f>
        <v>1983</v>
      </c>
      <c r="J185" s="75">
        <f t="shared" si="20"/>
        <v>206</v>
      </c>
      <c r="K185" s="75">
        <f t="shared" si="21"/>
        <v>9.4106898126998626</v>
      </c>
      <c r="L185" s="75">
        <f>VLOOKUP($A185,'Data Vlaue (Cr)'!$C:$FB,67)</f>
        <v>880</v>
      </c>
      <c r="M185" s="75">
        <f>VLOOKUP($A185,'Data Vlaue (Cr)'!$C:$FB,68)</f>
        <v>508</v>
      </c>
      <c r="N185" s="75">
        <f t="shared" si="22"/>
        <v>372</v>
      </c>
      <c r="O185" s="75">
        <f t="shared" si="23"/>
        <v>42.272727272727273</v>
      </c>
      <c r="P185" s="75">
        <f>VLOOKUP($A185,'Data Vlaue (Cr)'!$C:$FB,119)</f>
        <v>0.61</v>
      </c>
      <c r="Q185" s="75">
        <f>VLOOKUP($A185,'Data Vlaue (Cr)'!$C:$FB,122)*100</f>
        <v>-11.59</v>
      </c>
      <c r="R185" s="75">
        <f>VLOOKUP($A185,'Data Vlaue (Cr)'!$C:$FB,125)</f>
        <v>0.37</v>
      </c>
      <c r="S185" s="75">
        <f>VLOOKUP($A185,'Data Vlaue (Cr)'!$C:$FB,128)*100</f>
        <v>-22.919999999999998</v>
      </c>
    </row>
    <row r="186" spans="1:19" x14ac:dyDescent="0.25">
      <c r="A186" s="96" t="str">
        <f>'Data Vlaue (Cr)'!C177</f>
        <v>SAIL</v>
      </c>
      <c r="B186" s="75">
        <f>VLOOKUP($A186,'Data Vlaue (Cr)'!$C:$FB,2)</f>
        <v>4700</v>
      </c>
      <c r="C186" s="75">
        <f>VLOOKUP($A186,'Data Vlaue (Cr)'!$C:$FB,8)</f>
        <v>186.15</v>
      </c>
      <c r="D186" s="75">
        <f>VLOOKUP($A186,'Data Vlaue (Cr)'!$C:$FB,4)</f>
        <v>187.43</v>
      </c>
      <c r="E186" s="75">
        <f>VLOOKUP($A186,'Data Vlaue (Cr)'!$C:$FB,5)</f>
        <v>185.83</v>
      </c>
      <c r="F186" s="75">
        <f t="shared" ref="F186:F193" si="24">D186-C186</f>
        <v>1.2800000000000011</v>
      </c>
      <c r="G186" s="75">
        <f t="shared" ref="G186:G193" si="25">(D186-E186)/D186*100</f>
        <v>0.85365203009123092</v>
      </c>
      <c r="H186" s="75">
        <f>VLOOKUP($A186,'Data Vlaue (Cr)'!$C:$FB,99)</f>
        <v>3837</v>
      </c>
      <c r="I186" s="75">
        <f>VLOOKUP($A186,'Data Vlaue (Cr)'!$C:$FB,100)</f>
        <v>3691</v>
      </c>
      <c r="J186" s="75">
        <f t="shared" ref="J186:J193" si="26">H186-I186</f>
        <v>146</v>
      </c>
      <c r="K186" s="75">
        <f t="shared" ref="K186:K193" si="27">J186/H186*100</f>
        <v>3.8050560333593957</v>
      </c>
      <c r="L186" s="75">
        <f>VLOOKUP($A186,'Data Vlaue (Cr)'!$C:$FB,67)</f>
        <v>584</v>
      </c>
      <c r="M186" s="75">
        <f>VLOOKUP($A186,'Data Vlaue (Cr)'!$C:$FB,68)</f>
        <v>1065</v>
      </c>
      <c r="N186" s="75">
        <f t="shared" ref="N186:N193" si="28">L186-M186</f>
        <v>-481</v>
      </c>
      <c r="O186" s="75">
        <f t="shared" ref="O186:O193" si="29">N186/L186*100</f>
        <v>-82.363013698630141</v>
      </c>
      <c r="P186" s="75">
        <f>VLOOKUP($A186,'Data Vlaue (Cr)'!$C:$FB,119)</f>
        <v>0.71</v>
      </c>
      <c r="Q186" s="75">
        <f>VLOOKUP($A186,'Data Vlaue (Cr)'!$C:$FB,122)*100</f>
        <v>29.09</v>
      </c>
      <c r="R186" s="75">
        <f>VLOOKUP($A186,'Data Vlaue (Cr)'!$C:$FB,125)</f>
        <v>0.71</v>
      </c>
      <c r="S186" s="75">
        <f>VLOOKUP($A186,'Data Vlaue (Cr)'!$C:$FB,128)*100</f>
        <v>36.54</v>
      </c>
    </row>
    <row r="187" spans="1:19" x14ac:dyDescent="0.25">
      <c r="A187" s="96" t="str">
        <f>'Data Vlaue (Cr)'!C178</f>
        <v>SAMMAANCAP</v>
      </c>
      <c r="B187" s="75">
        <f>VLOOKUP($A187,'Data Vlaue (Cr)'!$C:$FB,2)</f>
        <v>4300</v>
      </c>
      <c r="C187" s="75">
        <f>VLOOKUP($A187,'Data Vlaue (Cr)'!$C:$FB,8)</f>
        <v>146.88999999999999</v>
      </c>
      <c r="D187" s="75">
        <f>VLOOKUP($A187,'Data Vlaue (Cr)'!$C:$FB,4)</f>
        <v>148.02000000000001</v>
      </c>
      <c r="E187" s="75">
        <f>VLOOKUP($A187,'Data Vlaue (Cr)'!$C:$FB,5)</f>
        <v>145.55000000000001</v>
      </c>
      <c r="F187" s="75">
        <f t="shared" si="24"/>
        <v>1.1300000000000239</v>
      </c>
      <c r="G187" s="75">
        <f t="shared" si="25"/>
        <v>1.6686934198081333</v>
      </c>
      <c r="H187" s="75">
        <f>VLOOKUP($A187,'Data Vlaue (Cr)'!$C:$FB,99)</f>
        <v>2106</v>
      </c>
      <c r="I187" s="75">
        <f>VLOOKUP($A187,'Data Vlaue (Cr)'!$C:$FB,100)</f>
        <v>2128</v>
      </c>
      <c r="J187" s="75">
        <f t="shared" si="26"/>
        <v>-22</v>
      </c>
      <c r="K187" s="75">
        <f t="shared" si="27"/>
        <v>-1.0446343779677114</v>
      </c>
      <c r="L187" s="75">
        <f>VLOOKUP($A187,'Data Vlaue (Cr)'!$C:$FB,67)</f>
        <v>719</v>
      </c>
      <c r="M187" s="75">
        <f>VLOOKUP($A187,'Data Vlaue (Cr)'!$C:$FB,68)</f>
        <v>1631</v>
      </c>
      <c r="N187" s="75">
        <f t="shared" si="28"/>
        <v>-912</v>
      </c>
      <c r="O187" s="75">
        <f t="shared" si="29"/>
        <v>-126.84283727399166</v>
      </c>
      <c r="P187" s="75">
        <f>VLOOKUP($A187,'Data Vlaue (Cr)'!$C:$FB,119)</f>
        <v>0.68</v>
      </c>
      <c r="Q187" s="75">
        <f>VLOOKUP($A187,'Data Vlaue (Cr)'!$C:$FB,122)*100</f>
        <v>1.49</v>
      </c>
      <c r="R187" s="75">
        <f>VLOOKUP($A187,'Data Vlaue (Cr)'!$C:$FB,125)</f>
        <v>0.38</v>
      </c>
      <c r="S187" s="75">
        <f>VLOOKUP($A187,'Data Vlaue (Cr)'!$C:$FB,128)*100</f>
        <v>15.15</v>
      </c>
    </row>
    <row r="188" spans="1:19" x14ac:dyDescent="0.25">
      <c r="A188" s="96" t="str">
        <f>'Data Vlaue (Cr)'!C179</f>
        <v>SBICARD</v>
      </c>
      <c r="B188" s="75">
        <f>VLOOKUP($A188,'Data Vlaue (Cr)'!$C:$FB,2)</f>
        <v>800</v>
      </c>
      <c r="C188" s="75">
        <f>VLOOKUP($A188,'Data Vlaue (Cr)'!$C:$FB,8)</f>
        <v>644.79999999999995</v>
      </c>
      <c r="D188" s="75">
        <f>VLOOKUP($A188,'Data Vlaue (Cr)'!$C:$FB,4)</f>
        <v>647.29999999999995</v>
      </c>
      <c r="E188" s="75">
        <f>VLOOKUP($A188,'Data Vlaue (Cr)'!$C:$FB,5)</f>
        <v>644.85</v>
      </c>
      <c r="F188" s="75">
        <f t="shared" si="24"/>
        <v>2.5</v>
      </c>
      <c r="G188" s="75">
        <f t="shared" si="25"/>
        <v>0.37849528811987204</v>
      </c>
      <c r="H188" s="75">
        <f>VLOOKUP($A188,'Data Vlaue (Cr)'!$C:$FB,99)</f>
        <v>2598</v>
      </c>
      <c r="I188" s="75">
        <f>VLOOKUP($A188,'Data Vlaue (Cr)'!$C:$FB,100)</f>
        <v>2536</v>
      </c>
      <c r="J188" s="75">
        <f t="shared" si="26"/>
        <v>62</v>
      </c>
      <c r="K188" s="75">
        <f t="shared" si="27"/>
        <v>2.386451116243264</v>
      </c>
      <c r="L188" s="75">
        <f>VLOOKUP($A188,'Data Vlaue (Cr)'!$C:$FB,67)</f>
        <v>694</v>
      </c>
      <c r="M188" s="75">
        <f>VLOOKUP($A188,'Data Vlaue (Cr)'!$C:$FB,68)</f>
        <v>1063</v>
      </c>
      <c r="N188" s="75">
        <f t="shared" si="28"/>
        <v>-369</v>
      </c>
      <c r="O188" s="75">
        <f t="shared" si="29"/>
        <v>-53.170028818443804</v>
      </c>
      <c r="P188" s="75">
        <f>VLOOKUP($A188,'Data Vlaue (Cr)'!$C:$FB,119)</f>
        <v>0.6</v>
      </c>
      <c r="Q188" s="75">
        <f>VLOOKUP($A188,'Data Vlaue (Cr)'!$C:$FB,122)*100</f>
        <v>-3.2300000000000004</v>
      </c>
      <c r="R188" s="75">
        <f>VLOOKUP($A188,'Data Vlaue (Cr)'!$C:$FB,125)</f>
        <v>0.5</v>
      </c>
      <c r="S188" s="75">
        <f>VLOOKUP($A188,'Data Vlaue (Cr)'!$C:$FB,128)*100</f>
        <v>-26.47</v>
      </c>
    </row>
    <row r="189" spans="1:19" x14ac:dyDescent="0.25">
      <c r="A189" s="96" t="str">
        <f>'Data Vlaue (Cr)'!C180</f>
        <v>SBILIFE</v>
      </c>
      <c r="B189" s="75">
        <f>VLOOKUP($A189,'Data Vlaue (Cr)'!$C:$FB,2)</f>
        <v>375</v>
      </c>
      <c r="C189" s="75">
        <f>VLOOKUP($A189,'Data Vlaue (Cr)'!$C:$FB,8)</f>
        <v>1820.1</v>
      </c>
      <c r="D189" s="75">
        <f>VLOOKUP($A189,'Data Vlaue (Cr)'!$C:$FB,4)</f>
        <v>1827.4</v>
      </c>
      <c r="E189" s="75">
        <f>VLOOKUP($A189,'Data Vlaue (Cr)'!$C:$FB,5)</f>
        <v>1824</v>
      </c>
      <c r="F189" s="75">
        <f t="shared" si="24"/>
        <v>7.3000000000001819</v>
      </c>
      <c r="G189" s="75">
        <f t="shared" si="25"/>
        <v>0.18605669256868176</v>
      </c>
      <c r="H189" s="75">
        <f>VLOOKUP($A189,'Data Vlaue (Cr)'!$C:$FB,99)</f>
        <v>2810</v>
      </c>
      <c r="I189" s="75">
        <f>VLOOKUP($A189,'Data Vlaue (Cr)'!$C:$FB,100)</f>
        <v>2705</v>
      </c>
      <c r="J189" s="75">
        <f t="shared" si="26"/>
        <v>105</v>
      </c>
      <c r="K189" s="75">
        <f t="shared" si="27"/>
        <v>3.7366548042704624</v>
      </c>
      <c r="L189" s="75">
        <f>VLOOKUP($A189,'Data Vlaue (Cr)'!$C:$FB,67)</f>
        <v>950</v>
      </c>
      <c r="M189" s="75">
        <f>VLOOKUP($A189,'Data Vlaue (Cr)'!$C:$FB,68)</f>
        <v>671</v>
      </c>
      <c r="N189" s="75">
        <f t="shared" si="28"/>
        <v>279</v>
      </c>
      <c r="O189" s="75">
        <f t="shared" si="29"/>
        <v>29.368421052631575</v>
      </c>
      <c r="P189" s="75">
        <f>VLOOKUP($A189,'Data Vlaue (Cr)'!$C:$FB,119)</f>
        <v>0.56999999999999995</v>
      </c>
      <c r="Q189" s="75">
        <f>VLOOKUP($A189,'Data Vlaue (Cr)'!$C:$FB,122)*100</f>
        <v>-17.39</v>
      </c>
      <c r="R189" s="75">
        <f>VLOOKUP($A189,'Data Vlaue (Cr)'!$C:$FB,125)</f>
        <v>0.4</v>
      </c>
      <c r="S189" s="75">
        <f>VLOOKUP($A189,'Data Vlaue (Cr)'!$C:$FB,128)*100</f>
        <v>-25.929999999999996</v>
      </c>
    </row>
    <row r="190" spans="1:19" x14ac:dyDescent="0.25">
      <c r="A190" s="96" t="str">
        <f>'Data Vlaue (Cr)'!C181</f>
        <v>SBIN</v>
      </c>
      <c r="B190" s="75">
        <f>VLOOKUP($A190,'Data Vlaue (Cr)'!$C:$FB,2)</f>
        <v>750</v>
      </c>
      <c r="C190" s="75">
        <f>VLOOKUP($A190,'Data Vlaue (Cr)'!$C:$FB,8)</f>
        <v>1068.4000000000001</v>
      </c>
      <c r="D190" s="75">
        <f>VLOOKUP($A190,'Data Vlaue (Cr)'!$C:$FB,4)</f>
        <v>1060</v>
      </c>
      <c r="E190" s="75">
        <f>VLOOKUP($A190,'Data Vlaue (Cr)'!$C:$FB,5)</f>
        <v>1064.0999999999999</v>
      </c>
      <c r="F190" s="75">
        <f t="shared" si="24"/>
        <v>-8.4000000000000909</v>
      </c>
      <c r="G190" s="75">
        <f t="shared" si="25"/>
        <v>-0.3867924528301801</v>
      </c>
      <c r="H190" s="75">
        <f>VLOOKUP($A190,'Data Vlaue (Cr)'!$C:$FB,99)</f>
        <v>15821</v>
      </c>
      <c r="I190" s="75">
        <f>VLOOKUP($A190,'Data Vlaue (Cr)'!$C:$FB,100)</f>
        <v>14676</v>
      </c>
      <c r="J190" s="75">
        <f t="shared" si="26"/>
        <v>1145</v>
      </c>
      <c r="K190" s="75">
        <f t="shared" si="27"/>
        <v>7.2372163580051829</v>
      </c>
      <c r="L190" s="75">
        <f>VLOOKUP($A190,'Data Vlaue (Cr)'!$C:$FB,67)</f>
        <v>7706</v>
      </c>
      <c r="M190" s="75">
        <f>VLOOKUP($A190,'Data Vlaue (Cr)'!$C:$FB,68)</f>
        <v>7969</v>
      </c>
      <c r="N190" s="75">
        <f t="shared" si="28"/>
        <v>-263</v>
      </c>
      <c r="O190" s="75">
        <f t="shared" si="29"/>
        <v>-3.4129249935115493</v>
      </c>
      <c r="P190" s="75">
        <f>VLOOKUP($A190,'Data Vlaue (Cr)'!$C:$FB,119)</f>
        <v>0.73</v>
      </c>
      <c r="Q190" s="75">
        <f>VLOOKUP($A190,'Data Vlaue (Cr)'!$C:$FB,122)*100</f>
        <v>-2.67</v>
      </c>
      <c r="R190" s="75">
        <f>VLOOKUP($A190,'Data Vlaue (Cr)'!$C:$FB,125)</f>
        <v>0.56999999999999995</v>
      </c>
      <c r="S190" s="75">
        <f>VLOOKUP($A190,'Data Vlaue (Cr)'!$C:$FB,128)*100</f>
        <v>-19.72</v>
      </c>
    </row>
    <row r="191" spans="1:19" x14ac:dyDescent="0.25">
      <c r="A191" s="96" t="str">
        <f>'Data Vlaue (Cr)'!C182</f>
        <v>SHREECEM</v>
      </c>
      <c r="B191" s="75">
        <f>VLOOKUP($A191,'Data Vlaue (Cr)'!$C:$FB,2)</f>
        <v>25</v>
      </c>
      <c r="C191" s="75">
        <f>VLOOKUP($A191,'Data Vlaue (Cr)'!$C:$FB,8)</f>
        <v>24740</v>
      </c>
      <c r="D191" s="75">
        <f>VLOOKUP($A191,'Data Vlaue (Cr)'!$C:$FB,4)</f>
        <v>24655</v>
      </c>
      <c r="E191" s="75">
        <f>VLOOKUP($A191,'Data Vlaue (Cr)'!$C:$FB,5)</f>
        <v>24030</v>
      </c>
      <c r="F191" s="75">
        <f t="shared" si="24"/>
        <v>-85</v>
      </c>
      <c r="G191" s="75">
        <f t="shared" si="25"/>
        <v>2.5349827621172176</v>
      </c>
      <c r="H191" s="75">
        <f>VLOOKUP($A191,'Data Vlaue (Cr)'!$C:$FB,99)</f>
        <v>1188</v>
      </c>
      <c r="I191" s="75">
        <f>VLOOKUP($A191,'Data Vlaue (Cr)'!$C:$FB,100)</f>
        <v>1141</v>
      </c>
      <c r="J191" s="75">
        <f t="shared" si="26"/>
        <v>47</v>
      </c>
      <c r="K191" s="75">
        <f t="shared" si="27"/>
        <v>3.9562289562289563</v>
      </c>
      <c r="L191" s="75">
        <f>VLOOKUP($A191,'Data Vlaue (Cr)'!$C:$FB,67)</f>
        <v>321</v>
      </c>
      <c r="M191" s="75">
        <f>VLOOKUP($A191,'Data Vlaue (Cr)'!$C:$FB,68)</f>
        <v>345</v>
      </c>
      <c r="N191" s="75">
        <f t="shared" si="28"/>
        <v>-24</v>
      </c>
      <c r="O191" s="75">
        <f t="shared" si="29"/>
        <v>-7.4766355140186906</v>
      </c>
      <c r="P191" s="75">
        <f>VLOOKUP($A191,'Data Vlaue (Cr)'!$C:$FB,119)</f>
        <v>0.89</v>
      </c>
      <c r="Q191" s="75">
        <f>VLOOKUP($A191,'Data Vlaue (Cr)'!$C:$FB,122)*100</f>
        <v>3.49</v>
      </c>
      <c r="R191" s="75">
        <f>VLOOKUP($A191,'Data Vlaue (Cr)'!$C:$FB,125)</f>
        <v>0.4</v>
      </c>
      <c r="S191" s="75">
        <f>VLOOKUP($A191,'Data Vlaue (Cr)'!$C:$FB,128)*100</f>
        <v>-31.03</v>
      </c>
    </row>
    <row r="192" spans="1:19" x14ac:dyDescent="0.25">
      <c r="A192" s="96" t="str">
        <f>'Data Vlaue (Cr)'!C183</f>
        <v>SHRIRAMFIN</v>
      </c>
      <c r="B192" s="75">
        <f>VLOOKUP($A192,'Data Vlaue (Cr)'!$C:$FB,2)</f>
        <v>825</v>
      </c>
      <c r="C192" s="75">
        <f>VLOOKUP($A192,'Data Vlaue (Cr)'!$C:$FB,8)</f>
        <v>960.45</v>
      </c>
      <c r="D192" s="75">
        <f>VLOOKUP($A192,'Data Vlaue (Cr)'!$C:$FB,4)</f>
        <v>962.95</v>
      </c>
      <c r="E192" s="75">
        <f>VLOOKUP($A192,'Data Vlaue (Cr)'!$C:$FB,5)</f>
        <v>939.95</v>
      </c>
      <c r="F192" s="75">
        <f t="shared" si="24"/>
        <v>2.5</v>
      </c>
      <c r="G192" s="75">
        <f t="shared" si="25"/>
        <v>2.3884936912612282</v>
      </c>
      <c r="H192" s="75">
        <f>VLOOKUP($A192,'Data Vlaue (Cr)'!$C:$FB,99)</f>
        <v>6920</v>
      </c>
      <c r="I192" s="75">
        <f>VLOOKUP($A192,'Data Vlaue (Cr)'!$C:$FB,100)</f>
        <v>6800</v>
      </c>
      <c r="J192" s="75">
        <f t="shared" si="26"/>
        <v>120</v>
      </c>
      <c r="K192" s="75">
        <f t="shared" si="27"/>
        <v>1.7341040462427744</v>
      </c>
      <c r="L192" s="75">
        <f>VLOOKUP($A192,'Data Vlaue (Cr)'!$C:$FB,67)</f>
        <v>2800</v>
      </c>
      <c r="M192" s="75">
        <f>VLOOKUP($A192,'Data Vlaue (Cr)'!$C:$FB,68)</f>
        <v>3429</v>
      </c>
      <c r="N192" s="75">
        <f t="shared" si="28"/>
        <v>-629</v>
      </c>
      <c r="O192" s="75">
        <f t="shared" si="29"/>
        <v>-22.464285714285715</v>
      </c>
      <c r="P192" s="75">
        <f>VLOOKUP($A192,'Data Vlaue (Cr)'!$C:$FB,119)</f>
        <v>0.47</v>
      </c>
      <c r="Q192" s="75">
        <f>VLOOKUP($A192,'Data Vlaue (Cr)'!$C:$FB,122)*100</f>
        <v>-2.08</v>
      </c>
      <c r="R192" s="75">
        <f>VLOOKUP($A192,'Data Vlaue (Cr)'!$C:$FB,125)</f>
        <v>0.38</v>
      </c>
      <c r="S192" s="75">
        <f>VLOOKUP($A192,'Data Vlaue (Cr)'!$C:$FB,128)*100</f>
        <v>-29.630000000000003</v>
      </c>
    </row>
    <row r="193" spans="1:19" x14ac:dyDescent="0.25">
      <c r="A193" s="96" t="str">
        <f>'Data Vlaue (Cr)'!C184</f>
        <v>SIEMENS</v>
      </c>
      <c r="B193" s="75">
        <f>VLOOKUP($A193,'Data Vlaue (Cr)'!$C:$FB,2)</f>
        <v>175</v>
      </c>
      <c r="C193" s="75">
        <f>VLOOKUP($A193,'Data Vlaue (Cr)'!$C:$FB,8)</f>
        <v>3834.1</v>
      </c>
      <c r="D193" s="75">
        <f>VLOOKUP($A193,'Data Vlaue (Cr)'!$C:$FB,4)</f>
        <v>3835.4</v>
      </c>
      <c r="E193" s="75">
        <f>VLOOKUP($A193,'Data Vlaue (Cr)'!$C:$FB,5)</f>
        <v>3821.9</v>
      </c>
      <c r="F193" s="75">
        <f t="shared" si="24"/>
        <v>1.3000000000001819</v>
      </c>
      <c r="G193" s="75">
        <f t="shared" si="25"/>
        <v>0.35198414767690461</v>
      </c>
      <c r="H193" s="75">
        <f>VLOOKUP($A193,'Data Vlaue (Cr)'!$C:$FB,99)</f>
        <v>1742</v>
      </c>
      <c r="I193" s="75">
        <f>VLOOKUP($A193,'Data Vlaue (Cr)'!$C:$FB,100)</f>
        <v>1581</v>
      </c>
      <c r="J193" s="75">
        <f t="shared" si="26"/>
        <v>161</v>
      </c>
      <c r="K193" s="75">
        <f t="shared" si="27"/>
        <v>9.2422502870264065</v>
      </c>
      <c r="L193" s="75">
        <f>VLOOKUP($A193,'Data Vlaue (Cr)'!$C:$FB,67)</f>
        <v>2065</v>
      </c>
      <c r="M193" s="75">
        <f>VLOOKUP($A193,'Data Vlaue (Cr)'!$C:$FB,68)</f>
        <v>1019</v>
      </c>
      <c r="N193" s="75">
        <f t="shared" si="28"/>
        <v>1046</v>
      </c>
      <c r="O193" s="75">
        <f t="shared" si="29"/>
        <v>50.653753026634384</v>
      </c>
      <c r="P193" s="75">
        <f>VLOOKUP($A193,'Data Vlaue (Cr)'!$C:$FB,119)</f>
        <v>0.56000000000000005</v>
      </c>
      <c r="Q193" s="75">
        <f>VLOOKUP($A193,'Data Vlaue (Cr)'!$C:$FB,122)*100</f>
        <v>-8.2000000000000011</v>
      </c>
      <c r="R193" s="75">
        <f>VLOOKUP($A193,'Data Vlaue (Cr)'!$C:$FB,125)</f>
        <v>0.27</v>
      </c>
      <c r="S193" s="75">
        <f>VLOOKUP($A193,'Data Vlaue (Cr)'!$C:$FB,128)*100</f>
        <v>-28.95</v>
      </c>
    </row>
    <row r="194" spans="1:19" ht="13.9" customHeight="1" x14ac:dyDescent="0.25">
      <c r="A194" s="96" t="str">
        <f>'Data Vlaue (Cr)'!C185</f>
        <v>SOLARINDS</v>
      </c>
      <c r="B194" s="75">
        <f>VLOOKUP($A194,'Data Vlaue (Cr)'!$C:$FB,2)</f>
        <v>50</v>
      </c>
      <c r="C194" s="75">
        <f>VLOOKUP($A194,'Data Vlaue (Cr)'!$C:$FB,8)</f>
        <v>15459</v>
      </c>
      <c r="D194" s="75">
        <f>VLOOKUP($A194,'Data Vlaue (Cr)'!$C:$FB,4)</f>
        <v>15520</v>
      </c>
      <c r="E194" s="75">
        <f>VLOOKUP($A194,'Data Vlaue (Cr)'!$C:$FB,5)</f>
        <v>15535</v>
      </c>
      <c r="F194" s="75">
        <f t="shared" ref="F194:F214" si="30">D194-C194</f>
        <v>61</v>
      </c>
      <c r="G194" s="75">
        <f t="shared" ref="G194:G214" si="31">(D194-E194)/D194*100</f>
        <v>-9.6649484536082478E-2</v>
      </c>
      <c r="H194" s="75">
        <f>VLOOKUP($A194,'Data Vlaue (Cr)'!$C:$FB,99)</f>
        <v>1465</v>
      </c>
      <c r="I194" s="75">
        <f>VLOOKUP($A194,'Data Vlaue (Cr)'!$C:$FB,100)</f>
        <v>1462</v>
      </c>
      <c r="J194" s="75">
        <f t="shared" ref="J194:J214" si="32">H194-I194</f>
        <v>3</v>
      </c>
      <c r="K194" s="75">
        <f t="shared" ref="K194:K214" si="33">J194/H194*100</f>
        <v>0.20477815699658702</v>
      </c>
      <c r="L194" s="75">
        <f>VLOOKUP($A194,'Data Vlaue (Cr)'!$C:$FB,67)</f>
        <v>314</v>
      </c>
      <c r="M194" s="75">
        <f>VLOOKUP($A194,'Data Vlaue (Cr)'!$C:$FB,68)</f>
        <v>445</v>
      </c>
      <c r="N194" s="75">
        <f t="shared" ref="N194:N214" si="34">L194-M194</f>
        <v>-131</v>
      </c>
      <c r="O194" s="75">
        <f t="shared" ref="O194:O214" si="35">N194/L194*100</f>
        <v>-41.719745222929937</v>
      </c>
      <c r="P194" s="75">
        <f>VLOOKUP($A194,'Data Vlaue (Cr)'!$C:$FB,119)</f>
        <v>0.69</v>
      </c>
      <c r="Q194" s="75">
        <f>VLOOKUP($A194,'Data Vlaue (Cr)'!$C:$FB,122)*100</f>
        <v>-5.48</v>
      </c>
      <c r="R194" s="75">
        <f>VLOOKUP($A194,'Data Vlaue (Cr)'!$C:$FB,125)</f>
        <v>0.62</v>
      </c>
      <c r="S194" s="75">
        <f>VLOOKUP($A194,'Data Vlaue (Cr)'!$C:$FB,128)*100</f>
        <v>51.22</v>
      </c>
    </row>
    <row r="195" spans="1:19" x14ac:dyDescent="0.25">
      <c r="A195" s="96" t="str">
        <f>'Data Vlaue (Cr)'!C186</f>
        <v>SONACOMS</v>
      </c>
      <c r="B195" s="75">
        <f>VLOOKUP($A195,'Data Vlaue (Cr)'!$C:$FB,2)</f>
        <v>1225</v>
      </c>
      <c r="C195" s="75">
        <f>VLOOKUP($A195,'Data Vlaue (Cr)'!$C:$FB,8)</f>
        <v>575.45000000000005</v>
      </c>
      <c r="D195" s="75">
        <f>VLOOKUP($A195,'Data Vlaue (Cr)'!$C:$FB,4)</f>
        <v>577</v>
      </c>
      <c r="E195" s="75">
        <f>VLOOKUP($A195,'Data Vlaue (Cr)'!$C:$FB,5)</f>
        <v>609.25</v>
      </c>
      <c r="F195" s="75">
        <f t="shared" si="30"/>
        <v>1.5499999999999545</v>
      </c>
      <c r="G195" s="75">
        <f t="shared" si="31"/>
        <v>-5.5892547660311962</v>
      </c>
      <c r="H195" s="75">
        <f>VLOOKUP($A195,'Data Vlaue (Cr)'!$C:$FB,99)</f>
        <v>1341</v>
      </c>
      <c r="I195" s="75">
        <f>VLOOKUP($A195,'Data Vlaue (Cr)'!$C:$FB,100)</f>
        <v>1128</v>
      </c>
      <c r="J195" s="75">
        <f t="shared" si="32"/>
        <v>213</v>
      </c>
      <c r="K195" s="75">
        <f t="shared" si="33"/>
        <v>15.883668903803134</v>
      </c>
      <c r="L195" s="75">
        <f>VLOOKUP($A195,'Data Vlaue (Cr)'!$C:$FB,67)</f>
        <v>1882</v>
      </c>
      <c r="M195" s="75">
        <f>VLOOKUP($A195,'Data Vlaue (Cr)'!$C:$FB,68)</f>
        <v>815</v>
      </c>
      <c r="N195" s="75">
        <f t="shared" si="34"/>
        <v>1067</v>
      </c>
      <c r="O195" s="75">
        <f t="shared" si="35"/>
        <v>56.695005313496281</v>
      </c>
      <c r="P195" s="75">
        <f>VLOOKUP($A195,'Data Vlaue (Cr)'!$C:$FB,119)</f>
        <v>0.56999999999999995</v>
      </c>
      <c r="Q195" s="75">
        <f>VLOOKUP($A195,'Data Vlaue (Cr)'!$C:$FB,122)*100</f>
        <v>-25</v>
      </c>
      <c r="R195" s="75">
        <f>VLOOKUP($A195,'Data Vlaue (Cr)'!$C:$FB,125)</f>
        <v>0.6</v>
      </c>
      <c r="S195" s="75">
        <f>VLOOKUP($A195,'Data Vlaue (Cr)'!$C:$FB,128)*100</f>
        <v>17.649999999999999</v>
      </c>
    </row>
    <row r="196" spans="1:19" x14ac:dyDescent="0.25">
      <c r="A196" s="96" t="str">
        <f>'Data Vlaue (Cr)'!C187</f>
        <v>SRF</v>
      </c>
      <c r="B196" s="75">
        <f>VLOOKUP($A196,'Data Vlaue (Cr)'!$C:$FB,2)</f>
        <v>200</v>
      </c>
      <c r="C196" s="75">
        <f>VLOOKUP($A196,'Data Vlaue (Cr)'!$C:$FB,8)</f>
        <v>2551.4</v>
      </c>
      <c r="D196" s="75">
        <f>VLOOKUP($A196,'Data Vlaue (Cr)'!$C:$FB,4)</f>
        <v>2564.6999999999998</v>
      </c>
      <c r="E196" s="75">
        <f>VLOOKUP($A196,'Data Vlaue (Cr)'!$C:$FB,5)</f>
        <v>2533.8000000000002</v>
      </c>
      <c r="F196" s="75">
        <f t="shared" si="30"/>
        <v>13.299999999999727</v>
      </c>
      <c r="G196" s="75">
        <f t="shared" si="31"/>
        <v>1.2048192771084196</v>
      </c>
      <c r="H196" s="75">
        <f>VLOOKUP($A196,'Data Vlaue (Cr)'!$C:$FB,99)</f>
        <v>1402</v>
      </c>
      <c r="I196" s="75">
        <f>VLOOKUP($A196,'Data Vlaue (Cr)'!$C:$FB,100)</f>
        <v>1346</v>
      </c>
      <c r="J196" s="75">
        <f t="shared" si="32"/>
        <v>56</v>
      </c>
      <c r="K196" s="75">
        <f t="shared" si="33"/>
        <v>3.9942938659058487</v>
      </c>
      <c r="L196" s="75">
        <f>VLOOKUP($A196,'Data Vlaue (Cr)'!$C:$FB,67)</f>
        <v>569</v>
      </c>
      <c r="M196" s="75">
        <f>VLOOKUP($A196,'Data Vlaue (Cr)'!$C:$FB,68)</f>
        <v>421</v>
      </c>
      <c r="N196" s="75">
        <f t="shared" si="34"/>
        <v>148</v>
      </c>
      <c r="O196" s="75">
        <f t="shared" si="35"/>
        <v>26.010544815465732</v>
      </c>
      <c r="P196" s="75">
        <f>VLOOKUP($A196,'Data Vlaue (Cr)'!$C:$FB,119)</f>
        <v>0.83</v>
      </c>
      <c r="Q196" s="75">
        <f>VLOOKUP($A196,'Data Vlaue (Cr)'!$C:$FB,122)*100</f>
        <v>-8.7900000000000009</v>
      </c>
      <c r="R196" s="75">
        <f>VLOOKUP($A196,'Data Vlaue (Cr)'!$C:$FB,125)</f>
        <v>0.39</v>
      </c>
      <c r="S196" s="75">
        <f>VLOOKUP($A196,'Data Vlaue (Cr)'!$C:$FB,128)*100</f>
        <v>-11.360000000000001</v>
      </c>
    </row>
    <row r="197" spans="1:19" x14ac:dyDescent="0.25">
      <c r="A197" s="96" t="str">
        <f>'Data Vlaue (Cr)'!C188</f>
        <v>SUNPHARMA</v>
      </c>
      <c r="B197" s="75">
        <f>VLOOKUP($A197,'Data Vlaue (Cr)'!$C:$FB,2)</f>
        <v>350</v>
      </c>
      <c r="C197" s="75">
        <f>VLOOKUP($A197,'Data Vlaue (Cr)'!$C:$FB,8)</f>
        <v>1823.5</v>
      </c>
      <c r="D197" s="75">
        <f>VLOOKUP($A197,'Data Vlaue (Cr)'!$C:$FB,4)</f>
        <v>1828.1</v>
      </c>
      <c r="E197" s="75">
        <f>VLOOKUP($A197,'Data Vlaue (Cr)'!$C:$FB,5)</f>
        <v>1815</v>
      </c>
      <c r="F197" s="75">
        <f t="shared" si="30"/>
        <v>4.5999999999999091</v>
      </c>
      <c r="G197" s="75">
        <f t="shared" si="31"/>
        <v>0.71659099611618127</v>
      </c>
      <c r="H197" s="75">
        <f>VLOOKUP($A197,'Data Vlaue (Cr)'!$C:$FB,99)</f>
        <v>8152</v>
      </c>
      <c r="I197" s="75">
        <f>VLOOKUP($A197,'Data Vlaue (Cr)'!$C:$FB,100)</f>
        <v>7759</v>
      </c>
      <c r="J197" s="75">
        <f t="shared" si="32"/>
        <v>393</v>
      </c>
      <c r="K197" s="75">
        <f t="shared" si="33"/>
        <v>4.8209028459273799</v>
      </c>
      <c r="L197" s="75">
        <f>VLOOKUP($A197,'Data Vlaue (Cr)'!$C:$FB,67)</f>
        <v>4184</v>
      </c>
      <c r="M197" s="75">
        <f>VLOOKUP($A197,'Data Vlaue (Cr)'!$C:$FB,68)</f>
        <v>6135</v>
      </c>
      <c r="N197" s="75">
        <f t="shared" si="34"/>
        <v>-1951</v>
      </c>
      <c r="O197" s="75">
        <f t="shared" si="35"/>
        <v>-46.63001912045889</v>
      </c>
      <c r="P197" s="75">
        <f>VLOOKUP($A197,'Data Vlaue (Cr)'!$C:$FB,119)</f>
        <v>0.72</v>
      </c>
      <c r="Q197" s="75">
        <f>VLOOKUP($A197,'Data Vlaue (Cr)'!$C:$FB,122)*100</f>
        <v>-5.26</v>
      </c>
      <c r="R197" s="75">
        <f>VLOOKUP($A197,'Data Vlaue (Cr)'!$C:$FB,125)</f>
        <v>0.53</v>
      </c>
      <c r="S197" s="75">
        <f>VLOOKUP($A197,'Data Vlaue (Cr)'!$C:$FB,128)*100</f>
        <v>10.42</v>
      </c>
    </row>
    <row r="198" spans="1:19" x14ac:dyDescent="0.25">
      <c r="A198" s="96" t="str">
        <f>'Data Vlaue (Cr)'!C189</f>
        <v>SUPREMEIND</v>
      </c>
      <c r="B198" s="75">
        <f>VLOOKUP($A198,'Data Vlaue (Cr)'!$C:$FB,2)</f>
        <v>175</v>
      </c>
      <c r="C198" s="75">
        <f>VLOOKUP($A198,'Data Vlaue (Cr)'!$C:$FB,8)</f>
        <v>3620.1</v>
      </c>
      <c r="D198" s="75">
        <f>VLOOKUP($A198,'Data Vlaue (Cr)'!$C:$FB,4)</f>
        <v>3638</v>
      </c>
      <c r="E198" s="75">
        <f>VLOOKUP($A198,'Data Vlaue (Cr)'!$C:$FB,5)</f>
        <v>3632.1</v>
      </c>
      <c r="F198" s="75">
        <f t="shared" si="30"/>
        <v>17.900000000000091</v>
      </c>
      <c r="G198" s="75">
        <f t="shared" si="31"/>
        <v>0.16217702034084913</v>
      </c>
      <c r="H198" s="75">
        <f>VLOOKUP($A198,'Data Vlaue (Cr)'!$C:$FB,99)</f>
        <v>1299</v>
      </c>
      <c r="I198" s="75">
        <f>VLOOKUP($A198,'Data Vlaue (Cr)'!$C:$FB,100)</f>
        <v>1239</v>
      </c>
      <c r="J198" s="75">
        <f t="shared" si="32"/>
        <v>60</v>
      </c>
      <c r="K198" s="75">
        <f t="shared" si="33"/>
        <v>4.6189376443418011</v>
      </c>
      <c r="L198" s="75">
        <f>VLOOKUP($A198,'Data Vlaue (Cr)'!$C:$FB,67)</f>
        <v>495</v>
      </c>
      <c r="M198" s="75">
        <f>VLOOKUP($A198,'Data Vlaue (Cr)'!$C:$FB,68)</f>
        <v>585</v>
      </c>
      <c r="N198" s="75">
        <f t="shared" si="34"/>
        <v>-90</v>
      </c>
      <c r="O198" s="75">
        <f t="shared" si="35"/>
        <v>-18.181818181818183</v>
      </c>
      <c r="P198" s="75">
        <f>VLOOKUP($A198,'Data Vlaue (Cr)'!$C:$FB,119)</f>
        <v>0.45</v>
      </c>
      <c r="Q198" s="75">
        <f>VLOOKUP($A198,'Data Vlaue (Cr)'!$C:$FB,122)*100</f>
        <v>-2.17</v>
      </c>
      <c r="R198" s="75">
        <f>VLOOKUP($A198,'Data Vlaue (Cr)'!$C:$FB,125)</f>
        <v>0.41</v>
      </c>
      <c r="S198" s="75">
        <f>VLOOKUP($A198,'Data Vlaue (Cr)'!$C:$FB,128)*100</f>
        <v>-33.869999999999997</v>
      </c>
    </row>
    <row r="199" spans="1:19" x14ac:dyDescent="0.25">
      <c r="A199" s="96" t="str">
        <f>'Data Vlaue (Cr)'!C190</f>
        <v>SUZLON</v>
      </c>
      <c r="B199" s="75">
        <f>VLOOKUP($A199,'Data Vlaue (Cr)'!$C:$FB,2)</f>
        <v>9025</v>
      </c>
      <c r="C199" s="75">
        <f>VLOOKUP($A199,'Data Vlaue (Cr)'!$C:$FB,8)</f>
        <v>54.96</v>
      </c>
      <c r="D199" s="75">
        <f>VLOOKUP($A199,'Data Vlaue (Cr)'!$C:$FB,4)</f>
        <v>55.06</v>
      </c>
      <c r="E199" s="75">
        <f>VLOOKUP($A199,'Data Vlaue (Cr)'!$C:$FB,5)</f>
        <v>55.79</v>
      </c>
      <c r="F199" s="75">
        <f t="shared" si="30"/>
        <v>0.10000000000000142</v>
      </c>
      <c r="G199" s="75">
        <f t="shared" si="31"/>
        <v>-1.3258263712313783</v>
      </c>
      <c r="H199" s="75">
        <f>VLOOKUP($A199,'Data Vlaue (Cr)'!$C:$FB,99)</f>
        <v>2673</v>
      </c>
      <c r="I199" s="75">
        <f>VLOOKUP($A199,'Data Vlaue (Cr)'!$C:$FB,100)</f>
        <v>2504</v>
      </c>
      <c r="J199" s="75">
        <f t="shared" si="32"/>
        <v>169</v>
      </c>
      <c r="K199" s="75">
        <f t="shared" si="33"/>
        <v>6.3224841002618781</v>
      </c>
      <c r="L199" s="75">
        <f>VLOOKUP($A199,'Data Vlaue (Cr)'!$C:$FB,67)</f>
        <v>1353</v>
      </c>
      <c r="M199" s="75">
        <f>VLOOKUP($A199,'Data Vlaue (Cr)'!$C:$FB,68)</f>
        <v>1126</v>
      </c>
      <c r="N199" s="75">
        <f t="shared" si="34"/>
        <v>227</v>
      </c>
      <c r="O199" s="75">
        <f t="shared" si="35"/>
        <v>16.777531411677753</v>
      </c>
      <c r="P199" s="75">
        <f>VLOOKUP($A199,'Data Vlaue (Cr)'!$C:$FB,119)</f>
        <v>0.43</v>
      </c>
      <c r="Q199" s="75">
        <f>VLOOKUP($A199,'Data Vlaue (Cr)'!$C:$FB,122)*100</f>
        <v>-4.4400000000000004</v>
      </c>
      <c r="R199" s="75">
        <f>VLOOKUP($A199,'Data Vlaue (Cr)'!$C:$FB,125)</f>
        <v>0.45</v>
      </c>
      <c r="S199" s="75">
        <f>VLOOKUP($A199,'Data Vlaue (Cr)'!$C:$FB,128)*100</f>
        <v>-28.57</v>
      </c>
    </row>
    <row r="200" spans="1:19" x14ac:dyDescent="0.25">
      <c r="A200" s="96" t="str">
        <f>'Data Vlaue (Cr)'!C191</f>
        <v>SWIGGY</v>
      </c>
      <c r="B200" s="75">
        <f>VLOOKUP($A200,'Data Vlaue (Cr)'!$C:$FB,2)</f>
        <v>1300</v>
      </c>
      <c r="C200" s="75">
        <f>VLOOKUP($A200,'Data Vlaue (Cr)'!$C:$FB,8)</f>
        <v>278.8</v>
      </c>
      <c r="D200" s="75">
        <f>VLOOKUP($A200,'Data Vlaue (Cr)'!$C:$FB,4)</f>
        <v>277.8</v>
      </c>
      <c r="E200" s="75">
        <f>VLOOKUP($A200,'Data Vlaue (Cr)'!$C:$FB,5)</f>
        <v>271</v>
      </c>
      <c r="F200" s="75">
        <f t="shared" si="30"/>
        <v>-1</v>
      </c>
      <c r="G200" s="75">
        <f t="shared" si="31"/>
        <v>2.4478041756659508</v>
      </c>
      <c r="H200" s="75">
        <f>VLOOKUP($A200,'Data Vlaue (Cr)'!$C:$FB,99)</f>
        <v>1590</v>
      </c>
      <c r="I200" s="75">
        <f>VLOOKUP($A200,'Data Vlaue (Cr)'!$C:$FB,100)</f>
        <v>1520</v>
      </c>
      <c r="J200" s="75">
        <f t="shared" si="32"/>
        <v>70</v>
      </c>
      <c r="K200" s="75">
        <f t="shared" si="33"/>
        <v>4.4025157232704402</v>
      </c>
      <c r="L200" s="75">
        <f>VLOOKUP($A200,'Data Vlaue (Cr)'!$C:$FB,67)</f>
        <v>489</v>
      </c>
      <c r="M200" s="75">
        <f>VLOOKUP($A200,'Data Vlaue (Cr)'!$C:$FB,68)</f>
        <v>483</v>
      </c>
      <c r="N200" s="75">
        <f t="shared" si="34"/>
        <v>6</v>
      </c>
      <c r="O200" s="75">
        <f t="shared" si="35"/>
        <v>1.2269938650306749</v>
      </c>
      <c r="P200" s="75">
        <f>VLOOKUP($A200,'Data Vlaue (Cr)'!$C:$FB,119)</f>
        <v>0.65</v>
      </c>
      <c r="Q200" s="75">
        <f>VLOOKUP($A200,'Data Vlaue (Cr)'!$C:$FB,122)*100</f>
        <v>-7.1400000000000006</v>
      </c>
      <c r="R200" s="75">
        <f>VLOOKUP($A200,'Data Vlaue (Cr)'!$C:$FB,125)</f>
        <v>0.41</v>
      </c>
      <c r="S200" s="75">
        <f>VLOOKUP($A200,'Data Vlaue (Cr)'!$C:$FB,128)*100</f>
        <v>-37.880000000000003</v>
      </c>
    </row>
    <row r="201" spans="1:19" x14ac:dyDescent="0.25">
      <c r="A201" s="96" t="str">
        <f>'Data Vlaue (Cr)'!C192</f>
        <v>TATACONSUM</v>
      </c>
      <c r="B201" s="75">
        <f>VLOOKUP($A201,'Data Vlaue (Cr)'!$C:$FB,2)</f>
        <v>550</v>
      </c>
      <c r="C201" s="75">
        <f>VLOOKUP($A201,'Data Vlaue (Cr)'!$C:$FB,8)</f>
        <v>1160.4000000000001</v>
      </c>
      <c r="D201" s="75">
        <f>VLOOKUP($A201,'Data Vlaue (Cr)'!$C:$FB,4)</f>
        <v>1163.4000000000001</v>
      </c>
      <c r="E201" s="75">
        <f>VLOOKUP($A201,'Data Vlaue (Cr)'!$C:$FB,5)</f>
        <v>1150.0999999999999</v>
      </c>
      <c r="F201" s="75">
        <f t="shared" si="30"/>
        <v>3</v>
      </c>
      <c r="G201" s="75">
        <f t="shared" si="31"/>
        <v>1.143200962695563</v>
      </c>
      <c r="H201" s="75">
        <f>VLOOKUP($A201,'Data Vlaue (Cr)'!$C:$FB,99)</f>
        <v>1514</v>
      </c>
      <c r="I201" s="75">
        <f>VLOOKUP($A201,'Data Vlaue (Cr)'!$C:$FB,100)</f>
        <v>1452</v>
      </c>
      <c r="J201" s="75">
        <f t="shared" si="32"/>
        <v>62</v>
      </c>
      <c r="K201" s="75">
        <f t="shared" si="33"/>
        <v>4.0951122853368567</v>
      </c>
      <c r="L201" s="75">
        <f>VLOOKUP($A201,'Data Vlaue (Cr)'!$C:$FB,67)</f>
        <v>624</v>
      </c>
      <c r="M201" s="75">
        <f>VLOOKUP($A201,'Data Vlaue (Cr)'!$C:$FB,68)</f>
        <v>491</v>
      </c>
      <c r="N201" s="75">
        <f t="shared" si="34"/>
        <v>133</v>
      </c>
      <c r="O201" s="75">
        <f t="shared" si="35"/>
        <v>21.314102564102562</v>
      </c>
      <c r="P201" s="75">
        <f>VLOOKUP($A201,'Data Vlaue (Cr)'!$C:$FB,119)</f>
        <v>0.56000000000000005</v>
      </c>
      <c r="Q201" s="75">
        <f>VLOOKUP($A201,'Data Vlaue (Cr)'!$C:$FB,122)*100</f>
        <v>-9.68</v>
      </c>
      <c r="R201" s="75">
        <f>VLOOKUP($A201,'Data Vlaue (Cr)'!$C:$FB,125)</f>
        <v>0.26</v>
      </c>
      <c r="S201" s="75">
        <f>VLOOKUP($A201,'Data Vlaue (Cr)'!$C:$FB,128)*100</f>
        <v>-38.1</v>
      </c>
    </row>
    <row r="202" spans="1:19" x14ac:dyDescent="0.25">
      <c r="A202" s="96" t="str">
        <f>'Data Vlaue (Cr)'!C193</f>
        <v>TATAELXSI</v>
      </c>
      <c r="B202" s="75">
        <f>VLOOKUP($A202,'Data Vlaue (Cr)'!$C:$FB,2)</f>
        <v>100</v>
      </c>
      <c r="C202" s="75">
        <f>VLOOKUP($A202,'Data Vlaue (Cr)'!$C:$FB,8)</f>
        <v>4178.7</v>
      </c>
      <c r="D202" s="75">
        <f>VLOOKUP($A202,'Data Vlaue (Cr)'!$C:$FB,4)</f>
        <v>4171.1000000000004</v>
      </c>
      <c r="E202" s="75">
        <f>VLOOKUP($A202,'Data Vlaue (Cr)'!$C:$FB,5)</f>
        <v>4149.3999999999996</v>
      </c>
      <c r="F202" s="75">
        <f t="shared" si="30"/>
        <v>-7.5999999999994543</v>
      </c>
      <c r="G202" s="75">
        <f t="shared" si="31"/>
        <v>0.52024645776895129</v>
      </c>
      <c r="H202" s="75">
        <f>VLOOKUP($A202,'Data Vlaue (Cr)'!$C:$FB,99)</f>
        <v>1828</v>
      </c>
      <c r="I202" s="75">
        <f>VLOOKUP($A202,'Data Vlaue (Cr)'!$C:$FB,100)</f>
        <v>1727</v>
      </c>
      <c r="J202" s="75">
        <f t="shared" si="32"/>
        <v>101</v>
      </c>
      <c r="K202" s="75">
        <f t="shared" si="33"/>
        <v>5.5251641137855581</v>
      </c>
      <c r="L202" s="75">
        <f>VLOOKUP($A202,'Data Vlaue (Cr)'!$C:$FB,67)</f>
        <v>556</v>
      </c>
      <c r="M202" s="75">
        <f>VLOOKUP($A202,'Data Vlaue (Cr)'!$C:$FB,68)</f>
        <v>642</v>
      </c>
      <c r="N202" s="75">
        <f t="shared" si="34"/>
        <v>-86</v>
      </c>
      <c r="O202" s="75">
        <f t="shared" si="35"/>
        <v>-15.467625899280577</v>
      </c>
      <c r="P202" s="75">
        <f>VLOOKUP($A202,'Data Vlaue (Cr)'!$C:$FB,119)</f>
        <v>0.45</v>
      </c>
      <c r="Q202" s="75">
        <f>VLOOKUP($A202,'Data Vlaue (Cr)'!$C:$FB,122)*100</f>
        <v>0</v>
      </c>
      <c r="R202" s="75">
        <f>VLOOKUP($A202,'Data Vlaue (Cr)'!$C:$FB,125)</f>
        <v>0.33</v>
      </c>
      <c r="S202" s="75">
        <f>VLOOKUP($A202,'Data Vlaue (Cr)'!$C:$FB,128)*100</f>
        <v>-28.26</v>
      </c>
    </row>
    <row r="203" spans="1:19" x14ac:dyDescent="0.25">
      <c r="A203" s="96" t="str">
        <f>'Data Vlaue (Cr)'!C194</f>
        <v>TATAPOWER</v>
      </c>
      <c r="B203" s="75">
        <f>VLOOKUP($A203,'Data Vlaue (Cr)'!$C:$FB,2)</f>
        <v>1450</v>
      </c>
      <c r="C203" s="75">
        <f>VLOOKUP($A203,'Data Vlaue (Cr)'!$C:$FB,8)</f>
        <v>441.4</v>
      </c>
      <c r="D203" s="75">
        <f>VLOOKUP($A203,'Data Vlaue (Cr)'!$C:$FB,4)</f>
        <v>443.9</v>
      </c>
      <c r="E203" s="75">
        <f>VLOOKUP($A203,'Data Vlaue (Cr)'!$C:$FB,5)</f>
        <v>447.05</v>
      </c>
      <c r="F203" s="75">
        <f t="shared" si="30"/>
        <v>2.5</v>
      </c>
      <c r="G203" s="75">
        <f t="shared" si="31"/>
        <v>-0.7096192836224452</v>
      </c>
      <c r="H203" s="75">
        <f>VLOOKUP($A203,'Data Vlaue (Cr)'!$C:$FB,99)</f>
        <v>3925</v>
      </c>
      <c r="I203" s="75">
        <f>VLOOKUP($A203,'Data Vlaue (Cr)'!$C:$FB,100)</f>
        <v>3708</v>
      </c>
      <c r="J203" s="75">
        <f t="shared" si="32"/>
        <v>217</v>
      </c>
      <c r="K203" s="75">
        <f t="shared" si="33"/>
        <v>5.5286624203821653</v>
      </c>
      <c r="L203" s="75">
        <f>VLOOKUP($A203,'Data Vlaue (Cr)'!$C:$FB,67)</f>
        <v>1661</v>
      </c>
      <c r="M203" s="75">
        <f>VLOOKUP($A203,'Data Vlaue (Cr)'!$C:$FB,68)</f>
        <v>2044</v>
      </c>
      <c r="N203" s="75">
        <f t="shared" si="34"/>
        <v>-383</v>
      </c>
      <c r="O203" s="75">
        <f t="shared" si="35"/>
        <v>-23.058398555087297</v>
      </c>
      <c r="P203" s="75">
        <f>VLOOKUP($A203,'Data Vlaue (Cr)'!$C:$FB,119)</f>
        <v>0.64</v>
      </c>
      <c r="Q203" s="75">
        <f>VLOOKUP($A203,'Data Vlaue (Cr)'!$C:$FB,122)*100</f>
        <v>-8.57</v>
      </c>
      <c r="R203" s="75">
        <f>VLOOKUP($A203,'Data Vlaue (Cr)'!$C:$FB,125)</f>
        <v>0.32</v>
      </c>
      <c r="S203" s="75">
        <f>VLOOKUP($A203,'Data Vlaue (Cr)'!$C:$FB,128)*100</f>
        <v>-44.83</v>
      </c>
    </row>
    <row r="204" spans="1:19" x14ac:dyDescent="0.25">
      <c r="A204" s="96" t="str">
        <f>'Data Vlaue (Cr)'!C195</f>
        <v>TATASTEEL</v>
      </c>
      <c r="B204" s="75">
        <f>VLOOKUP($A204,'Data Vlaue (Cr)'!$C:$FB,2)</f>
        <v>2750</v>
      </c>
      <c r="C204" s="75">
        <f>VLOOKUP($A204,'Data Vlaue (Cr)'!$C:$FB,8)</f>
        <v>212.24</v>
      </c>
      <c r="D204" s="75">
        <f>VLOOKUP($A204,'Data Vlaue (Cr)'!$C:$FB,4)</f>
        <v>212.87</v>
      </c>
      <c r="E204" s="75">
        <f>VLOOKUP($A204,'Data Vlaue (Cr)'!$C:$FB,5)</f>
        <v>212.06</v>
      </c>
      <c r="F204" s="75">
        <f t="shared" si="30"/>
        <v>0.62999999999999545</v>
      </c>
      <c r="G204" s="75">
        <f t="shared" si="31"/>
        <v>0.38051392868887218</v>
      </c>
      <c r="H204" s="75">
        <f>VLOOKUP($A204,'Data Vlaue (Cr)'!$C:$FB,99)</f>
        <v>6778</v>
      </c>
      <c r="I204" s="75">
        <f>VLOOKUP($A204,'Data Vlaue (Cr)'!$C:$FB,100)</f>
        <v>6626</v>
      </c>
      <c r="J204" s="75">
        <f t="shared" si="32"/>
        <v>152</v>
      </c>
      <c r="K204" s="75">
        <f t="shared" si="33"/>
        <v>2.2425494246090292</v>
      </c>
      <c r="L204" s="75">
        <f>VLOOKUP($A204,'Data Vlaue (Cr)'!$C:$FB,67)</f>
        <v>2360</v>
      </c>
      <c r="M204" s="75">
        <f>VLOOKUP($A204,'Data Vlaue (Cr)'!$C:$FB,68)</f>
        <v>3527</v>
      </c>
      <c r="N204" s="75">
        <f t="shared" si="34"/>
        <v>-1167</v>
      </c>
      <c r="O204" s="75">
        <f t="shared" si="35"/>
        <v>-49.449152542372879</v>
      </c>
      <c r="P204" s="75">
        <f>VLOOKUP($A204,'Data Vlaue (Cr)'!$C:$FB,119)</f>
        <v>0.65</v>
      </c>
      <c r="Q204" s="75">
        <f>VLOOKUP($A204,'Data Vlaue (Cr)'!$C:$FB,122)*100</f>
        <v>6.5600000000000005</v>
      </c>
      <c r="R204" s="75">
        <f>VLOOKUP($A204,'Data Vlaue (Cr)'!$C:$FB,125)</f>
        <v>0.55000000000000004</v>
      </c>
      <c r="S204" s="75">
        <f>VLOOKUP($A204,'Data Vlaue (Cr)'!$C:$FB,128)*100</f>
        <v>-26.669999999999998</v>
      </c>
    </row>
    <row r="205" spans="1:19" x14ac:dyDescent="0.25">
      <c r="A205" s="96" t="str">
        <f>'Data Vlaue (Cr)'!C196</f>
        <v>TCS</v>
      </c>
      <c r="B205" s="75">
        <f>VLOOKUP($A205,'Data Vlaue (Cr)'!$C:$FB,2)</f>
        <v>175</v>
      </c>
      <c r="C205" s="75">
        <f>VLOOKUP($A205,'Data Vlaue (Cr)'!$C:$FB,8)</f>
        <v>2431.3000000000002</v>
      </c>
      <c r="D205" s="75">
        <f>VLOOKUP($A205,'Data Vlaue (Cr)'!$C:$FB,4)</f>
        <v>2421.8000000000002</v>
      </c>
      <c r="E205" s="75">
        <f>VLOOKUP($A205,'Data Vlaue (Cr)'!$C:$FB,5)</f>
        <v>2440.6</v>
      </c>
      <c r="F205" s="75">
        <f t="shared" si="30"/>
        <v>-9.5</v>
      </c>
      <c r="G205" s="75">
        <f t="shared" si="31"/>
        <v>-0.77628210421999033</v>
      </c>
      <c r="H205" s="75">
        <f>VLOOKUP($A205,'Data Vlaue (Cr)'!$C:$FB,99)</f>
        <v>13976</v>
      </c>
      <c r="I205" s="75">
        <f>VLOOKUP($A205,'Data Vlaue (Cr)'!$C:$FB,100)</f>
        <v>13530</v>
      </c>
      <c r="J205" s="75">
        <f t="shared" si="32"/>
        <v>446</v>
      </c>
      <c r="K205" s="75">
        <f t="shared" si="33"/>
        <v>3.1911848883800804</v>
      </c>
      <c r="L205" s="75">
        <f>VLOOKUP($A205,'Data Vlaue (Cr)'!$C:$FB,67)</f>
        <v>4032</v>
      </c>
      <c r="M205" s="75">
        <f>VLOOKUP($A205,'Data Vlaue (Cr)'!$C:$FB,68)</f>
        <v>4395</v>
      </c>
      <c r="N205" s="75">
        <f t="shared" si="34"/>
        <v>-363</v>
      </c>
      <c r="O205" s="75">
        <f t="shared" si="35"/>
        <v>-9.0029761904761898</v>
      </c>
      <c r="P205" s="75">
        <f>VLOOKUP($A205,'Data Vlaue (Cr)'!$C:$FB,119)</f>
        <v>0.73</v>
      </c>
      <c r="Q205" s="75">
        <f>VLOOKUP($A205,'Data Vlaue (Cr)'!$C:$FB,122)*100</f>
        <v>-9.879999999999999</v>
      </c>
      <c r="R205" s="75">
        <f>VLOOKUP($A205,'Data Vlaue (Cr)'!$C:$FB,125)</f>
        <v>0.52</v>
      </c>
      <c r="S205" s="75">
        <f>VLOOKUP($A205,'Data Vlaue (Cr)'!$C:$FB,128)*100</f>
        <v>8.33</v>
      </c>
    </row>
    <row r="206" spans="1:19" x14ac:dyDescent="0.25">
      <c r="A206" s="96" t="str">
        <f>'Data Vlaue (Cr)'!C197</f>
        <v>TECHM</v>
      </c>
      <c r="B206" s="75">
        <f>VLOOKUP($A206,'Data Vlaue (Cr)'!$C:$FB,2)</f>
        <v>600</v>
      </c>
      <c r="C206" s="75">
        <f>VLOOKUP($A206,'Data Vlaue (Cr)'!$C:$FB,8)</f>
        <v>1471.6</v>
      </c>
      <c r="D206" s="75">
        <f>VLOOKUP($A206,'Data Vlaue (Cr)'!$C:$FB,4)</f>
        <v>1467.3</v>
      </c>
      <c r="E206" s="75">
        <f>VLOOKUP($A206,'Data Vlaue (Cr)'!$C:$FB,5)</f>
        <v>1474.8</v>
      </c>
      <c r="F206" s="75">
        <f t="shared" si="30"/>
        <v>-4.2999999999999545</v>
      </c>
      <c r="G206" s="75">
        <f t="shared" si="31"/>
        <v>-0.51114291555919034</v>
      </c>
      <c r="H206" s="75">
        <f>VLOOKUP($A206,'Data Vlaue (Cr)'!$C:$FB,99)</f>
        <v>4488</v>
      </c>
      <c r="I206" s="75">
        <f>VLOOKUP($A206,'Data Vlaue (Cr)'!$C:$FB,100)</f>
        <v>4346</v>
      </c>
      <c r="J206" s="75">
        <f t="shared" si="32"/>
        <v>142</v>
      </c>
      <c r="K206" s="75">
        <f t="shared" si="33"/>
        <v>3.1639928698752229</v>
      </c>
      <c r="L206" s="75">
        <f>VLOOKUP($A206,'Data Vlaue (Cr)'!$C:$FB,67)</f>
        <v>1381</v>
      </c>
      <c r="M206" s="75">
        <f>VLOOKUP($A206,'Data Vlaue (Cr)'!$C:$FB,68)</f>
        <v>2924</v>
      </c>
      <c r="N206" s="75">
        <f t="shared" si="34"/>
        <v>-1543</v>
      </c>
      <c r="O206" s="75">
        <f t="shared" si="35"/>
        <v>-111.73062997827661</v>
      </c>
      <c r="P206" s="75">
        <f>VLOOKUP($A206,'Data Vlaue (Cr)'!$C:$FB,119)</f>
        <v>0.73</v>
      </c>
      <c r="Q206" s="75">
        <f>VLOOKUP($A206,'Data Vlaue (Cr)'!$C:$FB,122)*100</f>
        <v>-6.41</v>
      </c>
      <c r="R206" s="75">
        <f>VLOOKUP($A206,'Data Vlaue (Cr)'!$C:$FB,125)</f>
        <v>0.63</v>
      </c>
      <c r="S206" s="75">
        <f>VLOOKUP($A206,'Data Vlaue (Cr)'!$C:$FB,128)*100</f>
        <v>40</v>
      </c>
    </row>
    <row r="207" spans="1:19" x14ac:dyDescent="0.25">
      <c r="A207" s="96" t="str">
        <f>'Data Vlaue (Cr)'!C198</f>
        <v>TIINDIA</v>
      </c>
      <c r="B207" s="75">
        <f>VLOOKUP($A207,'Data Vlaue (Cr)'!$C:$FB,2)</f>
        <v>200</v>
      </c>
      <c r="C207" s="75">
        <f>VLOOKUP($A207,'Data Vlaue (Cr)'!$C:$FB,8)</f>
        <v>2906</v>
      </c>
      <c r="D207" s="75">
        <f>VLOOKUP($A207,'Data Vlaue (Cr)'!$C:$FB,4)</f>
        <v>2910.9</v>
      </c>
      <c r="E207" s="75">
        <f>VLOOKUP($A207,'Data Vlaue (Cr)'!$C:$FB,5)</f>
        <v>2965.4</v>
      </c>
      <c r="F207" s="75">
        <f t="shared" si="30"/>
        <v>4.9000000000000909</v>
      </c>
      <c r="G207" s="75">
        <f t="shared" si="31"/>
        <v>-1.872273180116115</v>
      </c>
      <c r="H207" s="75">
        <f>VLOOKUP($A207,'Data Vlaue (Cr)'!$C:$FB,99)</f>
        <v>849</v>
      </c>
      <c r="I207" s="75">
        <f>VLOOKUP($A207,'Data Vlaue (Cr)'!$C:$FB,100)</f>
        <v>829</v>
      </c>
      <c r="J207" s="75">
        <f t="shared" si="32"/>
        <v>20</v>
      </c>
      <c r="K207" s="75">
        <f t="shared" si="33"/>
        <v>2.3557126030624262</v>
      </c>
      <c r="L207" s="75">
        <f>VLOOKUP($A207,'Data Vlaue (Cr)'!$C:$FB,67)</f>
        <v>145</v>
      </c>
      <c r="M207" s="75">
        <f>VLOOKUP($A207,'Data Vlaue (Cr)'!$C:$FB,68)</f>
        <v>115</v>
      </c>
      <c r="N207" s="75">
        <f t="shared" si="34"/>
        <v>30</v>
      </c>
      <c r="O207" s="75">
        <f t="shared" si="35"/>
        <v>20.689655172413794</v>
      </c>
      <c r="P207" s="75">
        <f>VLOOKUP($A207,'Data Vlaue (Cr)'!$C:$FB,119)</f>
        <v>0.79</v>
      </c>
      <c r="Q207" s="75">
        <f>VLOOKUP($A207,'Data Vlaue (Cr)'!$C:$FB,122)*100</f>
        <v>-22.55</v>
      </c>
      <c r="R207" s="75">
        <f>VLOOKUP($A207,'Data Vlaue (Cr)'!$C:$FB,125)</f>
        <v>0.31</v>
      </c>
      <c r="S207" s="75">
        <f>VLOOKUP($A207,'Data Vlaue (Cr)'!$C:$FB,128)*100</f>
        <v>-55.069999999999993</v>
      </c>
    </row>
    <row r="208" spans="1:19" x14ac:dyDescent="0.25">
      <c r="A208" s="96" t="str">
        <f>'Data Vlaue (Cr)'!C199</f>
        <v>TITAN</v>
      </c>
      <c r="B208" s="75">
        <f>VLOOKUP($A208,'Data Vlaue (Cr)'!$C:$FB,2)</f>
        <v>175</v>
      </c>
      <c r="C208" s="75">
        <f>VLOOKUP($A208,'Data Vlaue (Cr)'!$C:$FB,8)</f>
        <v>4363</v>
      </c>
      <c r="D208" s="75">
        <f>VLOOKUP($A208,'Data Vlaue (Cr)'!$C:$FB,4)</f>
        <v>4382.3</v>
      </c>
      <c r="E208" s="75">
        <f>VLOOKUP($A208,'Data Vlaue (Cr)'!$C:$FB,5)</f>
        <v>4402.2</v>
      </c>
      <c r="F208" s="75">
        <f t="shared" si="30"/>
        <v>19.300000000000182</v>
      </c>
      <c r="G208" s="75">
        <f t="shared" si="31"/>
        <v>-0.45409944549664866</v>
      </c>
      <c r="H208" s="75">
        <f>VLOOKUP($A208,'Data Vlaue (Cr)'!$C:$FB,99)</f>
        <v>5102</v>
      </c>
      <c r="I208" s="75">
        <f>VLOOKUP($A208,'Data Vlaue (Cr)'!$C:$FB,100)</f>
        <v>4904</v>
      </c>
      <c r="J208" s="75">
        <f t="shared" si="32"/>
        <v>198</v>
      </c>
      <c r="K208" s="75">
        <f t="shared" si="33"/>
        <v>3.8808310466483733</v>
      </c>
      <c r="L208" s="75">
        <f>VLOOKUP($A208,'Data Vlaue (Cr)'!$C:$FB,67)</f>
        <v>1948</v>
      </c>
      <c r="M208" s="75">
        <f>VLOOKUP($A208,'Data Vlaue (Cr)'!$C:$FB,68)</f>
        <v>1728</v>
      </c>
      <c r="N208" s="75">
        <f t="shared" si="34"/>
        <v>220</v>
      </c>
      <c r="O208" s="75">
        <f t="shared" si="35"/>
        <v>11.293634496919918</v>
      </c>
      <c r="P208" s="75">
        <f>VLOOKUP($A208,'Data Vlaue (Cr)'!$C:$FB,119)</f>
        <v>0.84</v>
      </c>
      <c r="Q208" s="75">
        <f>VLOOKUP($A208,'Data Vlaue (Cr)'!$C:$FB,122)*100</f>
        <v>7.6899999999999995</v>
      </c>
      <c r="R208" s="75">
        <f>VLOOKUP($A208,'Data Vlaue (Cr)'!$C:$FB,125)</f>
        <v>0.7</v>
      </c>
      <c r="S208" s="75">
        <f>VLOOKUP($A208,'Data Vlaue (Cr)'!$C:$FB,128)*100</f>
        <v>-1.41</v>
      </c>
    </row>
    <row r="209" spans="1:19" x14ac:dyDescent="0.25">
      <c r="A209" s="96" t="str">
        <f>'Data Vlaue (Cr)'!C200</f>
        <v>TMPV</v>
      </c>
      <c r="B209" s="75">
        <f>VLOOKUP($A209,'Data Vlaue (Cr)'!$C:$FB,2)</f>
        <v>800</v>
      </c>
      <c r="C209" s="75">
        <f>VLOOKUP($A209,'Data Vlaue (Cr)'!$C:$FB,8)</f>
        <v>343.05</v>
      </c>
      <c r="D209" s="75">
        <f>VLOOKUP($A209,'Data Vlaue (Cr)'!$C:$FB,4)</f>
        <v>345.2</v>
      </c>
      <c r="E209" s="75">
        <f>VLOOKUP($A209,'Data Vlaue (Cr)'!$C:$FB,5)</f>
        <v>343.15</v>
      </c>
      <c r="F209" s="75">
        <f t="shared" si="30"/>
        <v>2.1499999999999773</v>
      </c>
      <c r="G209" s="75">
        <f t="shared" si="31"/>
        <v>0.59385863267671246</v>
      </c>
      <c r="H209" s="75">
        <f>VLOOKUP($A209,'Data Vlaue (Cr)'!$C:$FB,99)</f>
        <v>3724</v>
      </c>
      <c r="I209" s="75">
        <f>VLOOKUP($A209,'Data Vlaue (Cr)'!$C:$FB,100)</f>
        <v>3453</v>
      </c>
      <c r="J209" s="75">
        <f t="shared" si="32"/>
        <v>271</v>
      </c>
      <c r="K209" s="75">
        <f t="shared" si="33"/>
        <v>7.277121374865736</v>
      </c>
      <c r="L209" s="75">
        <f>VLOOKUP($A209,'Data Vlaue (Cr)'!$C:$FB,67)</f>
        <v>1593</v>
      </c>
      <c r="M209" s="75">
        <f>VLOOKUP($A209,'Data Vlaue (Cr)'!$C:$FB,68)</f>
        <v>2308</v>
      </c>
      <c r="N209" s="75">
        <f t="shared" si="34"/>
        <v>-715</v>
      </c>
      <c r="O209" s="75">
        <f t="shared" si="35"/>
        <v>-44.883866917765225</v>
      </c>
      <c r="P209" s="75">
        <f>VLOOKUP($A209,'Data Vlaue (Cr)'!$C:$FB,119)</f>
        <v>0.69</v>
      </c>
      <c r="Q209" s="75">
        <f>VLOOKUP($A209,'Data Vlaue (Cr)'!$C:$FB,122)*100</f>
        <v>-19.77</v>
      </c>
      <c r="R209" s="75">
        <f>VLOOKUP($A209,'Data Vlaue (Cr)'!$C:$FB,125)</f>
        <v>0.34</v>
      </c>
      <c r="S209" s="75">
        <f>VLOOKUP($A209,'Data Vlaue (Cr)'!$C:$FB,128)*100</f>
        <v>-30.61</v>
      </c>
    </row>
    <row r="210" spans="1:19" x14ac:dyDescent="0.25">
      <c r="A210" s="96" t="str">
        <f>'Data Vlaue (Cr)'!C201</f>
        <v>TORNTPHARM</v>
      </c>
      <c r="B210" s="75">
        <f>VLOOKUP($A210,'Data Vlaue (Cr)'!$C:$FB,2)</f>
        <v>125</v>
      </c>
      <c r="C210" s="75">
        <f>VLOOKUP($A210,'Data Vlaue (Cr)'!$C:$FB,8)</f>
        <v>4251.8</v>
      </c>
      <c r="D210" s="75">
        <f>VLOOKUP($A210,'Data Vlaue (Cr)'!$C:$FB,4)</f>
        <v>4276.8999999999996</v>
      </c>
      <c r="E210" s="75">
        <f>VLOOKUP($A210,'Data Vlaue (Cr)'!$C:$FB,5)</f>
        <v>4203.5</v>
      </c>
      <c r="F210" s="75">
        <f t="shared" si="30"/>
        <v>25.099999999999454</v>
      </c>
      <c r="G210" s="75">
        <f t="shared" si="31"/>
        <v>1.7161963104117384</v>
      </c>
      <c r="H210" s="75">
        <f>VLOOKUP($A210,'Data Vlaue (Cr)'!$C:$FB,99)</f>
        <v>1346</v>
      </c>
      <c r="I210" s="75">
        <f>VLOOKUP($A210,'Data Vlaue (Cr)'!$C:$FB,100)</f>
        <v>1309</v>
      </c>
      <c r="J210" s="75">
        <f t="shared" si="32"/>
        <v>37</v>
      </c>
      <c r="K210" s="75">
        <f t="shared" si="33"/>
        <v>2.7488855869242199</v>
      </c>
      <c r="L210" s="75">
        <f>VLOOKUP($A210,'Data Vlaue (Cr)'!$C:$FB,67)</f>
        <v>353</v>
      </c>
      <c r="M210" s="75">
        <f>VLOOKUP($A210,'Data Vlaue (Cr)'!$C:$FB,68)</f>
        <v>241</v>
      </c>
      <c r="N210" s="75">
        <f t="shared" si="34"/>
        <v>112</v>
      </c>
      <c r="O210" s="75">
        <f t="shared" si="35"/>
        <v>31.728045325779036</v>
      </c>
      <c r="P210" s="75">
        <f>VLOOKUP($A210,'Data Vlaue (Cr)'!$C:$FB,119)</f>
        <v>0.56000000000000005</v>
      </c>
      <c r="Q210" s="75">
        <f>VLOOKUP($A210,'Data Vlaue (Cr)'!$C:$FB,122)*100</f>
        <v>-29.110000000000003</v>
      </c>
      <c r="R210" s="75">
        <f>VLOOKUP($A210,'Data Vlaue (Cr)'!$C:$FB,125)</f>
        <v>0.23</v>
      </c>
      <c r="S210" s="75">
        <f>VLOOKUP($A210,'Data Vlaue (Cr)'!$C:$FB,128)*100</f>
        <v>-62.9</v>
      </c>
    </row>
    <row r="211" spans="1:19" x14ac:dyDescent="0.25">
      <c r="A211" s="96" t="str">
        <f>'Data Vlaue (Cr)'!C202</f>
        <v>TRENT</v>
      </c>
      <c r="B211" s="75">
        <f>VLOOKUP($A211,'Data Vlaue (Cr)'!$C:$FB,2)</f>
        <v>100</v>
      </c>
      <c r="C211" s="75">
        <f>VLOOKUP($A211,'Data Vlaue (Cr)'!$C:$FB,8)</f>
        <v>4158.5</v>
      </c>
      <c r="D211" s="75">
        <f>VLOOKUP($A211,'Data Vlaue (Cr)'!$C:$FB,4)</f>
        <v>4181.8</v>
      </c>
      <c r="E211" s="75">
        <f>VLOOKUP($A211,'Data Vlaue (Cr)'!$C:$FB,5)</f>
        <v>4166.3999999999996</v>
      </c>
      <c r="F211" s="75">
        <f t="shared" si="30"/>
        <v>23.300000000000182</v>
      </c>
      <c r="G211" s="75">
        <f t="shared" si="31"/>
        <v>0.36826247070640744</v>
      </c>
      <c r="H211" s="75">
        <f>VLOOKUP($A211,'Data Vlaue (Cr)'!$C:$FB,99)</f>
        <v>4917</v>
      </c>
      <c r="I211" s="75">
        <f>VLOOKUP($A211,'Data Vlaue (Cr)'!$C:$FB,100)</f>
        <v>4815</v>
      </c>
      <c r="J211" s="75">
        <f t="shared" si="32"/>
        <v>102</v>
      </c>
      <c r="K211" s="75">
        <f t="shared" si="33"/>
        <v>2.0744356314826113</v>
      </c>
      <c r="L211" s="75">
        <f>VLOOKUP($A211,'Data Vlaue (Cr)'!$C:$FB,67)</f>
        <v>2054</v>
      </c>
      <c r="M211" s="75">
        <f>VLOOKUP($A211,'Data Vlaue (Cr)'!$C:$FB,68)</f>
        <v>2032</v>
      </c>
      <c r="N211" s="75">
        <f t="shared" si="34"/>
        <v>22</v>
      </c>
      <c r="O211" s="75">
        <f t="shared" si="35"/>
        <v>1.071080817916261</v>
      </c>
      <c r="P211" s="75">
        <f>VLOOKUP($A211,'Data Vlaue (Cr)'!$C:$FB,119)</f>
        <v>0.4</v>
      </c>
      <c r="Q211" s="75">
        <f>VLOOKUP($A211,'Data Vlaue (Cr)'!$C:$FB,122)*100</f>
        <v>-4.7600000000000007</v>
      </c>
      <c r="R211" s="75">
        <f>VLOOKUP($A211,'Data Vlaue (Cr)'!$C:$FB,125)</f>
        <v>0.34</v>
      </c>
      <c r="S211" s="75">
        <f>VLOOKUP($A211,'Data Vlaue (Cr)'!$C:$FB,128)*100</f>
        <v>-29.17</v>
      </c>
    </row>
    <row r="212" spans="1:19" x14ac:dyDescent="0.25">
      <c r="A212" s="96" t="str">
        <f>'Data Vlaue (Cr)'!C203</f>
        <v>TVSMOTOR</v>
      </c>
      <c r="B212" s="75">
        <f>VLOOKUP($A212,'Data Vlaue (Cr)'!$C:$FB,2)</f>
        <v>175</v>
      </c>
      <c r="C212" s="75">
        <f>VLOOKUP($A212,'Data Vlaue (Cr)'!$C:$FB,8)</f>
        <v>3495.5</v>
      </c>
      <c r="D212" s="75">
        <f>VLOOKUP($A212,'Data Vlaue (Cr)'!$C:$FB,4)</f>
        <v>3507.7</v>
      </c>
      <c r="E212" s="75">
        <f>VLOOKUP($A212,'Data Vlaue (Cr)'!$C:$FB,5)</f>
        <v>3514.4</v>
      </c>
      <c r="F212" s="75">
        <f t="shared" si="30"/>
        <v>12.199999999999818</v>
      </c>
      <c r="G212" s="75">
        <f t="shared" si="31"/>
        <v>-0.19100835305186512</v>
      </c>
      <c r="H212" s="75">
        <f>VLOOKUP($A212,'Data Vlaue (Cr)'!$C:$FB,99)</f>
        <v>3892</v>
      </c>
      <c r="I212" s="75">
        <f>VLOOKUP($A212,'Data Vlaue (Cr)'!$C:$FB,100)</f>
        <v>3739</v>
      </c>
      <c r="J212" s="75">
        <f t="shared" si="32"/>
        <v>153</v>
      </c>
      <c r="K212" s="75">
        <f t="shared" si="33"/>
        <v>3.9311408016443989</v>
      </c>
      <c r="L212" s="75">
        <f>VLOOKUP($A212,'Data Vlaue (Cr)'!$C:$FB,67)</f>
        <v>1648</v>
      </c>
      <c r="M212" s="75">
        <f>VLOOKUP($A212,'Data Vlaue (Cr)'!$C:$FB,68)</f>
        <v>1676</v>
      </c>
      <c r="N212" s="75">
        <f t="shared" si="34"/>
        <v>-28</v>
      </c>
      <c r="O212" s="75">
        <f t="shared" si="35"/>
        <v>-1.6990291262135921</v>
      </c>
      <c r="P212" s="75">
        <f>VLOOKUP($A212,'Data Vlaue (Cr)'!$C:$FB,119)</f>
        <v>0.61</v>
      </c>
      <c r="Q212" s="75">
        <f>VLOOKUP($A212,'Data Vlaue (Cr)'!$C:$FB,122)*100</f>
        <v>-11.59</v>
      </c>
      <c r="R212" s="75">
        <f>VLOOKUP($A212,'Data Vlaue (Cr)'!$C:$FB,125)</f>
        <v>0.36</v>
      </c>
      <c r="S212" s="75">
        <f>VLOOKUP($A212,'Data Vlaue (Cr)'!$C:$FB,128)*100</f>
        <v>-50</v>
      </c>
    </row>
    <row r="213" spans="1:19" x14ac:dyDescent="0.25">
      <c r="A213" s="96" t="str">
        <f>'Data Vlaue (Cr)'!C204</f>
        <v>ULTRACEMCO</v>
      </c>
      <c r="B213" s="75">
        <f>VLOOKUP($A213,'Data Vlaue (Cr)'!$C:$FB,2)</f>
        <v>50</v>
      </c>
      <c r="C213" s="75">
        <f>VLOOKUP($A213,'Data Vlaue (Cr)'!$C:$FB,8)</f>
        <v>11758</v>
      </c>
      <c r="D213" s="75">
        <f>VLOOKUP($A213,'Data Vlaue (Cr)'!$C:$FB,4)</f>
        <v>11820</v>
      </c>
      <c r="E213" s="75">
        <f>VLOOKUP($A213,'Data Vlaue (Cr)'!$C:$FB,5)</f>
        <v>11655</v>
      </c>
      <c r="F213" s="75">
        <f t="shared" si="30"/>
        <v>62</v>
      </c>
      <c r="G213" s="75">
        <f t="shared" si="31"/>
        <v>1.3959390862944163</v>
      </c>
      <c r="H213" s="75">
        <f>VLOOKUP($A213,'Data Vlaue (Cr)'!$C:$FB,99)</f>
        <v>5254</v>
      </c>
      <c r="I213" s="75">
        <f>VLOOKUP($A213,'Data Vlaue (Cr)'!$C:$FB,100)</f>
        <v>5261</v>
      </c>
      <c r="J213" s="75">
        <f t="shared" si="32"/>
        <v>-7</v>
      </c>
      <c r="K213" s="75">
        <f t="shared" si="33"/>
        <v>-0.13323182337266842</v>
      </c>
      <c r="L213" s="75">
        <f>VLOOKUP($A213,'Data Vlaue (Cr)'!$C:$FB,67)</f>
        <v>3582</v>
      </c>
      <c r="M213" s="75">
        <f>VLOOKUP($A213,'Data Vlaue (Cr)'!$C:$FB,68)</f>
        <v>3686</v>
      </c>
      <c r="N213" s="75">
        <f t="shared" si="34"/>
        <v>-104</v>
      </c>
      <c r="O213" s="75">
        <f t="shared" si="35"/>
        <v>-2.9034059184812953</v>
      </c>
      <c r="P213" s="75">
        <f>VLOOKUP($A213,'Data Vlaue (Cr)'!$C:$FB,119)</f>
        <v>0.43</v>
      </c>
      <c r="Q213" s="75">
        <f>VLOOKUP($A213,'Data Vlaue (Cr)'!$C:$FB,122)*100</f>
        <v>2.3800000000000003</v>
      </c>
      <c r="R213" s="75">
        <f>VLOOKUP($A213,'Data Vlaue (Cr)'!$C:$FB,125)</f>
        <v>0.42</v>
      </c>
      <c r="S213" s="75">
        <f>VLOOKUP($A213,'Data Vlaue (Cr)'!$C:$FB,128)*100</f>
        <v>-23.64</v>
      </c>
    </row>
    <row r="214" spans="1:19" x14ac:dyDescent="0.25">
      <c r="A214" s="96" t="str">
        <f>'Data Vlaue (Cr)'!C205</f>
        <v>UNIONBANK</v>
      </c>
      <c r="B214" s="75">
        <f>VLOOKUP($A214,'Data Vlaue (Cr)'!$C:$FB,2)</f>
        <v>4425</v>
      </c>
      <c r="C214" s="75">
        <f>VLOOKUP($A214,'Data Vlaue (Cr)'!$C:$FB,8)</f>
        <v>163.77000000000001</v>
      </c>
      <c r="D214" s="75">
        <f>VLOOKUP($A214,'Data Vlaue (Cr)'!$C:$FB,4)</f>
        <v>164.7</v>
      </c>
      <c r="E214" s="75">
        <f>VLOOKUP($A214,'Data Vlaue (Cr)'!$C:$FB,5)</f>
        <v>166.97</v>
      </c>
      <c r="F214" s="75">
        <f t="shared" si="30"/>
        <v>0.9299999999999784</v>
      </c>
      <c r="G214" s="75">
        <f t="shared" si="31"/>
        <v>-1.3782635094110567</v>
      </c>
      <c r="H214" s="75">
        <f>VLOOKUP($A214,'Data Vlaue (Cr)'!$C:$FB,99)</f>
        <v>3872</v>
      </c>
      <c r="I214" s="75">
        <f>VLOOKUP($A214,'Data Vlaue (Cr)'!$C:$FB,100)</f>
        <v>3664</v>
      </c>
      <c r="J214" s="75">
        <f t="shared" si="32"/>
        <v>208</v>
      </c>
      <c r="K214" s="75">
        <f t="shared" si="33"/>
        <v>5.3719008264462813</v>
      </c>
      <c r="L214" s="75">
        <f>VLOOKUP($A214,'Data Vlaue (Cr)'!$C:$FB,67)</f>
        <v>1229</v>
      </c>
      <c r="M214" s="75">
        <f>VLOOKUP($A214,'Data Vlaue (Cr)'!$C:$FB,68)</f>
        <v>1801</v>
      </c>
      <c r="N214" s="75">
        <f t="shared" si="34"/>
        <v>-572</v>
      </c>
      <c r="O214" s="75">
        <f t="shared" si="35"/>
        <v>-46.541903986981289</v>
      </c>
      <c r="P214" s="75">
        <f>VLOOKUP($A214,'Data Vlaue (Cr)'!$C:$FB,119)</f>
        <v>0.51</v>
      </c>
      <c r="Q214" s="75">
        <f>VLOOKUP($A214,'Data Vlaue (Cr)'!$C:$FB,122)*100</f>
        <v>-10.530000000000001</v>
      </c>
      <c r="R214" s="75">
        <f>VLOOKUP($A214,'Data Vlaue (Cr)'!$C:$FB,125)</f>
        <v>0.32</v>
      </c>
      <c r="S214" s="75">
        <f>VLOOKUP($A214,'Data Vlaue (Cr)'!$C:$FB,128)*100</f>
        <v>-39.619999999999997</v>
      </c>
    </row>
    <row r="215" spans="1:19" x14ac:dyDescent="0.25">
      <c r="A215" s="96" t="str">
        <f>'Data Vlaue (Cr)'!C206</f>
        <v>UNITDSPR</v>
      </c>
      <c r="B215" s="75">
        <f>VLOOKUP($A215,'Data Vlaue (Cr)'!$C:$FB,2)</f>
        <v>400</v>
      </c>
      <c r="C215" s="75">
        <f>VLOOKUP($A215,'Data Vlaue (Cr)'!$C:$FB,8)</f>
        <v>1321.7</v>
      </c>
      <c r="D215" s="75">
        <f>VLOOKUP($A215,'Data Vlaue (Cr)'!$C:$FB,4)</f>
        <v>1328.9</v>
      </c>
      <c r="E215" s="75">
        <f>VLOOKUP($A215,'Data Vlaue (Cr)'!$C:$FB,5)</f>
        <v>1333.6</v>
      </c>
      <c r="F215" s="75">
        <f t="shared" ref="F215:F221" si="36">D215-C215</f>
        <v>7.2000000000000455</v>
      </c>
      <c r="G215" s="75">
        <f t="shared" ref="G215:G221" si="37">(D215-E215)/D215*100</f>
        <v>-0.35367597260891098</v>
      </c>
      <c r="H215" s="75">
        <f>VLOOKUP($A215,'Data Vlaue (Cr)'!$C:$FB,99)</f>
        <v>2155</v>
      </c>
      <c r="I215" s="75">
        <f>VLOOKUP($A215,'Data Vlaue (Cr)'!$C:$FB,100)</f>
        <v>2081</v>
      </c>
      <c r="J215" s="75">
        <f t="shared" ref="J215:J221" si="38">H215-I215</f>
        <v>74</v>
      </c>
      <c r="K215" s="75">
        <f t="shared" ref="K215:K221" si="39">J215/H215*100</f>
        <v>3.4338747099767981</v>
      </c>
      <c r="L215" s="75">
        <f>VLOOKUP($A215,'Data Vlaue (Cr)'!$C:$FB,67)</f>
        <v>316</v>
      </c>
      <c r="M215" s="75">
        <f>VLOOKUP($A215,'Data Vlaue (Cr)'!$C:$FB,68)</f>
        <v>449</v>
      </c>
      <c r="N215" s="75">
        <f t="shared" ref="N215:N221" si="40">L215-M215</f>
        <v>-133</v>
      </c>
      <c r="O215" s="75">
        <f t="shared" ref="O215:O221" si="41">N215/L215*100</f>
        <v>-42.088607594936711</v>
      </c>
      <c r="P215" s="75">
        <f>VLOOKUP($A215,'Data Vlaue (Cr)'!$C:$FB,119)</f>
        <v>0.68</v>
      </c>
      <c r="Q215" s="75">
        <f>VLOOKUP($A215,'Data Vlaue (Cr)'!$C:$FB,122)*100</f>
        <v>-5.56</v>
      </c>
      <c r="R215" s="75">
        <f>VLOOKUP($A215,'Data Vlaue (Cr)'!$C:$FB,125)</f>
        <v>0.28999999999999998</v>
      </c>
      <c r="S215" s="75">
        <f>VLOOKUP($A215,'Data Vlaue (Cr)'!$C:$FB,128)*100</f>
        <v>-27.500000000000004</v>
      </c>
    </row>
    <row r="216" spans="1:19" x14ac:dyDescent="0.25">
      <c r="A216" s="96" t="str">
        <f>'Data Vlaue (Cr)'!C207</f>
        <v>UNOMINDA</v>
      </c>
      <c r="B216" s="75">
        <f>VLOOKUP($A216,'Data Vlaue (Cr)'!$C:$FB,2)</f>
        <v>550</v>
      </c>
      <c r="C216" s="75">
        <f>VLOOKUP($A216,'Data Vlaue (Cr)'!$C:$FB,8)</f>
        <v>1109.8</v>
      </c>
      <c r="D216" s="75">
        <f>VLOOKUP($A216,'Data Vlaue (Cr)'!$C:$FB,4)</f>
        <v>1116.0999999999999</v>
      </c>
      <c r="E216" s="75">
        <f>VLOOKUP($A216,'Data Vlaue (Cr)'!$C:$FB,5)</f>
        <v>1119.9000000000001</v>
      </c>
      <c r="F216" s="75">
        <f t="shared" si="36"/>
        <v>6.2999999999999545</v>
      </c>
      <c r="G216" s="75">
        <f t="shared" si="37"/>
        <v>-0.34047128393514758</v>
      </c>
      <c r="H216" s="75">
        <f>VLOOKUP($A216,'Data Vlaue (Cr)'!$C:$FB,99)</f>
        <v>648</v>
      </c>
      <c r="I216" s="75">
        <f>VLOOKUP($A216,'Data Vlaue (Cr)'!$C:$FB,100)</f>
        <v>620</v>
      </c>
      <c r="J216" s="75">
        <f t="shared" si="38"/>
        <v>28</v>
      </c>
      <c r="K216" s="75">
        <f t="shared" si="39"/>
        <v>4.3209876543209873</v>
      </c>
      <c r="L216" s="75">
        <f>VLOOKUP($A216,'Data Vlaue (Cr)'!$C:$FB,67)</f>
        <v>166</v>
      </c>
      <c r="M216" s="75">
        <f>VLOOKUP($A216,'Data Vlaue (Cr)'!$C:$FB,68)</f>
        <v>109</v>
      </c>
      <c r="N216" s="75">
        <f t="shared" si="40"/>
        <v>57</v>
      </c>
      <c r="O216" s="75">
        <f t="shared" si="41"/>
        <v>34.337349397590359</v>
      </c>
      <c r="P216" s="75">
        <f>VLOOKUP($A216,'Data Vlaue (Cr)'!$C:$FB,119)</f>
        <v>0.46</v>
      </c>
      <c r="Q216" s="75">
        <f>VLOOKUP($A216,'Data Vlaue (Cr)'!$C:$FB,122)*100</f>
        <v>-2.13</v>
      </c>
      <c r="R216" s="75">
        <f>VLOOKUP($A216,'Data Vlaue (Cr)'!$C:$FB,125)</f>
        <v>0.31</v>
      </c>
      <c r="S216" s="75">
        <f>VLOOKUP($A216,'Data Vlaue (Cr)'!$C:$FB,128)*100</f>
        <v>10.71</v>
      </c>
    </row>
    <row r="217" spans="1:19" x14ac:dyDescent="0.25">
      <c r="A217" s="96" t="str">
        <f>'Data Vlaue (Cr)'!C208</f>
        <v>UPL</v>
      </c>
      <c r="B217" s="75">
        <f>VLOOKUP($A217,'Data Vlaue (Cr)'!$C:$FB,2)</f>
        <v>1355</v>
      </c>
      <c r="C217" s="75">
        <f>VLOOKUP($A217,'Data Vlaue (Cr)'!$C:$FB,8)</f>
        <v>643.35</v>
      </c>
      <c r="D217" s="75">
        <f>VLOOKUP($A217,'Data Vlaue (Cr)'!$C:$FB,4)</f>
        <v>647.54999999999995</v>
      </c>
      <c r="E217" s="75">
        <f>VLOOKUP($A217,'Data Vlaue (Cr)'!$C:$FB,5)</f>
        <v>646</v>
      </c>
      <c r="F217" s="75">
        <f t="shared" si="36"/>
        <v>4.1999999999999318</v>
      </c>
      <c r="G217" s="75">
        <f t="shared" si="37"/>
        <v>0.23936375569453394</v>
      </c>
      <c r="H217" s="75">
        <f>VLOOKUP($A217,'Data Vlaue (Cr)'!$C:$FB,99)</f>
        <v>2358</v>
      </c>
      <c r="I217" s="75">
        <f>VLOOKUP($A217,'Data Vlaue (Cr)'!$C:$FB,100)</f>
        <v>2330</v>
      </c>
      <c r="J217" s="75">
        <f t="shared" si="38"/>
        <v>28</v>
      </c>
      <c r="K217" s="75">
        <f t="shared" si="39"/>
        <v>1.1874469889737065</v>
      </c>
      <c r="L217" s="75">
        <f>VLOOKUP($A217,'Data Vlaue (Cr)'!$C:$FB,67)</f>
        <v>388</v>
      </c>
      <c r="M217" s="75">
        <f>VLOOKUP($A217,'Data Vlaue (Cr)'!$C:$FB,68)</f>
        <v>338</v>
      </c>
      <c r="N217" s="75">
        <f t="shared" si="40"/>
        <v>50</v>
      </c>
      <c r="O217" s="75">
        <f t="shared" si="41"/>
        <v>12.886597938144329</v>
      </c>
      <c r="P217" s="75">
        <f>VLOOKUP($A217,'Data Vlaue (Cr)'!$C:$FB,119)</f>
        <v>0.74</v>
      </c>
      <c r="Q217" s="75">
        <f>VLOOKUP($A217,'Data Vlaue (Cr)'!$C:$FB,122)*100</f>
        <v>-6.3299999999999992</v>
      </c>
      <c r="R217" s="75">
        <f>VLOOKUP($A217,'Data Vlaue (Cr)'!$C:$FB,125)</f>
        <v>0.44</v>
      </c>
      <c r="S217" s="75">
        <f>VLOOKUP($A217,'Data Vlaue (Cr)'!$C:$FB,128)*100</f>
        <v>-10.199999999999999</v>
      </c>
    </row>
    <row r="218" spans="1:19" x14ac:dyDescent="0.25">
      <c r="A218" s="96" t="str">
        <f>'Data Vlaue (Cr)'!C209</f>
        <v>VBL</v>
      </c>
      <c r="B218" s="75">
        <f>VLOOKUP($A218,'Data Vlaue (Cr)'!$C:$FB,2)</f>
        <v>1125</v>
      </c>
      <c r="C218" s="75">
        <f>VLOOKUP($A218,'Data Vlaue (Cr)'!$C:$FB,8)</f>
        <v>506.75</v>
      </c>
      <c r="D218" s="75">
        <f>VLOOKUP($A218,'Data Vlaue (Cr)'!$C:$FB,4)</f>
        <v>509.65</v>
      </c>
      <c r="E218" s="75">
        <f>VLOOKUP($A218,'Data Vlaue (Cr)'!$C:$FB,5)</f>
        <v>516.79999999999995</v>
      </c>
      <c r="F218" s="75">
        <f t="shared" si="36"/>
        <v>2.8999999999999773</v>
      </c>
      <c r="G218" s="75">
        <f t="shared" si="37"/>
        <v>-1.4029235750024482</v>
      </c>
      <c r="H218" s="75">
        <f>VLOOKUP($A218,'Data Vlaue (Cr)'!$C:$FB,99)</f>
        <v>3367</v>
      </c>
      <c r="I218" s="75">
        <f>VLOOKUP($A218,'Data Vlaue (Cr)'!$C:$FB,100)</f>
        <v>3321</v>
      </c>
      <c r="J218" s="75">
        <f t="shared" si="38"/>
        <v>46</v>
      </c>
      <c r="K218" s="75">
        <f t="shared" si="39"/>
        <v>1.3662013662013661</v>
      </c>
      <c r="L218" s="75">
        <f>VLOOKUP($A218,'Data Vlaue (Cr)'!$C:$FB,67)</f>
        <v>1002</v>
      </c>
      <c r="M218" s="75">
        <f>VLOOKUP($A218,'Data Vlaue (Cr)'!$C:$FB,68)</f>
        <v>1129</v>
      </c>
      <c r="N218" s="75">
        <f t="shared" si="40"/>
        <v>-127</v>
      </c>
      <c r="O218" s="75">
        <f t="shared" si="41"/>
        <v>-12.674650698602793</v>
      </c>
      <c r="P218" s="75">
        <f>VLOOKUP($A218,'Data Vlaue (Cr)'!$C:$FB,119)</f>
        <v>0.56999999999999995</v>
      </c>
      <c r="Q218" s="75">
        <f>VLOOKUP($A218,'Data Vlaue (Cr)'!$C:$FB,122)*100</f>
        <v>5.56</v>
      </c>
      <c r="R218" s="75">
        <f>VLOOKUP($A218,'Data Vlaue (Cr)'!$C:$FB,125)</f>
        <v>0.44</v>
      </c>
      <c r="S218" s="75">
        <f>VLOOKUP($A218,'Data Vlaue (Cr)'!$C:$FB,128)*100</f>
        <v>-35.29</v>
      </c>
    </row>
    <row r="219" spans="1:19" x14ac:dyDescent="0.25">
      <c r="A219" s="96" t="str">
        <f>'Data Vlaue (Cr)'!C210</f>
        <v>VEDL</v>
      </c>
      <c r="B219" s="75">
        <f>VLOOKUP($A219,'Data Vlaue (Cr)'!$C:$FB,2)</f>
        <v>1150</v>
      </c>
      <c r="C219" s="75">
        <f>VLOOKUP($A219,'Data Vlaue (Cr)'!$C:$FB,8)</f>
        <v>294.64999999999998</v>
      </c>
      <c r="D219" s="75">
        <f>VLOOKUP($A219,'Data Vlaue (Cr)'!$C:$FB,4)</f>
        <v>296</v>
      </c>
      <c r="E219" s="75">
        <f>VLOOKUP($A219,'Data Vlaue (Cr)'!$C:$FB,5)</f>
        <v>273.2</v>
      </c>
      <c r="F219" s="75">
        <f t="shared" si="36"/>
        <v>1.3500000000000227</v>
      </c>
      <c r="G219" s="75">
        <f t="shared" si="37"/>
        <v>7.7027027027027062</v>
      </c>
      <c r="H219" s="75">
        <f>VLOOKUP($A219,'Data Vlaue (Cr)'!$C:$FB,99)</f>
        <v>1760</v>
      </c>
      <c r="I219" s="75">
        <f>VLOOKUP($A219,'Data Vlaue (Cr)'!$C:$FB,100)</f>
        <v>1110</v>
      </c>
      <c r="J219" s="75">
        <f t="shared" si="38"/>
        <v>650</v>
      </c>
      <c r="K219" s="75">
        <f t="shared" si="39"/>
        <v>36.93181818181818</v>
      </c>
      <c r="L219" s="75">
        <f>VLOOKUP($A219,'Data Vlaue (Cr)'!$C:$FB,67)</f>
        <v>6830</v>
      </c>
      <c r="M219" s="75">
        <f>VLOOKUP($A219,'Data Vlaue (Cr)'!$C:$FB,68)</f>
        <v>3114</v>
      </c>
      <c r="N219" s="75">
        <f t="shared" si="40"/>
        <v>3716</v>
      </c>
      <c r="O219" s="75">
        <f t="shared" si="41"/>
        <v>54.407027818448029</v>
      </c>
      <c r="P219" s="75">
        <f>VLOOKUP($A219,'Data Vlaue (Cr)'!$C:$FB,119)</f>
        <v>0.5</v>
      </c>
      <c r="Q219" s="75">
        <f>VLOOKUP($A219,'Data Vlaue (Cr)'!$C:$FB,122)*100</f>
        <v>16.28</v>
      </c>
      <c r="R219" s="75">
        <f>VLOOKUP($A219,'Data Vlaue (Cr)'!$C:$FB,125)</f>
        <v>0.3</v>
      </c>
      <c r="S219" s="75">
        <f>VLOOKUP($A219,'Data Vlaue (Cr)'!$C:$FB,128)*100</f>
        <v>-47.370000000000005</v>
      </c>
    </row>
    <row r="220" spans="1:19" x14ac:dyDescent="0.25">
      <c r="A220" s="96" t="str">
        <f>'Data Vlaue (Cr)'!C211</f>
        <v>VMM</v>
      </c>
      <c r="B220" s="75">
        <f>VLOOKUP($A220,'Data Vlaue (Cr)'!$C:$FB,2)</f>
        <v>4850</v>
      </c>
      <c r="C220" s="75">
        <f>VLOOKUP($A220,'Data Vlaue (Cr)'!$C:$FB,8)</f>
        <v>125.29</v>
      </c>
      <c r="D220" s="75">
        <f>VLOOKUP($A220,'Data Vlaue (Cr)'!$C:$FB,4)</f>
        <v>126.2</v>
      </c>
      <c r="E220" s="75">
        <f>VLOOKUP($A220,'Data Vlaue (Cr)'!$C:$FB,5)</f>
        <v>123.03</v>
      </c>
      <c r="F220" s="75">
        <f t="shared" si="36"/>
        <v>0.90999999999999659</v>
      </c>
      <c r="G220" s="75">
        <f t="shared" si="37"/>
        <v>2.5118858954041219</v>
      </c>
      <c r="H220" s="75">
        <f>VLOOKUP($A220,'Data Vlaue (Cr)'!$C:$FB,99)</f>
        <v>413</v>
      </c>
      <c r="I220" s="75">
        <f>VLOOKUP($A220,'Data Vlaue (Cr)'!$C:$FB,100)</f>
        <v>393</v>
      </c>
      <c r="J220" s="75">
        <f t="shared" si="38"/>
        <v>20</v>
      </c>
      <c r="K220" s="75">
        <f t="shared" si="39"/>
        <v>4.8426150121065374</v>
      </c>
      <c r="L220" s="75">
        <f>VLOOKUP($A220,'Data Vlaue (Cr)'!$C:$FB,67)</f>
        <v>120</v>
      </c>
      <c r="M220" s="75">
        <f>VLOOKUP($A220,'Data Vlaue (Cr)'!$C:$FB,68)</f>
        <v>80</v>
      </c>
      <c r="N220" s="75">
        <f t="shared" si="40"/>
        <v>40</v>
      </c>
      <c r="O220" s="75">
        <f t="shared" si="41"/>
        <v>33.333333333333329</v>
      </c>
      <c r="P220" s="75">
        <f>VLOOKUP($A220,'Data Vlaue (Cr)'!$C:$FB,119)</f>
        <v>0.48</v>
      </c>
      <c r="Q220" s="75">
        <f>VLOOKUP($A220,'Data Vlaue (Cr)'!$C:$FB,122)*100</f>
        <v>-15.790000000000001</v>
      </c>
      <c r="R220" s="75">
        <f>VLOOKUP($A220,'Data Vlaue (Cr)'!$C:$FB,125)</f>
        <v>0.18</v>
      </c>
      <c r="S220" s="75">
        <f>VLOOKUP($A220,'Data Vlaue (Cr)'!$C:$FB,128)*100</f>
        <v>-43.75</v>
      </c>
    </row>
    <row r="221" spans="1:19" x14ac:dyDescent="0.25">
      <c r="A221" s="96" t="str">
        <f>'Data Vlaue (Cr)'!C212</f>
        <v>VOLTAS</v>
      </c>
      <c r="B221" s="75">
        <f>VLOOKUP($A221,'Data Vlaue (Cr)'!$C:$FB,2)</f>
        <v>375</v>
      </c>
      <c r="C221" s="75">
        <f>VLOOKUP($A221,'Data Vlaue (Cr)'!$C:$FB,8)</f>
        <v>1454.2</v>
      </c>
      <c r="D221" s="75">
        <f>VLOOKUP($A221,'Data Vlaue (Cr)'!$C:$FB,4)</f>
        <v>1455.3</v>
      </c>
      <c r="E221" s="75">
        <f>VLOOKUP($A221,'Data Vlaue (Cr)'!$C:$FB,5)</f>
        <v>1434</v>
      </c>
      <c r="F221" s="75">
        <f t="shared" si="36"/>
        <v>1.0999999999999091</v>
      </c>
      <c r="G221" s="75">
        <f t="shared" si="37"/>
        <v>1.4636157493300319</v>
      </c>
      <c r="H221" s="75">
        <f>VLOOKUP($A221,'Data Vlaue (Cr)'!$C:$FB,99)</f>
        <v>2068</v>
      </c>
      <c r="I221" s="75">
        <f>VLOOKUP($A221,'Data Vlaue (Cr)'!$C:$FB,100)</f>
        <v>2056</v>
      </c>
      <c r="J221" s="75">
        <f t="shared" si="38"/>
        <v>12</v>
      </c>
      <c r="K221" s="75">
        <f t="shared" si="39"/>
        <v>0.58027079303675055</v>
      </c>
      <c r="L221" s="75">
        <f>VLOOKUP($A221,'Data Vlaue (Cr)'!$C:$FB,67)</f>
        <v>862</v>
      </c>
      <c r="M221" s="75">
        <f>VLOOKUP($A221,'Data Vlaue (Cr)'!$C:$FB,68)</f>
        <v>961</v>
      </c>
      <c r="N221" s="75">
        <f t="shared" si="40"/>
        <v>-99</v>
      </c>
      <c r="O221" s="75">
        <f t="shared" si="41"/>
        <v>-11.48491879350348</v>
      </c>
      <c r="P221" s="75">
        <f>VLOOKUP($A221,'Data Vlaue (Cr)'!$C:$FB,119)</f>
        <v>0.71</v>
      </c>
      <c r="Q221" s="75">
        <f>VLOOKUP($A221,'Data Vlaue (Cr)'!$C:$FB,122)*100</f>
        <v>-2.74</v>
      </c>
      <c r="R221" s="75">
        <f>VLOOKUP($A221,'Data Vlaue (Cr)'!$C:$FB,125)</f>
        <v>0.37</v>
      </c>
      <c r="S221" s="75">
        <f>VLOOKUP($A221,'Data Vlaue (Cr)'!$C:$FB,128)*100</f>
        <v>-32.729999999999997</v>
      </c>
    </row>
    <row r="222" spans="1:19" x14ac:dyDescent="0.25">
      <c r="A222" s="96" t="str">
        <f>'Data Vlaue (Cr)'!C213</f>
        <v>WAAREEENER</v>
      </c>
      <c r="B222" s="75">
        <f>VLOOKUP($A222,'Data Vlaue (Cr)'!$C:$FB,2)</f>
        <v>175</v>
      </c>
      <c r="C222" s="75">
        <f>VLOOKUP($A222,'Data Vlaue (Cr)'!$C:$FB,8)</f>
        <v>3136.3</v>
      </c>
      <c r="D222" s="75">
        <f>VLOOKUP($A222,'Data Vlaue (Cr)'!$C:$FB,4)</f>
        <v>3145</v>
      </c>
      <c r="E222" s="75">
        <f>VLOOKUP($A222,'Data Vlaue (Cr)'!$C:$FB,5)</f>
        <v>3133.4</v>
      </c>
      <c r="F222" s="75">
        <f t="shared" ref="F222:F229" si="42">D222-C222</f>
        <v>8.6999999999998181</v>
      </c>
      <c r="G222" s="75">
        <f t="shared" ref="G222:G229" si="43">(D222-E222)/D222*100</f>
        <v>0.36883942766295419</v>
      </c>
      <c r="H222" s="75">
        <f>VLOOKUP($A222,'Data Vlaue (Cr)'!$C:$FB,99)</f>
        <v>3951</v>
      </c>
      <c r="I222" s="75">
        <f>VLOOKUP($A222,'Data Vlaue (Cr)'!$C:$FB,100)</f>
        <v>3742</v>
      </c>
      <c r="J222" s="75">
        <f t="shared" ref="J222:J229" si="44">H222-I222</f>
        <v>209</v>
      </c>
      <c r="K222" s="75">
        <f t="shared" ref="K222:K229" si="45">J222/H222*100</f>
        <v>5.2898000506200962</v>
      </c>
      <c r="L222" s="75">
        <f>VLOOKUP($A222,'Data Vlaue (Cr)'!$C:$FB,67)</f>
        <v>3472</v>
      </c>
      <c r="M222" s="75">
        <f>VLOOKUP($A222,'Data Vlaue (Cr)'!$C:$FB,68)</f>
        <v>10231</v>
      </c>
      <c r="N222" s="75">
        <f t="shared" ref="N222:N229" si="46">L222-M222</f>
        <v>-6759</v>
      </c>
      <c r="O222" s="75">
        <f t="shared" ref="O222:O229" si="47">N222/L222*100</f>
        <v>-194.67165898617512</v>
      </c>
      <c r="P222" s="75">
        <f>VLOOKUP($A222,'Data Vlaue (Cr)'!$C:$FB,119)</f>
        <v>0.5</v>
      </c>
      <c r="Q222" s="75">
        <f>VLOOKUP($A222,'Data Vlaue (Cr)'!$C:$FB,122)*100</f>
        <v>0</v>
      </c>
      <c r="R222" s="75">
        <f>VLOOKUP($A222,'Data Vlaue (Cr)'!$C:$FB,125)</f>
        <v>0.27</v>
      </c>
      <c r="S222" s="75">
        <f>VLOOKUP($A222,'Data Vlaue (Cr)'!$C:$FB,128)*100</f>
        <v>-50.91</v>
      </c>
    </row>
    <row r="223" spans="1:19" x14ac:dyDescent="0.25">
      <c r="A223" s="96" t="str">
        <f>'Data Vlaue (Cr)'!C214</f>
        <v>WIPRO</v>
      </c>
      <c r="B223" s="75">
        <f>VLOOKUP($A223,'Data Vlaue (Cr)'!$C:$FB,2)</f>
        <v>3000</v>
      </c>
      <c r="C223" s="75">
        <f>VLOOKUP($A223,'Data Vlaue (Cr)'!$C:$FB,8)</f>
        <v>200.75</v>
      </c>
      <c r="D223" s="75">
        <f>VLOOKUP($A223,'Data Vlaue (Cr)'!$C:$FB,4)</f>
        <v>195.91</v>
      </c>
      <c r="E223" s="75">
        <f>VLOOKUP($A223,'Data Vlaue (Cr)'!$C:$FB,5)</f>
        <v>196.75</v>
      </c>
      <c r="F223" s="75">
        <f t="shared" si="42"/>
        <v>-4.8400000000000034</v>
      </c>
      <c r="G223" s="75">
        <f t="shared" si="43"/>
        <v>-0.42876831197999254</v>
      </c>
      <c r="H223" s="75">
        <f>VLOOKUP($A223,'Data Vlaue (Cr)'!$C:$FB,99)</f>
        <v>9696</v>
      </c>
      <c r="I223" s="75">
        <f>VLOOKUP($A223,'Data Vlaue (Cr)'!$C:$FB,100)</f>
        <v>9389</v>
      </c>
      <c r="J223" s="75">
        <f t="shared" si="44"/>
        <v>307</v>
      </c>
      <c r="K223" s="75">
        <f t="shared" si="45"/>
        <v>3.1662541254125411</v>
      </c>
      <c r="L223" s="75">
        <f>VLOOKUP($A223,'Data Vlaue (Cr)'!$C:$FB,67)</f>
        <v>2227</v>
      </c>
      <c r="M223" s="75">
        <f>VLOOKUP($A223,'Data Vlaue (Cr)'!$C:$FB,68)</f>
        <v>2918</v>
      </c>
      <c r="N223" s="75">
        <f t="shared" si="46"/>
        <v>-691</v>
      </c>
      <c r="O223" s="75">
        <f t="shared" si="47"/>
        <v>-31.028289178266728</v>
      </c>
      <c r="P223" s="75">
        <f>VLOOKUP($A223,'Data Vlaue (Cr)'!$C:$FB,119)</f>
        <v>0.53</v>
      </c>
      <c r="Q223" s="75">
        <f>VLOOKUP($A223,'Data Vlaue (Cr)'!$C:$FB,122)*100</f>
        <v>-3.64</v>
      </c>
      <c r="R223" s="75">
        <f>VLOOKUP($A223,'Data Vlaue (Cr)'!$C:$FB,125)</f>
        <v>0.46</v>
      </c>
      <c r="S223" s="75">
        <f>VLOOKUP($A223,'Data Vlaue (Cr)'!$C:$FB,128)*100</f>
        <v>12.2</v>
      </c>
    </row>
    <row r="224" spans="1:19" x14ac:dyDescent="0.25">
      <c r="A224" s="96" t="str">
        <f>'Data Vlaue (Cr)'!C215</f>
        <v>YESBANK</v>
      </c>
      <c r="B224" s="75">
        <f>VLOOKUP($A224,'Data Vlaue (Cr)'!$C:$FB,2)</f>
        <v>31100</v>
      </c>
      <c r="C224" s="75">
        <f>VLOOKUP($A224,'Data Vlaue (Cr)'!$C:$FB,8)</f>
        <v>19.96</v>
      </c>
      <c r="D224" s="75">
        <f>VLOOKUP($A224,'Data Vlaue (Cr)'!$C:$FB,4)</f>
        <v>20.07</v>
      </c>
      <c r="E224" s="75">
        <f>VLOOKUP($A224,'Data Vlaue (Cr)'!$C:$FB,5)</f>
        <v>20.05</v>
      </c>
      <c r="F224" s="75">
        <f t="shared" si="42"/>
        <v>0.10999999999999943</v>
      </c>
      <c r="G224" s="75">
        <f t="shared" si="43"/>
        <v>9.9651220727451778E-2</v>
      </c>
      <c r="H224" s="75">
        <f>VLOOKUP($A224,'Data Vlaue (Cr)'!$C:$FB,99)</f>
        <v>3536</v>
      </c>
      <c r="I224" s="75">
        <f>VLOOKUP($A224,'Data Vlaue (Cr)'!$C:$FB,100)</f>
        <v>3516</v>
      </c>
      <c r="J224" s="75">
        <f t="shared" si="44"/>
        <v>20</v>
      </c>
      <c r="K224" s="75">
        <f t="shared" si="45"/>
        <v>0.56561085972850678</v>
      </c>
      <c r="L224" s="75">
        <f>VLOOKUP($A224,'Data Vlaue (Cr)'!$C:$FB,67)</f>
        <v>1022</v>
      </c>
      <c r="M224" s="75">
        <f>VLOOKUP($A224,'Data Vlaue (Cr)'!$C:$FB,68)</f>
        <v>1271</v>
      </c>
      <c r="N224" s="75">
        <f t="shared" si="46"/>
        <v>-249</v>
      </c>
      <c r="O224" s="75">
        <f t="shared" si="47"/>
        <v>-24.363992172211351</v>
      </c>
      <c r="P224" s="75">
        <f>VLOOKUP($A224,'Data Vlaue (Cr)'!$C:$FB,119)</f>
        <v>0.49</v>
      </c>
      <c r="Q224" s="75">
        <f>VLOOKUP($A224,'Data Vlaue (Cr)'!$C:$FB,122)*100</f>
        <v>4.26</v>
      </c>
      <c r="R224" s="75">
        <f>VLOOKUP($A224,'Data Vlaue (Cr)'!$C:$FB,125)</f>
        <v>0.37</v>
      </c>
      <c r="S224" s="75">
        <f>VLOOKUP($A224,'Data Vlaue (Cr)'!$C:$FB,128)*100</f>
        <v>19.350000000000001</v>
      </c>
    </row>
    <row r="225" spans="1:19" x14ac:dyDescent="0.25">
      <c r="A225" s="96" t="str">
        <f>'Data Vlaue (Cr)'!C212</f>
        <v>VOLTAS</v>
      </c>
      <c r="B225" s="75">
        <f>VLOOKUP($A225,'Data Vlaue (Cr)'!$C:$FB,2)</f>
        <v>375</v>
      </c>
      <c r="C225" s="75">
        <f>VLOOKUP($A225,'Data Vlaue (Cr)'!$C:$FB,8)</f>
        <v>1454.2</v>
      </c>
      <c r="D225" s="75">
        <f>VLOOKUP($A225,'Data Vlaue (Cr)'!$C:$FB,4)</f>
        <v>1455.3</v>
      </c>
      <c r="E225" s="75">
        <f>VLOOKUP($A225,'Data Vlaue (Cr)'!$C:$FB,5)</f>
        <v>1434</v>
      </c>
      <c r="F225" s="75">
        <f t="shared" ref="F225" si="48">D225-C225</f>
        <v>1.0999999999999091</v>
      </c>
      <c r="G225" s="75">
        <f t="shared" ref="G225" si="49">(D225-E225)/D225*100</f>
        <v>1.4636157493300319</v>
      </c>
      <c r="H225" s="75">
        <f>VLOOKUP($A225,'Data Vlaue (Cr)'!$C:$FB,99)</f>
        <v>2068</v>
      </c>
      <c r="I225" s="75">
        <f>VLOOKUP($A225,'Data Vlaue (Cr)'!$C:$FB,100)</f>
        <v>2056</v>
      </c>
      <c r="J225" s="75">
        <f t="shared" ref="J225" si="50">H225-I225</f>
        <v>12</v>
      </c>
      <c r="K225" s="75">
        <f t="shared" ref="K225" si="51">J225/H225*100</f>
        <v>0.58027079303675055</v>
      </c>
      <c r="L225" s="75">
        <f>VLOOKUP($A225,'Data Vlaue (Cr)'!$C:$FB,67)</f>
        <v>862</v>
      </c>
      <c r="M225" s="75">
        <f>VLOOKUP($A225,'Data Vlaue (Cr)'!$C:$FB,68)</f>
        <v>961</v>
      </c>
      <c r="N225" s="75">
        <f t="shared" ref="N225" si="52">L225-M225</f>
        <v>-99</v>
      </c>
      <c r="O225" s="75">
        <f t="shared" ref="O225" si="53">N225/L225*100</f>
        <v>-11.48491879350348</v>
      </c>
      <c r="P225" s="75">
        <f>VLOOKUP($A225,'Data Vlaue (Cr)'!$C:$FB,119)</f>
        <v>0.71</v>
      </c>
      <c r="Q225" s="75">
        <f>VLOOKUP($A225,'Data Vlaue (Cr)'!$C:$FB,122)*100</f>
        <v>-2.74</v>
      </c>
      <c r="R225" s="75">
        <f>VLOOKUP($A225,'Data Vlaue (Cr)'!$C:$FB,125)</f>
        <v>0.37</v>
      </c>
      <c r="S225" s="75">
        <f>VLOOKUP($A225,'Data Vlaue (Cr)'!$C:$FB,128)*100</f>
        <v>-32.729999999999997</v>
      </c>
    </row>
    <row r="226" spans="1:19" x14ac:dyDescent="0.25">
      <c r="A226" s="96" t="str">
        <f>'Data Vlaue (Cr)'!C213</f>
        <v>WAAREEENER</v>
      </c>
      <c r="B226" s="75">
        <f>VLOOKUP($A226,'Data Vlaue (Cr)'!$C:$FB,2)</f>
        <v>175</v>
      </c>
      <c r="C226" s="75">
        <f>VLOOKUP($A226,'Data Vlaue (Cr)'!$C:$FB,8)</f>
        <v>3136.3</v>
      </c>
      <c r="D226" s="75">
        <f>VLOOKUP($A226,'Data Vlaue (Cr)'!$C:$FB,4)</f>
        <v>3145</v>
      </c>
      <c r="E226" s="75">
        <f>VLOOKUP($A226,'Data Vlaue (Cr)'!$C:$FB,5)</f>
        <v>3133.4</v>
      </c>
      <c r="F226" s="75">
        <f t="shared" ref="F226:F228" si="54">D226-C226</f>
        <v>8.6999999999998181</v>
      </c>
      <c r="G226" s="75">
        <f t="shared" ref="G226:G228" si="55">(D226-E226)/D226*100</f>
        <v>0.36883942766295419</v>
      </c>
      <c r="H226" s="75">
        <f>VLOOKUP($A226,'Data Vlaue (Cr)'!$C:$FB,99)</f>
        <v>3951</v>
      </c>
      <c r="I226" s="75">
        <f>VLOOKUP($A226,'Data Vlaue (Cr)'!$C:$FB,100)</f>
        <v>3742</v>
      </c>
      <c r="J226" s="75">
        <f t="shared" ref="J226:J228" si="56">H226-I226</f>
        <v>209</v>
      </c>
      <c r="K226" s="75">
        <f t="shared" ref="K226:K228" si="57">J226/H226*100</f>
        <v>5.2898000506200962</v>
      </c>
      <c r="L226" s="75">
        <f>VLOOKUP($A226,'Data Vlaue (Cr)'!$C:$FB,67)</f>
        <v>3472</v>
      </c>
      <c r="M226" s="75">
        <f>VLOOKUP($A226,'Data Vlaue (Cr)'!$C:$FB,68)</f>
        <v>10231</v>
      </c>
      <c r="N226" s="75">
        <f t="shared" ref="N226:N228" si="58">L226-M226</f>
        <v>-6759</v>
      </c>
      <c r="O226" s="75">
        <f t="shared" ref="O226:O228" si="59">N226/L226*100</f>
        <v>-194.67165898617512</v>
      </c>
      <c r="P226" s="75">
        <f>VLOOKUP($A226,'Data Vlaue (Cr)'!$C:$FB,119)</f>
        <v>0.5</v>
      </c>
      <c r="Q226" s="75">
        <f>VLOOKUP($A226,'Data Vlaue (Cr)'!$C:$FB,122)*100</f>
        <v>0</v>
      </c>
      <c r="R226" s="75">
        <f>VLOOKUP($A226,'Data Vlaue (Cr)'!$C:$FB,125)</f>
        <v>0.27</v>
      </c>
      <c r="S226" s="75">
        <f>VLOOKUP($A226,'Data Vlaue (Cr)'!$C:$FB,128)*100</f>
        <v>-50.91</v>
      </c>
    </row>
    <row r="227" spans="1:19" x14ac:dyDescent="0.25">
      <c r="A227" s="96" t="str">
        <f>'Data Vlaue (Cr)'!C214</f>
        <v>WIPRO</v>
      </c>
      <c r="B227" s="75">
        <f>VLOOKUP($A227,'Data Vlaue (Cr)'!$C:$FB,2)</f>
        <v>3000</v>
      </c>
      <c r="C227" s="75">
        <f>VLOOKUP($A227,'Data Vlaue (Cr)'!$C:$FB,8)</f>
        <v>200.75</v>
      </c>
      <c r="D227" s="75">
        <f>VLOOKUP($A227,'Data Vlaue (Cr)'!$C:$FB,4)</f>
        <v>195.91</v>
      </c>
      <c r="E227" s="75">
        <f>VLOOKUP($A227,'Data Vlaue (Cr)'!$C:$FB,5)</f>
        <v>196.75</v>
      </c>
      <c r="F227" s="75">
        <f t="shared" si="54"/>
        <v>-4.8400000000000034</v>
      </c>
      <c r="G227" s="75">
        <f t="shared" si="55"/>
        <v>-0.42876831197999254</v>
      </c>
      <c r="H227" s="75">
        <f>VLOOKUP($A227,'Data Vlaue (Cr)'!$C:$FB,99)</f>
        <v>9696</v>
      </c>
      <c r="I227" s="75">
        <f>VLOOKUP($A227,'Data Vlaue (Cr)'!$C:$FB,100)</f>
        <v>9389</v>
      </c>
      <c r="J227" s="75">
        <f t="shared" si="56"/>
        <v>307</v>
      </c>
      <c r="K227" s="75">
        <f t="shared" si="57"/>
        <v>3.1662541254125411</v>
      </c>
      <c r="L227" s="75">
        <f>VLOOKUP($A227,'Data Vlaue (Cr)'!$C:$FB,67)</f>
        <v>2227</v>
      </c>
      <c r="M227" s="75">
        <f>VLOOKUP($A227,'Data Vlaue (Cr)'!$C:$FB,68)</f>
        <v>2918</v>
      </c>
      <c r="N227" s="75">
        <f t="shared" si="58"/>
        <v>-691</v>
      </c>
      <c r="O227" s="75">
        <f t="shared" si="59"/>
        <v>-31.028289178266728</v>
      </c>
      <c r="P227" s="75">
        <f>VLOOKUP($A227,'Data Vlaue (Cr)'!$C:$FB,119)</f>
        <v>0.53</v>
      </c>
      <c r="Q227" s="75">
        <f>VLOOKUP($A227,'Data Vlaue (Cr)'!$C:$FB,122)*100</f>
        <v>-3.64</v>
      </c>
      <c r="R227" s="75">
        <f>VLOOKUP($A227,'Data Vlaue (Cr)'!$C:$FB,125)</f>
        <v>0.46</v>
      </c>
      <c r="S227" s="75">
        <f>VLOOKUP($A227,'Data Vlaue (Cr)'!$C:$FB,128)*100</f>
        <v>12.2</v>
      </c>
    </row>
    <row r="228" spans="1:19" x14ac:dyDescent="0.25">
      <c r="A228" s="96" t="str">
        <f>'Data Vlaue (Cr)'!C215</f>
        <v>YESBANK</v>
      </c>
      <c r="B228" s="75">
        <f>VLOOKUP($A228,'Data Vlaue (Cr)'!$C:$FB,2)</f>
        <v>31100</v>
      </c>
      <c r="C228" s="75">
        <f>VLOOKUP($A228,'Data Vlaue (Cr)'!$C:$FB,8)</f>
        <v>19.96</v>
      </c>
      <c r="D228" s="75">
        <f>VLOOKUP($A228,'Data Vlaue (Cr)'!$C:$FB,4)</f>
        <v>20.07</v>
      </c>
      <c r="E228" s="75">
        <f>VLOOKUP($A228,'Data Vlaue (Cr)'!$C:$FB,5)</f>
        <v>20.05</v>
      </c>
      <c r="F228" s="75">
        <f t="shared" si="54"/>
        <v>0.10999999999999943</v>
      </c>
      <c r="G228" s="75">
        <f t="shared" si="55"/>
        <v>9.9651220727451778E-2</v>
      </c>
      <c r="H228" s="75">
        <f>VLOOKUP($A228,'Data Vlaue (Cr)'!$C:$FB,99)</f>
        <v>3536</v>
      </c>
      <c r="I228" s="75">
        <f>VLOOKUP($A228,'Data Vlaue (Cr)'!$C:$FB,100)</f>
        <v>3516</v>
      </c>
      <c r="J228" s="75">
        <f t="shared" si="56"/>
        <v>20</v>
      </c>
      <c r="K228" s="75">
        <f t="shared" si="57"/>
        <v>0.56561085972850678</v>
      </c>
      <c r="L228" s="75">
        <f>VLOOKUP($A228,'Data Vlaue (Cr)'!$C:$FB,67)</f>
        <v>1022</v>
      </c>
      <c r="M228" s="75">
        <f>VLOOKUP($A228,'Data Vlaue (Cr)'!$C:$FB,68)</f>
        <v>1271</v>
      </c>
      <c r="N228" s="75">
        <f t="shared" si="58"/>
        <v>-249</v>
      </c>
      <c r="O228" s="75">
        <f t="shared" si="59"/>
        <v>-24.363992172211351</v>
      </c>
      <c r="P228" s="75">
        <f>VLOOKUP($A228,'Data Vlaue (Cr)'!$C:$FB,119)</f>
        <v>0.49</v>
      </c>
      <c r="Q228" s="75">
        <f>VLOOKUP($A228,'Data Vlaue (Cr)'!$C:$FB,122)*100</f>
        <v>4.26</v>
      </c>
      <c r="R228" s="75">
        <f>VLOOKUP($A228,'Data Vlaue (Cr)'!$C:$FB,125)</f>
        <v>0.37</v>
      </c>
      <c r="S228" s="75">
        <f>VLOOKUP($A228,'Data Vlaue (Cr)'!$C:$FB,128)*100</f>
        <v>19.350000000000001</v>
      </c>
    </row>
    <row r="229" spans="1:19" x14ac:dyDescent="0.25">
      <c r="A229" s="96" t="str">
        <f>'Data Vlaue (Cr)'!C216</f>
        <v>ZYDUSLIFE</v>
      </c>
      <c r="B229" s="75">
        <f>VLOOKUP($A229,'Data Vlaue (Cr)'!$C:$FB,2)</f>
        <v>900</v>
      </c>
      <c r="C229" s="75">
        <f>VLOOKUP($A229,'Data Vlaue (Cr)'!$C:$FB,8)</f>
        <v>902.35</v>
      </c>
      <c r="D229" s="75">
        <f>VLOOKUP($A229,'Data Vlaue (Cr)'!$C:$FB,4)</f>
        <v>906.7</v>
      </c>
      <c r="E229" s="75">
        <f>VLOOKUP($A229,'Data Vlaue (Cr)'!$C:$FB,5)</f>
        <v>897.6</v>
      </c>
      <c r="F229" s="75">
        <f t="shared" si="42"/>
        <v>4.3500000000000227</v>
      </c>
      <c r="G229" s="75">
        <f t="shared" si="43"/>
        <v>1.0036395720745586</v>
      </c>
      <c r="H229" s="75">
        <f>VLOOKUP($A229,'Data Vlaue (Cr)'!$C:$FB,99)</f>
        <v>1331</v>
      </c>
      <c r="I229" s="75">
        <f>VLOOKUP($A229,'Data Vlaue (Cr)'!$C:$FB,100)</f>
        <v>1301</v>
      </c>
      <c r="J229" s="75">
        <f t="shared" si="44"/>
        <v>30</v>
      </c>
      <c r="K229" s="75">
        <f t="shared" si="45"/>
        <v>2.2539444027047333</v>
      </c>
      <c r="L229" s="75">
        <f>VLOOKUP($A229,'Data Vlaue (Cr)'!$C:$FB,67)</f>
        <v>265</v>
      </c>
      <c r="M229" s="75">
        <f>VLOOKUP($A229,'Data Vlaue (Cr)'!$C:$FB,68)</f>
        <v>361</v>
      </c>
      <c r="N229" s="75">
        <f t="shared" si="46"/>
        <v>-96</v>
      </c>
      <c r="O229" s="75">
        <f t="shared" si="47"/>
        <v>-36.226415094339622</v>
      </c>
      <c r="P229" s="75">
        <f>VLOOKUP($A229,'Data Vlaue (Cr)'!$C:$FB,119)</f>
        <v>0.71</v>
      </c>
      <c r="Q229" s="75">
        <f>VLOOKUP($A229,'Data Vlaue (Cr)'!$C:$FB,122)*100</f>
        <v>-8.9700000000000006</v>
      </c>
      <c r="R229" s="75">
        <f>VLOOKUP($A229,'Data Vlaue (Cr)'!$C:$FB,125)</f>
        <v>0.31</v>
      </c>
      <c r="S229" s="75">
        <f>VLOOKUP($A229,'Data Vlaue (Cr)'!$C:$FB,128)*100</f>
        <v>-35.42</v>
      </c>
    </row>
    <row r="230" spans="1:19" x14ac:dyDescent="0.25">
      <c r="A230" s="96"/>
      <c r="B230" s="75"/>
      <c r="C230" s="75"/>
      <c r="D230" s="75"/>
      <c r="E230" s="75"/>
      <c r="F230" s="75"/>
      <c r="G230" s="75"/>
      <c r="H230" s="75"/>
      <c r="I230" s="75"/>
      <c r="J230" s="75"/>
      <c r="K230" s="75"/>
      <c r="L230" s="75"/>
      <c r="M230" s="75"/>
      <c r="N230" s="75"/>
      <c r="O230" s="75"/>
      <c r="P230" s="75"/>
      <c r="Q230" s="75"/>
      <c r="R230" s="75"/>
      <c r="S230" s="75"/>
    </row>
    <row r="231" spans="1:19" x14ac:dyDescent="0.25">
      <c r="A231" s="96"/>
      <c r="B231" s="75"/>
      <c r="C231" s="75"/>
      <c r="D231" s="75"/>
      <c r="E231" s="75"/>
      <c r="F231" s="75"/>
      <c r="G231" s="75"/>
      <c r="H231" s="75"/>
      <c r="I231" s="75"/>
      <c r="J231" s="75"/>
      <c r="K231" s="75"/>
      <c r="L231" s="75"/>
      <c r="M231" s="75"/>
      <c r="N231" s="75"/>
      <c r="O231" s="75"/>
      <c r="P231" s="75"/>
      <c r="Q231" s="75"/>
      <c r="R231" s="75"/>
      <c r="S231" s="75"/>
    </row>
    <row r="232" spans="1:19" x14ac:dyDescent="0.25">
      <c r="A232" s="96"/>
      <c r="B232" s="75"/>
      <c r="C232" s="75"/>
      <c r="D232" s="75"/>
      <c r="E232" s="75"/>
      <c r="F232" s="75"/>
      <c r="G232" s="75"/>
      <c r="H232" s="75"/>
      <c r="I232" s="75"/>
      <c r="J232" s="75"/>
      <c r="K232" s="75"/>
      <c r="L232" s="75"/>
      <c r="M232" s="75"/>
      <c r="N232" s="75"/>
      <c r="O232" s="75"/>
      <c r="P232" s="75"/>
      <c r="Q232" s="75"/>
      <c r="R232" s="75"/>
      <c r="S232" s="75"/>
    </row>
    <row r="233" spans="1:19" x14ac:dyDescent="0.25">
      <c r="A233" s="96"/>
      <c r="B233" s="75"/>
      <c r="C233" s="75"/>
      <c r="D233" s="75"/>
      <c r="E233" s="75"/>
      <c r="F233" s="75"/>
      <c r="G233" s="75"/>
      <c r="H233" s="75"/>
      <c r="I233" s="75"/>
      <c r="J233" s="75"/>
      <c r="K233" s="75"/>
      <c r="L233" s="75"/>
      <c r="M233" s="75"/>
      <c r="N233" s="75"/>
      <c r="O233" s="75"/>
      <c r="P233" s="75"/>
      <c r="Q233" s="75"/>
      <c r="R233" s="75"/>
      <c r="S233" s="75"/>
    </row>
    <row r="234" spans="1:19" x14ac:dyDescent="0.25">
      <c r="A234" s="96"/>
      <c r="B234" s="75"/>
      <c r="C234" s="75"/>
      <c r="D234" s="75"/>
      <c r="E234" s="75"/>
      <c r="F234" s="75"/>
      <c r="G234" s="75"/>
      <c r="H234" s="75"/>
      <c r="I234" s="75"/>
      <c r="J234" s="75"/>
      <c r="K234" s="75"/>
      <c r="L234" s="75"/>
      <c r="M234" s="75"/>
      <c r="N234" s="75"/>
      <c r="O234" s="75"/>
      <c r="P234" s="75"/>
      <c r="Q234" s="75"/>
      <c r="R234" s="75"/>
      <c r="S234" s="75"/>
    </row>
    <row r="235" spans="1:19" x14ac:dyDescent="0.25">
      <c r="A235" s="96"/>
      <c r="B235" s="75"/>
      <c r="C235" s="75"/>
      <c r="D235" s="75"/>
      <c r="E235" s="75"/>
      <c r="F235" s="75"/>
      <c r="G235" s="75"/>
      <c r="H235" s="75"/>
      <c r="I235" s="75"/>
      <c r="J235" s="75"/>
      <c r="K235" s="75"/>
      <c r="L235" s="75"/>
      <c r="M235" s="75"/>
      <c r="N235" s="75"/>
      <c r="O235" s="75"/>
      <c r="P235" s="75"/>
      <c r="Q235" s="75"/>
      <c r="R235" s="75"/>
      <c r="S235" s="75"/>
    </row>
    <row r="236" spans="1:19" x14ac:dyDescent="0.25">
      <c r="A236" s="96"/>
      <c r="B236" s="75"/>
      <c r="C236" s="75"/>
      <c r="D236" s="75"/>
      <c r="E236" s="75"/>
      <c r="F236" s="75"/>
      <c r="G236" s="75"/>
      <c r="H236" s="75"/>
      <c r="I236" s="75"/>
      <c r="J236" s="75"/>
      <c r="K236" s="75"/>
      <c r="L236" s="75"/>
      <c r="M236" s="75"/>
      <c r="N236" s="75"/>
      <c r="O236" s="75"/>
      <c r="P236" s="75"/>
      <c r="Q236" s="75"/>
      <c r="R236" s="75"/>
      <c r="S236" s="75"/>
    </row>
    <row r="237" spans="1:19" x14ac:dyDescent="0.25">
      <c r="A237" s="98"/>
      <c r="B237" s="75"/>
      <c r="C237" s="75"/>
      <c r="D237" s="75"/>
      <c r="E237" s="75"/>
      <c r="F237" s="75"/>
      <c r="G237" s="75"/>
      <c r="H237" s="75"/>
      <c r="I237" s="75"/>
      <c r="J237" s="75"/>
      <c r="K237" s="75"/>
      <c r="L237" s="75"/>
      <c r="M237" s="75"/>
      <c r="N237" s="75"/>
      <c r="O237" s="75"/>
      <c r="P237" s="75"/>
      <c r="Q237" s="75"/>
      <c r="R237" s="75"/>
      <c r="S237" s="75"/>
    </row>
    <row r="238" spans="1:19" x14ac:dyDescent="0.25">
      <c r="A238" s="98"/>
      <c r="B238" s="75"/>
      <c r="C238" s="75"/>
      <c r="D238" s="75"/>
      <c r="E238" s="75"/>
      <c r="F238" s="75"/>
      <c r="G238" s="75"/>
      <c r="H238" s="75"/>
      <c r="I238" s="75"/>
      <c r="J238" s="75"/>
      <c r="K238" s="75"/>
      <c r="L238" s="75"/>
      <c r="M238" s="75"/>
      <c r="N238" s="75"/>
      <c r="O238" s="75"/>
      <c r="P238" s="75"/>
      <c r="Q238" s="75"/>
      <c r="R238" s="75"/>
      <c r="S238" s="75"/>
    </row>
    <row r="239" spans="1:19" x14ac:dyDescent="0.25">
      <c r="A239" s="98"/>
      <c r="B239" s="75"/>
      <c r="C239" s="75"/>
      <c r="D239" s="75"/>
      <c r="E239" s="75"/>
      <c r="F239" s="75"/>
      <c r="G239" s="75"/>
      <c r="H239" s="75"/>
      <c r="I239" s="75"/>
      <c r="J239" s="75"/>
      <c r="K239" s="75"/>
      <c r="L239" s="75"/>
      <c r="M239" s="75"/>
      <c r="N239" s="75"/>
      <c r="O239" s="75"/>
      <c r="P239" s="75"/>
      <c r="Q239" s="75"/>
      <c r="R239" s="75"/>
      <c r="S239" s="75"/>
    </row>
    <row r="240" spans="1:19" x14ac:dyDescent="0.25">
      <c r="A240" s="257"/>
      <c r="B240" s="257"/>
      <c r="C240" s="257"/>
      <c r="D240" s="257"/>
      <c r="E240" s="257"/>
      <c r="F240" s="257"/>
      <c r="G240" s="15"/>
      <c r="H240" s="16"/>
      <c r="I240" s="257"/>
      <c r="J240" s="257"/>
      <c r="K240" s="257"/>
      <c r="L240" s="257"/>
      <c r="M240" s="257"/>
      <c r="N240" s="16"/>
      <c r="O240" s="16"/>
      <c r="P240" s="16"/>
      <c r="Q240" s="257"/>
      <c r="R240" s="257"/>
      <c r="S240" s="257"/>
    </row>
    <row r="241" spans="1:19" x14ac:dyDescent="0.25">
      <c r="A241" s="254" t="s">
        <v>391</v>
      </c>
      <c r="B241" s="255"/>
      <c r="C241" s="255"/>
      <c r="D241" s="255"/>
      <c r="E241" s="255"/>
      <c r="F241" s="256"/>
      <c r="G241" s="18"/>
      <c r="H241" s="18">
        <f>SUM(H11:H236)</f>
        <v>2315825</v>
      </c>
      <c r="I241" s="18">
        <f>SUM(I11:I236)</f>
        <v>1922632</v>
      </c>
      <c r="J241" s="18">
        <f>H241-I241</f>
        <v>393193</v>
      </c>
      <c r="K241" s="19">
        <f>J241/I241</f>
        <v>0.20450767489566385</v>
      </c>
      <c r="L241" s="18">
        <f>SUM(L11:L236)</f>
        <v>28160444</v>
      </c>
      <c r="M241" s="18">
        <f>SUM(M11:M236)</f>
        <v>8666974</v>
      </c>
      <c r="N241" s="18">
        <f>L241-M241</f>
        <v>19493470</v>
      </c>
      <c r="O241" s="19">
        <f>N241/M241</f>
        <v>2.2491667795472789</v>
      </c>
      <c r="P241" s="254"/>
      <c r="Q241" s="255"/>
      <c r="R241" s="255"/>
      <c r="S241" s="256"/>
    </row>
    <row r="245" spans="1:19" x14ac:dyDescent="0.25">
      <c r="A245" s="250" t="s">
        <v>334</v>
      </c>
      <c r="B245" s="250"/>
      <c r="C245" s="250"/>
      <c r="D245" s="6"/>
      <c r="E245" s="6"/>
      <c r="F245" s="6"/>
      <c r="G245" s="6"/>
      <c r="H245" s="8" t="s">
        <v>385</v>
      </c>
      <c r="J245" s="7"/>
      <c r="K245" s="7"/>
      <c r="L245" s="7"/>
      <c r="M245" s="7"/>
    </row>
    <row r="246" spans="1:19" x14ac:dyDescent="0.25">
      <c r="A246" s="22"/>
      <c r="B246" s="23" t="s">
        <v>182</v>
      </c>
      <c r="C246" s="24" t="s">
        <v>386</v>
      </c>
      <c r="D246" s="25" t="s">
        <v>266</v>
      </c>
      <c r="E246" s="24" t="s">
        <v>386</v>
      </c>
      <c r="F246" s="23" t="s">
        <v>461</v>
      </c>
      <c r="G246" s="23" t="s">
        <v>387</v>
      </c>
      <c r="H246" s="24" t="s">
        <v>386</v>
      </c>
    </row>
    <row r="247" spans="1:19" x14ac:dyDescent="0.25">
      <c r="A247" s="26" t="s">
        <v>388</v>
      </c>
      <c r="B247" s="9">
        <f>VLOOKUP(B246,'OI(Value)'!A7:E232,5,0)</f>
        <v>12905</v>
      </c>
      <c r="C247" s="146">
        <f>VLOOKUP(B246,'OI(Value)'!A7:G232,7,0)</f>
        <v>4.7600000000000003E-2</v>
      </c>
      <c r="D247" s="9">
        <f>VLOOKUP(D246,'OI(Value)'!A7:E232,5,0)</f>
        <v>41976</v>
      </c>
      <c r="E247" s="147">
        <f>VLOOKUP(D246,'OI(Value)'!A7:G232,7,0)</f>
        <v>3.7900000000000003E-2</v>
      </c>
      <c r="F247" s="9">
        <f>G247-D247-B247</f>
        <v>519066</v>
      </c>
      <c r="G247" s="10">
        <f>'OI(Value)'!E233</f>
        <v>573947</v>
      </c>
      <c r="H247" s="147">
        <f>'OI(Value)'!D240</f>
        <v>1.5654755578476759E-2</v>
      </c>
    </row>
    <row r="248" spans="1:19" x14ac:dyDescent="0.25">
      <c r="A248" s="26" t="s">
        <v>389</v>
      </c>
      <c r="B248" s="9">
        <f>VLOOKUP(B246,'OI(Value)'!A7:H232,8,0)</f>
        <v>73570</v>
      </c>
      <c r="C248" s="146">
        <f>VLOOKUP(B246,'OI(Value)'!A7:J232,10,0)</f>
        <v>0.1072</v>
      </c>
      <c r="D248" s="9">
        <f>VLOOKUP(D246,'OI(Value)'!A1:O233,8,0)</f>
        <v>729654</v>
      </c>
      <c r="E248" s="147">
        <f>VLOOKUP(D246,'OI(Value)'!A1:J232,10,0)</f>
        <v>0.4864</v>
      </c>
      <c r="F248" s="9">
        <f>G248-D248-B248</f>
        <v>162000</v>
      </c>
      <c r="G248" s="9">
        <f>'OI(Value)'!H233</f>
        <v>965224</v>
      </c>
      <c r="H248" s="147">
        <f>'OI(Value)'!D241</f>
        <v>0.27672333054296205</v>
      </c>
    </row>
    <row r="249" spans="1:19" x14ac:dyDescent="0.25">
      <c r="A249" s="26" t="s">
        <v>390</v>
      </c>
      <c r="B249" s="9">
        <f>VLOOKUP(B246,'OI(Value)'!A7:K232,11,0)</f>
        <v>63818</v>
      </c>
      <c r="C249" s="146">
        <f>VLOOKUP(B246,'OI(Value)'!A7:M232,13,0)</f>
        <v>6.6500000000000004E-2</v>
      </c>
      <c r="D249" s="9">
        <f>VLOOKUP(D246,'OI(Value)'!A2:O234,11,0)</f>
        <v>584548</v>
      </c>
      <c r="E249" s="147">
        <f>VLOOKUP(D246,'OI(Value)'!A7:M232,13,0)</f>
        <v>0.2114</v>
      </c>
      <c r="F249" s="9">
        <f>G249-D249-B249</f>
        <v>109035</v>
      </c>
      <c r="G249" s="9">
        <f>'OI(Value)'!K233</f>
        <v>757401</v>
      </c>
      <c r="H249" s="147">
        <f>'OI(Volume)'!D247</f>
        <v>9.8438751141856712E-2</v>
      </c>
    </row>
    <row r="250" spans="1:19" x14ac:dyDescent="0.25">
      <c r="A250" s="22" t="s">
        <v>391</v>
      </c>
      <c r="B250" s="62">
        <f>SUM(B247:B249)</f>
        <v>150293</v>
      </c>
      <c r="C250" s="148">
        <f>VLOOKUP(B246,'OI(Value)'!A7:D148,4,0)</f>
        <v>8.4400000000000003E-2</v>
      </c>
      <c r="D250" s="62">
        <f>SUM(D247:D249)</f>
        <v>1356178</v>
      </c>
      <c r="E250" s="148">
        <f>VLOOKUP(D246,'OI(Value)'!A1:D233,4,0)</f>
        <v>0.3377</v>
      </c>
      <c r="F250" s="62">
        <f>SUM(F247:F249)</f>
        <v>790101</v>
      </c>
      <c r="G250" s="62">
        <f>SUM(G247:G249)</f>
        <v>2296572</v>
      </c>
      <c r="H250" s="151">
        <f>'OI(Value)'!D243</f>
        <v>0.17096655362862562</v>
      </c>
    </row>
    <row r="254" spans="1:19" x14ac:dyDescent="0.25">
      <c r="A254" s="20" t="s">
        <v>392</v>
      </c>
      <c r="B254" s="11"/>
      <c r="C254" s="11"/>
      <c r="D254" s="11"/>
      <c r="E254" s="11"/>
      <c r="F254" s="11"/>
      <c r="G254" s="11"/>
      <c r="H254" s="12"/>
    </row>
    <row r="255" spans="1:19" x14ac:dyDescent="0.25">
      <c r="A255" s="27"/>
      <c r="B255" s="27"/>
      <c r="C255" s="251" t="s">
        <v>459</v>
      </c>
      <c r="D255" s="252"/>
      <c r="E255" s="253"/>
      <c r="F255" s="251" t="s">
        <v>460</v>
      </c>
      <c r="G255" s="252"/>
      <c r="H255" s="253"/>
    </row>
    <row r="256" spans="1:19" x14ac:dyDescent="0.25">
      <c r="A256" s="28"/>
      <c r="B256" s="27"/>
      <c r="C256" s="31">
        <f>D10</f>
        <v>46146</v>
      </c>
      <c r="D256" s="31" t="s">
        <v>397</v>
      </c>
      <c r="E256" s="32" t="s">
        <v>321</v>
      </c>
      <c r="F256" s="31">
        <f>C256</f>
        <v>46146</v>
      </c>
      <c r="G256" s="31" t="str">
        <f>D256</f>
        <v>Preious</v>
      </c>
      <c r="H256" s="32" t="s">
        <v>386</v>
      </c>
    </row>
    <row r="257" spans="1:8" x14ac:dyDescent="0.25">
      <c r="A257" s="29" t="s">
        <v>393</v>
      </c>
      <c r="B257" s="30"/>
      <c r="C257" s="13">
        <f>FII!N3</f>
        <v>8057</v>
      </c>
      <c r="D257" s="13">
        <f>FII!J3</f>
        <v>8167</v>
      </c>
      <c r="E257" s="14">
        <f>(C257-D257)/C257</f>
        <v>-1.3652724339084026E-2</v>
      </c>
      <c r="F257" s="13">
        <f>FII!M3</f>
        <v>48685</v>
      </c>
      <c r="G257" s="13">
        <f>FII!I3</f>
        <v>49314</v>
      </c>
      <c r="H257" s="14">
        <f>(F257-G257)/F257</f>
        <v>-1.2919790489883948E-2</v>
      </c>
    </row>
    <row r="258" spans="1:8" x14ac:dyDescent="0.25">
      <c r="A258" s="248" t="s">
        <v>394</v>
      </c>
      <c r="B258" s="249"/>
      <c r="C258" s="13">
        <f>FII!N4</f>
        <v>45334</v>
      </c>
      <c r="D258" s="13">
        <f>FII!J4</f>
        <v>43253</v>
      </c>
      <c r="E258" s="14">
        <f>(C258-D258)/C258</f>
        <v>4.590373670975427E-2</v>
      </c>
      <c r="F258" s="13">
        <f>FII!M4</f>
        <v>275360</v>
      </c>
      <c r="G258" s="13">
        <f>FII!I4</f>
        <v>262790</v>
      </c>
      <c r="H258" s="14">
        <f>(F258-G258)/F258</f>
        <v>4.56493317838466E-2</v>
      </c>
    </row>
    <row r="259" spans="1:8" x14ac:dyDescent="0.25">
      <c r="A259" s="248" t="s">
        <v>395</v>
      </c>
      <c r="B259" s="249"/>
      <c r="C259" s="13">
        <f>FII!N15</f>
        <v>457284</v>
      </c>
      <c r="D259" s="13">
        <f>FII!J15</f>
        <v>452650</v>
      </c>
      <c r="E259" s="14">
        <f>(C259-D259)/C259</f>
        <v>1.0133746205858942E-2</v>
      </c>
      <c r="F259" s="13">
        <f>FII!M15</f>
        <v>7283052</v>
      </c>
      <c r="G259" s="13">
        <f>FII!I15</f>
        <v>7245154</v>
      </c>
      <c r="H259" s="14">
        <f>(F259-G259)/F259</f>
        <v>5.2035877266838129E-3</v>
      </c>
    </row>
    <row r="260" spans="1:8" x14ac:dyDescent="0.25">
      <c r="A260" s="248" t="s">
        <v>396</v>
      </c>
      <c r="B260" s="249"/>
      <c r="C260" s="13">
        <f>FII!N16</f>
        <v>30351</v>
      </c>
      <c r="D260" s="13">
        <f>FII!J16</f>
        <v>25101</v>
      </c>
      <c r="E260" s="14">
        <f>(C260-D260)/C260</f>
        <v>0.17297617870910348</v>
      </c>
      <c r="F260" s="13">
        <f>FII!M16</f>
        <v>469718</v>
      </c>
      <c r="G260" s="13">
        <f>FII!I16</f>
        <v>395209</v>
      </c>
      <c r="H260" s="14">
        <f>(F260-G260)/F260</f>
        <v>0.15862496221136937</v>
      </c>
    </row>
    <row r="261" spans="1:8" x14ac:dyDescent="0.25">
      <c r="A261" s="248" t="s">
        <v>391</v>
      </c>
      <c r="B261" s="249"/>
      <c r="C261" s="155">
        <f>SUM(C257:C260)</f>
        <v>541026</v>
      </c>
      <c r="D261" s="155">
        <f>SUM(D257:D260)</f>
        <v>529171</v>
      </c>
      <c r="E261" s="156">
        <f>(C261-D261)/C261</f>
        <v>2.1912070769242144E-2</v>
      </c>
      <c r="F261" s="157">
        <f>SUM(F257:F260)</f>
        <v>8076815</v>
      </c>
      <c r="G261" s="158">
        <f>SUM(G257:G260)</f>
        <v>7952467</v>
      </c>
      <c r="H261" s="156">
        <f>(F261-G261)/F261</f>
        <v>1.5395672675429609E-2</v>
      </c>
    </row>
  </sheetData>
  <mergeCells count="24">
    <mergeCell ref="P241:S241"/>
    <mergeCell ref="A241:F241"/>
    <mergeCell ref="Q240:S240"/>
    <mergeCell ref="I240:M240"/>
    <mergeCell ref="A240:F240"/>
    <mergeCell ref="A260:B260"/>
    <mergeCell ref="A261:B261"/>
    <mergeCell ref="A245:C245"/>
    <mergeCell ref="C255:E255"/>
    <mergeCell ref="F255:H255"/>
    <mergeCell ref="A258:B258"/>
    <mergeCell ref="A259:B259"/>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workbookViewId="0">
      <pane ySplit="5" topLeftCell="A213" activePane="bottomLeft" state="frozen"/>
      <selection pane="bottomLeft" activeCell="A221" sqref="A221:G225"/>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0" t="s">
        <v>456</v>
      </c>
      <c r="B3" s="311"/>
      <c r="C3" s="311"/>
      <c r="D3" s="311"/>
      <c r="E3" s="311"/>
      <c r="F3" s="311"/>
      <c r="G3" s="312"/>
      <c r="H3" s="46"/>
    </row>
    <row r="4" spans="1:8" x14ac:dyDescent="0.25">
      <c r="A4" s="286" t="s">
        <v>366</v>
      </c>
      <c r="B4" s="106" t="s">
        <v>312</v>
      </c>
      <c r="C4" s="106" t="s">
        <v>313</v>
      </c>
      <c r="D4" s="286" t="s">
        <v>367</v>
      </c>
      <c r="E4" s="286"/>
      <c r="F4" s="286"/>
      <c r="G4" s="286"/>
      <c r="H4" s="47"/>
    </row>
    <row r="5" spans="1:8" x14ac:dyDescent="0.25">
      <c r="A5" s="305"/>
      <c r="B5" s="3">
        <f>PCR!B6</f>
        <v>46146</v>
      </c>
      <c r="C5" s="3">
        <f>B5</f>
        <v>46146</v>
      </c>
      <c r="D5" s="76" t="s">
        <v>367</v>
      </c>
      <c r="E5" s="76" t="s">
        <v>321</v>
      </c>
      <c r="F5" s="76" t="s">
        <v>368</v>
      </c>
      <c r="G5" s="76" t="s">
        <v>369</v>
      </c>
      <c r="H5" s="48"/>
    </row>
    <row r="6" spans="1:8" x14ac:dyDescent="0.25">
      <c r="A6" s="101" t="str">
        <f>'Data shares'!C2</f>
        <v>360ONE</v>
      </c>
      <c r="B6" s="144">
        <f>VLOOKUP($A6,'Data shares'!$C:$FA,7)</f>
        <v>1066.5</v>
      </c>
      <c r="C6" s="144">
        <f>VLOOKUP($A6,'Data shares'!$C:$FA,3)</f>
        <v>1072</v>
      </c>
      <c r="D6" s="144">
        <f>VLOOKUP($A6,'Data shares'!$C:$FA,23)</f>
        <v>5.5</v>
      </c>
      <c r="E6" s="145">
        <f>VLOOKUP($A6,'Data shares'!$C:$FA,26)*100</f>
        <v>0.52</v>
      </c>
      <c r="F6" s="144">
        <f>VLOOKUP($A6,'Data shares'!$C:$FA,24)</f>
        <v>4.5999999999999996</v>
      </c>
      <c r="G6" s="144">
        <f>VLOOKUP($A6,'Data shares'!$C:$FA,25)</f>
        <v>0.9</v>
      </c>
    </row>
    <row r="7" spans="1:8" x14ac:dyDescent="0.25">
      <c r="A7" s="101" t="str">
        <f>'Data shares'!C3</f>
        <v>ABB</v>
      </c>
      <c r="B7" s="144">
        <f>VLOOKUP($A7,'Data shares'!$C:$FA,7)</f>
        <v>7236.5</v>
      </c>
      <c r="C7" s="144">
        <f>VLOOKUP($A7,'Data shares'!$C:$FA,3)</f>
        <v>7263.5</v>
      </c>
      <c r="D7" s="144">
        <f>VLOOKUP($A7,'Data shares'!$C:$FA,23)</f>
        <v>27</v>
      </c>
      <c r="E7" s="145">
        <f>VLOOKUP($A7,'Data shares'!$C:$FA,26)*100</f>
        <v>0.37</v>
      </c>
      <c r="F7" s="144">
        <f>VLOOKUP($A7,'Data shares'!$C:$FA,24)</f>
        <v>37</v>
      </c>
      <c r="G7" s="144">
        <f>VLOOKUP($A7,'Data shares'!$C:$FA,25)</f>
        <v>-10</v>
      </c>
    </row>
    <row r="8" spans="1:8" x14ac:dyDescent="0.25">
      <c r="A8" s="101" t="str">
        <f>'Data shares'!C4</f>
        <v>ABCAPITAL</v>
      </c>
      <c r="B8" s="144">
        <f>VLOOKUP($A8,'Data shares'!$C:$FA,7)</f>
        <v>345.85</v>
      </c>
      <c r="C8" s="144">
        <f>VLOOKUP($A8,'Data shares'!$C:$FA,3)</f>
        <v>346.5</v>
      </c>
      <c r="D8" s="144">
        <f>VLOOKUP($A8,'Data shares'!$C:$FA,23)</f>
        <v>0.65</v>
      </c>
      <c r="E8" s="145">
        <f>VLOOKUP($A8,'Data shares'!$C:$FA,26)*100</f>
        <v>0.19</v>
      </c>
      <c r="F8" s="144">
        <f>VLOOKUP($A8,'Data shares'!$C:$FA,24)</f>
        <v>2.0499999999999998</v>
      </c>
      <c r="G8" s="144">
        <f>VLOOKUP($A8,'Data shares'!$C:$FA,25)</f>
        <v>-1.4</v>
      </c>
    </row>
    <row r="9" spans="1:8" x14ac:dyDescent="0.25">
      <c r="A9" s="101" t="str">
        <f>'Data shares'!C5</f>
        <v>ADANIENSOL</v>
      </c>
      <c r="B9" s="144">
        <f>VLOOKUP($A9,'Data shares'!$C:$FA,7)</f>
        <v>1398.4</v>
      </c>
      <c r="C9" s="144">
        <f>VLOOKUP($A9,'Data shares'!$C:$FA,3)</f>
        <v>1406.9</v>
      </c>
      <c r="D9" s="144">
        <f>VLOOKUP($A9,'Data shares'!$C:$FA,23)</f>
        <v>8.5</v>
      </c>
      <c r="E9" s="145">
        <f>VLOOKUP($A9,'Data shares'!$C:$FA,26)*100</f>
        <v>0.61</v>
      </c>
      <c r="F9" s="144">
        <f>VLOOKUP($A9,'Data shares'!$C:$FA,24)</f>
        <v>8.4499999999999993</v>
      </c>
      <c r="G9" s="144">
        <f>VLOOKUP($A9,'Data shares'!$C:$FA,25)</f>
        <v>0.05</v>
      </c>
    </row>
    <row r="10" spans="1:8" x14ac:dyDescent="0.25">
      <c r="A10" s="101" t="str">
        <f>'Data shares'!C6</f>
        <v>ADANIENT</v>
      </c>
      <c r="B10" s="144">
        <f>VLOOKUP($A10,'Data shares'!$C:$FA,7)</f>
        <v>2485.6999999999998</v>
      </c>
      <c r="C10" s="144">
        <f>VLOOKUP($A10,'Data shares'!$C:$FA,3)</f>
        <v>2490.6999999999998</v>
      </c>
      <c r="D10" s="144">
        <f>VLOOKUP($A10,'Data shares'!$C:$FA,23)</f>
        <v>5</v>
      </c>
      <c r="E10" s="145">
        <f>VLOOKUP($A10,'Data shares'!$C:$FA,26)*100</f>
        <v>0.2</v>
      </c>
      <c r="F10" s="144">
        <f>VLOOKUP($A10,'Data shares'!$C:$FA,24)</f>
        <v>13.4</v>
      </c>
      <c r="G10" s="144">
        <f>VLOOKUP($A10,'Data shares'!$C:$FA,25)</f>
        <v>-8.4</v>
      </c>
    </row>
    <row r="11" spans="1:8" x14ac:dyDescent="0.25">
      <c r="A11" s="101" t="str">
        <f>'Data shares'!C7</f>
        <v>ADANIGREEN</v>
      </c>
      <c r="B11" s="144">
        <f>VLOOKUP($A11,'Data shares'!$C:$FA,7)</f>
        <v>1290.7</v>
      </c>
      <c r="C11" s="144">
        <f>VLOOKUP($A11,'Data shares'!$C:$FA,3)</f>
        <v>1298.0999999999999</v>
      </c>
      <c r="D11" s="144">
        <f>VLOOKUP($A11,'Data shares'!$C:$FA,23)</f>
        <v>7.4</v>
      </c>
      <c r="E11" s="145">
        <f>VLOOKUP($A11,'Data shares'!$C:$FA,26)*100</f>
        <v>0.57000000000000006</v>
      </c>
      <c r="F11" s="144">
        <f>VLOOKUP($A11,'Data shares'!$C:$FA,24)</f>
        <v>8.0500000000000007</v>
      </c>
      <c r="G11" s="144">
        <f>VLOOKUP($A11,'Data shares'!$C:$FA,25)</f>
        <v>-0.65</v>
      </c>
    </row>
    <row r="12" spans="1:8" x14ac:dyDescent="0.25">
      <c r="A12" s="101" t="str">
        <f>'Data shares'!C8</f>
        <v>ADANIPORTS</v>
      </c>
      <c r="B12" s="144">
        <f>VLOOKUP($A12,'Data shares'!$C:$FA,7)</f>
        <v>1742.6</v>
      </c>
      <c r="C12" s="144">
        <f>VLOOKUP($A12,'Data shares'!$C:$FA,3)</f>
        <v>1748</v>
      </c>
      <c r="D12" s="144">
        <f>VLOOKUP($A12,'Data shares'!$C:$FA,23)</f>
        <v>5.4</v>
      </c>
      <c r="E12" s="145">
        <f>VLOOKUP($A12,'Data shares'!$C:$FA,26)*100</f>
        <v>0.31</v>
      </c>
      <c r="F12" s="144">
        <f>VLOOKUP($A12,'Data shares'!$C:$FA,24)</f>
        <v>5.6</v>
      </c>
      <c r="G12" s="144">
        <f>VLOOKUP($A12,'Data shares'!$C:$FA,25)</f>
        <v>-0.2</v>
      </c>
    </row>
    <row r="13" spans="1:8" x14ac:dyDescent="0.25">
      <c r="A13" s="101" t="str">
        <f>'Data shares'!C9</f>
        <v>ADANIPOWER</v>
      </c>
      <c r="B13" s="144">
        <f>VLOOKUP($A13,'Data shares'!$C:$FA,7)</f>
        <v>227.3</v>
      </c>
      <c r="C13" s="144">
        <f>VLOOKUP($A13,'Data shares'!$C:$FA,3)</f>
        <v>228.01</v>
      </c>
      <c r="D13" s="144">
        <f>VLOOKUP($A13,'Data shares'!$C:$FA,23)</f>
        <v>0.71</v>
      </c>
      <c r="E13" s="145">
        <f>VLOOKUP($A13,'Data shares'!$C:$FA,26)*100</f>
        <v>0.31</v>
      </c>
      <c r="F13" s="144">
        <f>VLOOKUP($A13,'Data shares'!$C:$FA,24)</f>
        <v>1.53</v>
      </c>
      <c r="G13" s="144">
        <f>VLOOKUP($A13,'Data shares'!$C:$FA,25)</f>
        <v>-0.82</v>
      </c>
    </row>
    <row r="14" spans="1:8" x14ac:dyDescent="0.25">
      <c r="A14" s="101" t="str">
        <f>'Data shares'!C10</f>
        <v>ALKEM</v>
      </c>
      <c r="B14" s="144">
        <f>VLOOKUP($A14,'Data shares'!$C:$FA,7)</f>
        <v>5360.5</v>
      </c>
      <c r="C14" s="144">
        <f>VLOOKUP($A14,'Data shares'!$C:$FA,3)</f>
        <v>5350</v>
      </c>
      <c r="D14" s="144">
        <f>VLOOKUP($A14,'Data shares'!$C:$FA,23)</f>
        <v>-10.5</v>
      </c>
      <c r="E14" s="145">
        <f>VLOOKUP($A14,'Data shares'!$C:$FA,26)*100</f>
        <v>-0.2</v>
      </c>
      <c r="F14" s="144">
        <f>VLOOKUP($A14,'Data shares'!$C:$FA,24)</f>
        <v>-6.5</v>
      </c>
      <c r="G14" s="144">
        <f>VLOOKUP($A14,'Data shares'!$C:$FA,25)</f>
        <v>-4</v>
      </c>
    </row>
    <row r="15" spans="1:8" x14ac:dyDescent="0.25">
      <c r="A15" s="101" t="str">
        <f>'Data shares'!C11</f>
        <v>AMBER</v>
      </c>
      <c r="B15" s="144">
        <f>VLOOKUP($A15,'Data shares'!$C:$FA,7)</f>
        <v>8007</v>
      </c>
      <c r="C15" s="144">
        <f>VLOOKUP($A15,'Data shares'!$C:$FA,3)</f>
        <v>8051</v>
      </c>
      <c r="D15" s="144">
        <f>VLOOKUP($A15,'Data shares'!$C:$FA,23)</f>
        <v>44</v>
      </c>
      <c r="E15" s="145">
        <f>VLOOKUP($A15,'Data shares'!$C:$FA,26)*100</f>
        <v>0.54999999999999993</v>
      </c>
      <c r="F15" s="144">
        <f>VLOOKUP($A15,'Data shares'!$C:$FA,24)</f>
        <v>-28</v>
      </c>
      <c r="G15" s="144">
        <f>VLOOKUP($A15,'Data shares'!$C:$FA,25)</f>
        <v>72</v>
      </c>
    </row>
    <row r="16" spans="1:8" x14ac:dyDescent="0.25">
      <c r="A16" s="101" t="str">
        <f>'Data shares'!C12</f>
        <v>AMBUJACEM</v>
      </c>
      <c r="B16" s="144">
        <f>VLOOKUP($A16,'Data shares'!$C:$FA,7)</f>
        <v>445.3</v>
      </c>
      <c r="C16" s="144">
        <f>VLOOKUP($A16,'Data shares'!$C:$FA,3)</f>
        <v>447.35</v>
      </c>
      <c r="D16" s="144">
        <f>VLOOKUP($A16,'Data shares'!$C:$FA,23)</f>
        <v>2.0499999999999998</v>
      </c>
      <c r="E16" s="145">
        <f>VLOOKUP($A16,'Data shares'!$C:$FA,26)*100</f>
        <v>0.45999999999999996</v>
      </c>
      <c r="F16" s="144">
        <f>VLOOKUP($A16,'Data shares'!$C:$FA,24)</f>
        <v>2.6</v>
      </c>
      <c r="G16" s="144">
        <f>VLOOKUP($A16,'Data shares'!$C:$FA,25)</f>
        <v>-0.55000000000000004</v>
      </c>
    </row>
    <row r="17" spans="1:7" x14ac:dyDescent="0.25">
      <c r="A17" s="101" t="str">
        <f>'Data shares'!C13</f>
        <v>ANGELONE</v>
      </c>
      <c r="B17" s="144">
        <f>VLOOKUP($A17,'Data shares'!$C:$FA,7)</f>
        <v>307.7</v>
      </c>
      <c r="C17" s="144">
        <f>VLOOKUP($A17,'Data shares'!$C:$FA,3)</f>
        <v>309.5</v>
      </c>
      <c r="D17" s="144">
        <f>VLOOKUP($A17,'Data shares'!$C:$FA,23)</f>
        <v>1.8</v>
      </c>
      <c r="E17" s="145">
        <f>VLOOKUP($A17,'Data shares'!$C:$FA,26)*100</f>
        <v>0.57999999999999996</v>
      </c>
      <c r="F17" s="144">
        <f>VLOOKUP($A17,'Data shares'!$C:$FA,24)</f>
        <v>1.67</v>
      </c>
      <c r="G17" s="144">
        <f>VLOOKUP($A17,'Data shares'!$C:$FA,25)</f>
        <v>0.13</v>
      </c>
    </row>
    <row r="18" spans="1:7" x14ac:dyDescent="0.25">
      <c r="A18" s="101" t="str">
        <f>'Data shares'!C14</f>
        <v>APLAPOLLO</v>
      </c>
      <c r="B18" s="144">
        <f>VLOOKUP($A18,'Data shares'!$C:$FA,7)</f>
        <v>1873</v>
      </c>
      <c r="C18" s="144">
        <f>VLOOKUP($A18,'Data shares'!$C:$FA,3)</f>
        <v>1884.3</v>
      </c>
      <c r="D18" s="144">
        <f>VLOOKUP($A18,'Data shares'!$C:$FA,23)</f>
        <v>11.3</v>
      </c>
      <c r="E18" s="145">
        <f>VLOOKUP($A18,'Data shares'!$C:$FA,26)*100</f>
        <v>0.6</v>
      </c>
      <c r="F18" s="144">
        <f>VLOOKUP($A18,'Data shares'!$C:$FA,24)</f>
        <v>11.3</v>
      </c>
      <c r="G18" s="144">
        <f>VLOOKUP($A18,'Data shares'!$C:$FA,25)</f>
        <v>0</v>
      </c>
    </row>
    <row r="19" spans="1:7" x14ac:dyDescent="0.25">
      <c r="A19" s="101" t="str">
        <f>'Data shares'!C15</f>
        <v>APOLLOHOSP</v>
      </c>
      <c r="B19" s="144">
        <f>VLOOKUP($A19,'Data shares'!$C:$FA,7)</f>
        <v>7737.5</v>
      </c>
      <c r="C19" s="144">
        <f>VLOOKUP($A19,'Data shares'!$C:$FA,3)</f>
        <v>7780</v>
      </c>
      <c r="D19" s="144">
        <f>VLOOKUP($A19,'Data shares'!$C:$FA,23)</f>
        <v>42.5</v>
      </c>
      <c r="E19" s="145">
        <f>VLOOKUP($A19,'Data shares'!$C:$FA,26)*100</f>
        <v>0.54999999999999993</v>
      </c>
      <c r="F19" s="144">
        <f>VLOOKUP($A19,'Data shares'!$C:$FA,24)</f>
        <v>43</v>
      </c>
      <c r="G19" s="144">
        <f>VLOOKUP($A19,'Data shares'!$C:$FA,25)</f>
        <v>-0.5</v>
      </c>
    </row>
    <row r="20" spans="1:7" x14ac:dyDescent="0.25">
      <c r="A20" s="101" t="str">
        <f>'Data shares'!C16</f>
        <v>ASHOKLEY</v>
      </c>
      <c r="B20" s="144">
        <f>VLOOKUP($A20,'Data shares'!$C:$FA,7)</f>
        <v>160.77000000000001</v>
      </c>
      <c r="C20" s="144">
        <f>VLOOKUP($A20,'Data shares'!$C:$FA,3)</f>
        <v>160.62</v>
      </c>
      <c r="D20" s="144">
        <f>VLOOKUP($A20,'Data shares'!$C:$FA,23)</f>
        <v>-0.15</v>
      </c>
      <c r="E20" s="145">
        <f>VLOOKUP($A20,'Data shares'!$C:$FA,26)*100</f>
        <v>-0.09</v>
      </c>
      <c r="F20" s="144">
        <f>VLOOKUP($A20,'Data shares'!$C:$FA,24)</f>
        <v>0.36</v>
      </c>
      <c r="G20" s="144">
        <f>VLOOKUP($A20,'Data shares'!$C:$FA,25)</f>
        <v>-0.51</v>
      </c>
    </row>
    <row r="21" spans="1:7" x14ac:dyDescent="0.25">
      <c r="A21" s="101" t="str">
        <f>'Data shares'!C17</f>
        <v>ASIANPAINT</v>
      </c>
      <c r="B21" s="144">
        <f>VLOOKUP($A21,'Data shares'!$C:$FA,7)</f>
        <v>2448.1</v>
      </c>
      <c r="C21" s="144">
        <f>VLOOKUP($A21,'Data shares'!$C:$FA,3)</f>
        <v>2461.9</v>
      </c>
      <c r="D21" s="144">
        <f>VLOOKUP($A21,'Data shares'!$C:$FA,23)</f>
        <v>13.8</v>
      </c>
      <c r="E21" s="145">
        <f>VLOOKUP($A21,'Data shares'!$C:$FA,26)*100</f>
        <v>0.55999999999999994</v>
      </c>
      <c r="F21" s="144">
        <f>VLOOKUP($A21,'Data shares'!$C:$FA,24)</f>
        <v>12.7</v>
      </c>
      <c r="G21" s="144">
        <f>VLOOKUP($A21,'Data shares'!$C:$FA,25)</f>
        <v>1.1000000000000001</v>
      </c>
    </row>
    <row r="22" spans="1:7" x14ac:dyDescent="0.25">
      <c r="A22" s="101" t="str">
        <f>'Data shares'!C18</f>
        <v>ASTRAL</v>
      </c>
      <c r="B22" s="144">
        <f>VLOOKUP($A22,'Data shares'!$C:$FA,7)</f>
        <v>1559.6</v>
      </c>
      <c r="C22" s="144">
        <f>VLOOKUP($A22,'Data shares'!$C:$FA,3)</f>
        <v>1558.3</v>
      </c>
      <c r="D22" s="144">
        <f>VLOOKUP($A22,'Data shares'!$C:$FA,23)</f>
        <v>-1.3</v>
      </c>
      <c r="E22" s="145">
        <f>VLOOKUP($A22,'Data shares'!$C:$FA,26)*100</f>
        <v>-0.08</v>
      </c>
      <c r="F22" s="144">
        <f>VLOOKUP($A22,'Data shares'!$C:$FA,24)</f>
        <v>3.5</v>
      </c>
      <c r="G22" s="144">
        <f>VLOOKUP($A22,'Data shares'!$C:$FA,25)</f>
        <v>-4.8</v>
      </c>
    </row>
    <row r="23" spans="1:7" x14ac:dyDescent="0.25">
      <c r="A23" s="101" t="str">
        <f>'Data shares'!C19</f>
        <v>AUBANK</v>
      </c>
      <c r="B23" s="144">
        <f>VLOOKUP($A23,'Data shares'!$C:$FA,7)</f>
        <v>1015</v>
      </c>
      <c r="C23" s="144">
        <f>VLOOKUP($A23,'Data shares'!$C:$FA,3)</f>
        <v>1021.1</v>
      </c>
      <c r="D23" s="144">
        <f>VLOOKUP($A23,'Data shares'!$C:$FA,23)</f>
        <v>6.1</v>
      </c>
      <c r="E23" s="145">
        <f>VLOOKUP($A23,'Data shares'!$C:$FA,26)*100</f>
        <v>0.6</v>
      </c>
      <c r="F23" s="144">
        <f>VLOOKUP($A23,'Data shares'!$C:$FA,24)</f>
        <v>5.2</v>
      </c>
      <c r="G23" s="144">
        <f>VLOOKUP($A23,'Data shares'!$C:$FA,25)</f>
        <v>0.9</v>
      </c>
    </row>
    <row r="24" spans="1:7" x14ac:dyDescent="0.25">
      <c r="A24" s="101" t="str">
        <f>'Data shares'!C20</f>
        <v>AUROPHARMA</v>
      </c>
      <c r="B24" s="144">
        <f>VLOOKUP($A24,'Data shares'!$C:$FA,7)</f>
        <v>1376</v>
      </c>
      <c r="C24" s="144">
        <f>VLOOKUP($A24,'Data shares'!$C:$FA,3)</f>
        <v>1379.8</v>
      </c>
      <c r="D24" s="144">
        <f>VLOOKUP($A24,'Data shares'!$C:$FA,23)</f>
        <v>3.8</v>
      </c>
      <c r="E24" s="145">
        <f>VLOOKUP($A24,'Data shares'!$C:$FA,26)*100</f>
        <v>0.27999999999999997</v>
      </c>
      <c r="F24" s="144">
        <f>VLOOKUP($A24,'Data shares'!$C:$FA,24)</f>
        <v>6.9</v>
      </c>
      <c r="G24" s="144">
        <f>VLOOKUP($A24,'Data shares'!$C:$FA,25)</f>
        <v>-3.1</v>
      </c>
    </row>
    <row r="25" spans="1:7" x14ac:dyDescent="0.25">
      <c r="A25" s="101" t="str">
        <f>'Data shares'!C21</f>
        <v>AXISBANK</v>
      </c>
      <c r="B25" s="144">
        <f>VLOOKUP($A25,'Data shares'!$C:$FA,7)</f>
        <v>1275.0999999999999</v>
      </c>
      <c r="C25" s="144">
        <f>VLOOKUP($A25,'Data shares'!$C:$FA,3)</f>
        <v>1282.2</v>
      </c>
      <c r="D25" s="144">
        <f>VLOOKUP($A25,'Data shares'!$C:$FA,23)</f>
        <v>7.1</v>
      </c>
      <c r="E25" s="145">
        <f>VLOOKUP($A25,'Data shares'!$C:$FA,26)*100</f>
        <v>0.55999999999999994</v>
      </c>
      <c r="F25" s="144">
        <f>VLOOKUP($A25,'Data shares'!$C:$FA,24)</f>
        <v>7.6</v>
      </c>
      <c r="G25" s="144">
        <f>VLOOKUP($A25,'Data shares'!$C:$FA,25)</f>
        <v>-0.5</v>
      </c>
    </row>
    <row r="26" spans="1:7" x14ac:dyDescent="0.25">
      <c r="A26" s="101" t="str">
        <f>'Data shares'!C22</f>
        <v>BAJAJ-AUTO</v>
      </c>
      <c r="B26" s="144">
        <f>VLOOKUP($A26,'Data shares'!$C:$FA,7)</f>
        <v>10132</v>
      </c>
      <c r="C26" s="144">
        <f>VLOOKUP($A26,'Data shares'!$C:$FA,3)</f>
        <v>10170.5</v>
      </c>
      <c r="D26" s="144">
        <f>VLOOKUP($A26,'Data shares'!$C:$FA,23)</f>
        <v>38.5</v>
      </c>
      <c r="E26" s="145">
        <f>VLOOKUP($A26,'Data shares'!$C:$FA,26)*100</f>
        <v>0.38</v>
      </c>
      <c r="F26" s="144">
        <f>VLOOKUP($A26,'Data shares'!$C:$FA,24)</f>
        <v>45</v>
      </c>
      <c r="G26" s="144">
        <f>VLOOKUP($A26,'Data shares'!$C:$FA,25)</f>
        <v>-6.5</v>
      </c>
    </row>
    <row r="27" spans="1:7" x14ac:dyDescent="0.25">
      <c r="A27" s="101" t="str">
        <f>'Data shares'!C23</f>
        <v>BAJAJFINSV</v>
      </c>
      <c r="B27" s="144">
        <f>VLOOKUP($A27,'Data shares'!$C:$FA,7)</f>
        <v>1770.4</v>
      </c>
      <c r="C27" s="144">
        <f>VLOOKUP($A27,'Data shares'!$C:$FA,3)</f>
        <v>1780.2</v>
      </c>
      <c r="D27" s="144">
        <f>VLOOKUP($A27,'Data shares'!$C:$FA,23)</f>
        <v>9.8000000000000007</v>
      </c>
      <c r="E27" s="145">
        <f>VLOOKUP($A27,'Data shares'!$C:$FA,26)*100</f>
        <v>0.54999999999999993</v>
      </c>
      <c r="F27" s="144">
        <f>VLOOKUP($A27,'Data shares'!$C:$FA,24)</f>
        <v>5.2</v>
      </c>
      <c r="G27" s="144">
        <f>VLOOKUP($A27,'Data shares'!$C:$FA,25)</f>
        <v>4.5999999999999996</v>
      </c>
    </row>
    <row r="28" spans="1:7" x14ac:dyDescent="0.25">
      <c r="A28" s="101" t="str">
        <f>'Data shares'!C24</f>
        <v>BAJAJHLDNG</v>
      </c>
      <c r="B28" s="144">
        <f>VLOOKUP($A28,'Data shares'!$C:$FA,7)</f>
        <v>10376</v>
      </c>
      <c r="C28" s="144">
        <f>VLOOKUP($A28,'Data shares'!$C:$FA,3)</f>
        <v>10427</v>
      </c>
      <c r="D28" s="144">
        <f>VLOOKUP($A28,'Data shares'!$C:$FA,23)</f>
        <v>51</v>
      </c>
      <c r="E28" s="145">
        <f>VLOOKUP($A28,'Data shares'!$C:$FA,26)*100</f>
        <v>0.49</v>
      </c>
      <c r="F28" s="144">
        <f>VLOOKUP($A28,'Data shares'!$C:$FA,24)</f>
        <v>69</v>
      </c>
      <c r="G28" s="144">
        <f>VLOOKUP($A28,'Data shares'!$C:$FA,25)</f>
        <v>-18</v>
      </c>
    </row>
    <row r="29" spans="1:7" x14ac:dyDescent="0.25">
      <c r="A29" s="101" t="str">
        <f>'Data shares'!C25</f>
        <v>BAJFINANCE</v>
      </c>
      <c r="B29" s="144">
        <f>VLOOKUP($A29,'Data shares'!$C:$FA,7)</f>
        <v>950.2</v>
      </c>
      <c r="C29" s="144">
        <f>VLOOKUP($A29,'Data shares'!$C:$FA,3)</f>
        <v>953.4</v>
      </c>
      <c r="D29" s="144">
        <f>VLOOKUP($A29,'Data shares'!$C:$FA,23)</f>
        <v>3.2</v>
      </c>
      <c r="E29" s="145">
        <f>VLOOKUP($A29,'Data shares'!$C:$FA,26)*100</f>
        <v>0.33999999999999997</v>
      </c>
      <c r="F29" s="144">
        <f>VLOOKUP($A29,'Data shares'!$C:$FA,24)</f>
        <v>5.35</v>
      </c>
      <c r="G29" s="144">
        <f>VLOOKUP($A29,'Data shares'!$C:$FA,25)</f>
        <v>-2.15</v>
      </c>
    </row>
    <row r="30" spans="1:7" x14ac:dyDescent="0.25">
      <c r="A30" s="101" t="str">
        <f>'Data shares'!C26</f>
        <v>BANDHANBNK</v>
      </c>
      <c r="B30" s="144">
        <f>VLOOKUP($A30,'Data shares'!$C:$FA,7)</f>
        <v>206.76</v>
      </c>
      <c r="C30" s="144">
        <f>VLOOKUP($A30,'Data shares'!$C:$FA,3)</f>
        <v>208.01</v>
      </c>
      <c r="D30" s="144">
        <f>VLOOKUP($A30,'Data shares'!$C:$FA,23)</f>
        <v>1.25</v>
      </c>
      <c r="E30" s="145">
        <f>VLOOKUP($A30,'Data shares'!$C:$FA,26)*100</f>
        <v>0.6</v>
      </c>
      <c r="F30" s="144">
        <f>VLOOKUP($A30,'Data shares'!$C:$FA,24)</f>
        <v>1.17</v>
      </c>
      <c r="G30" s="144">
        <f>VLOOKUP($A30,'Data shares'!$C:$FA,25)</f>
        <v>0.08</v>
      </c>
    </row>
    <row r="31" spans="1:7" x14ac:dyDescent="0.25">
      <c r="A31" s="101" t="str">
        <f>'Data shares'!C27</f>
        <v>BANKBARODA</v>
      </c>
      <c r="B31" s="144">
        <f>VLOOKUP($A31,'Data shares'!$C:$FA,7)</f>
        <v>265.10000000000002</v>
      </c>
      <c r="C31" s="144">
        <f>VLOOKUP($A31,'Data shares'!$C:$FA,3)</f>
        <v>266.60000000000002</v>
      </c>
      <c r="D31" s="144">
        <f>VLOOKUP($A31,'Data shares'!$C:$FA,23)</f>
        <v>1.5</v>
      </c>
      <c r="E31" s="145">
        <f>VLOOKUP($A31,'Data shares'!$C:$FA,26)*100</f>
        <v>0.57000000000000006</v>
      </c>
      <c r="F31" s="144">
        <f>VLOOKUP($A31,'Data shares'!$C:$FA,24)</f>
        <v>1.64</v>
      </c>
      <c r="G31" s="144">
        <f>VLOOKUP($A31,'Data shares'!$C:$FA,25)</f>
        <v>-0.14000000000000001</v>
      </c>
    </row>
    <row r="32" spans="1:7" x14ac:dyDescent="0.25">
      <c r="A32" s="101" t="str">
        <f>'Data shares'!C28</f>
        <v>BANKINDIA</v>
      </c>
      <c r="B32" s="144">
        <f>VLOOKUP($A32,'Data shares'!$C:$FA,7)</f>
        <v>138.66</v>
      </c>
      <c r="C32" s="144">
        <f>VLOOKUP($A32,'Data shares'!$C:$FA,3)</f>
        <v>139.51</v>
      </c>
      <c r="D32" s="144">
        <f>VLOOKUP($A32,'Data shares'!$C:$FA,23)</f>
        <v>0.85</v>
      </c>
      <c r="E32" s="145">
        <f>VLOOKUP($A32,'Data shares'!$C:$FA,26)*100</f>
        <v>0.61</v>
      </c>
      <c r="F32" s="144">
        <f>VLOOKUP($A32,'Data shares'!$C:$FA,24)</f>
        <v>0.64</v>
      </c>
      <c r="G32" s="144">
        <f>VLOOKUP($A32,'Data shares'!$C:$FA,25)</f>
        <v>0.21</v>
      </c>
    </row>
    <row r="33" spans="1:7" x14ac:dyDescent="0.25">
      <c r="A33" s="101" t="str">
        <f>'Data shares'!C29</f>
        <v>BANKNIFTY</v>
      </c>
      <c r="B33" s="144">
        <f>VLOOKUP($A33,'Data shares'!$C:$FA,7)</f>
        <v>54878.5</v>
      </c>
      <c r="C33" s="144">
        <f>VLOOKUP($A33,'Data shares'!$C:$FA,3)</f>
        <v>55153.8</v>
      </c>
      <c r="D33" s="144">
        <f>VLOOKUP($A33,'Data shares'!$C:$FA,23)</f>
        <v>275.3</v>
      </c>
      <c r="E33" s="145">
        <f>VLOOKUP($A33,'Data shares'!$C:$FA,26)*100</f>
        <v>0.5</v>
      </c>
      <c r="F33" s="144">
        <f>VLOOKUP($A33,'Data shares'!$C:$FA,24)</f>
        <v>331.85</v>
      </c>
      <c r="G33" s="144">
        <f>VLOOKUP($A33,'Data shares'!$C:$FA,25)</f>
        <v>-56.55</v>
      </c>
    </row>
    <row r="34" spans="1:7" x14ac:dyDescent="0.25">
      <c r="A34" s="101" t="str">
        <f>'Data shares'!C30</f>
        <v>BDL</v>
      </c>
      <c r="B34" s="144">
        <f>VLOOKUP($A34,'Data shares'!$C:$FA,7)</f>
        <v>1372.4</v>
      </c>
      <c r="C34" s="144">
        <f>VLOOKUP($A34,'Data shares'!$C:$FA,3)</f>
        <v>1377.2</v>
      </c>
      <c r="D34" s="144">
        <f>VLOOKUP($A34,'Data shares'!$C:$FA,23)</f>
        <v>4.8</v>
      </c>
      <c r="E34" s="145">
        <f>VLOOKUP($A34,'Data shares'!$C:$FA,26)*100</f>
        <v>0.35000000000000003</v>
      </c>
      <c r="F34" s="144">
        <f>VLOOKUP($A34,'Data shares'!$C:$FA,24)</f>
        <v>4.5</v>
      </c>
      <c r="G34" s="144">
        <f>VLOOKUP($A34,'Data shares'!$C:$FA,25)</f>
        <v>0.3</v>
      </c>
    </row>
    <row r="35" spans="1:7" x14ac:dyDescent="0.25">
      <c r="A35" s="101" t="str">
        <f>'Data shares'!C31</f>
        <v>BEL</v>
      </c>
      <c r="B35" s="144">
        <f>VLOOKUP($A35,'Data shares'!$C:$FA,7)</f>
        <v>433.55</v>
      </c>
      <c r="C35" s="144">
        <f>VLOOKUP($A35,'Data shares'!$C:$FA,3)</f>
        <v>435.75</v>
      </c>
      <c r="D35" s="144">
        <f>VLOOKUP($A35,'Data shares'!$C:$FA,23)</f>
        <v>2.2000000000000002</v>
      </c>
      <c r="E35" s="145">
        <f>VLOOKUP($A35,'Data shares'!$C:$FA,26)*100</f>
        <v>0.51</v>
      </c>
      <c r="F35" s="144">
        <f>VLOOKUP($A35,'Data shares'!$C:$FA,24)</f>
        <v>2.65</v>
      </c>
      <c r="G35" s="144">
        <f>VLOOKUP($A35,'Data shares'!$C:$FA,25)</f>
        <v>-0.45</v>
      </c>
    </row>
    <row r="36" spans="1:7" x14ac:dyDescent="0.25">
      <c r="A36" s="101" t="str">
        <f>'Data shares'!C32</f>
        <v>BHARATFORG</v>
      </c>
      <c r="B36" s="144">
        <f>VLOOKUP($A36,'Data shares'!$C:$FA,7)</f>
        <v>1845.8</v>
      </c>
      <c r="C36" s="144">
        <f>VLOOKUP($A36,'Data shares'!$C:$FA,3)</f>
        <v>1847.4</v>
      </c>
      <c r="D36" s="144">
        <f>VLOOKUP($A36,'Data shares'!$C:$FA,23)</f>
        <v>1.6</v>
      </c>
      <c r="E36" s="145">
        <f>VLOOKUP($A36,'Data shares'!$C:$FA,26)*100</f>
        <v>0.09</v>
      </c>
      <c r="F36" s="144">
        <f>VLOOKUP($A36,'Data shares'!$C:$FA,24)</f>
        <v>9.9</v>
      </c>
      <c r="G36" s="144">
        <f>VLOOKUP($A36,'Data shares'!$C:$FA,25)</f>
        <v>-8.3000000000000007</v>
      </c>
    </row>
    <row r="37" spans="1:7" x14ac:dyDescent="0.25">
      <c r="A37" s="101" t="str">
        <f>'Data shares'!C33</f>
        <v>BHARTIARTL</v>
      </c>
      <c r="B37" s="144">
        <f>VLOOKUP($A37,'Data shares'!$C:$FA,7)</f>
        <v>1827.1</v>
      </c>
      <c r="C37" s="144">
        <f>VLOOKUP($A37,'Data shares'!$C:$FA,3)</f>
        <v>1837.4</v>
      </c>
      <c r="D37" s="144">
        <f>VLOOKUP($A37,'Data shares'!$C:$FA,23)</f>
        <v>10.3</v>
      </c>
      <c r="E37" s="145">
        <f>VLOOKUP($A37,'Data shares'!$C:$FA,26)*100</f>
        <v>0.55999999999999994</v>
      </c>
      <c r="F37" s="144">
        <f>VLOOKUP($A37,'Data shares'!$C:$FA,24)</f>
        <v>9.6</v>
      </c>
      <c r="G37" s="144">
        <f>VLOOKUP($A37,'Data shares'!$C:$FA,25)</f>
        <v>0.7</v>
      </c>
    </row>
    <row r="38" spans="1:7" x14ac:dyDescent="0.25">
      <c r="A38" s="101" t="str">
        <f>'Data shares'!C34</f>
        <v>BHEL</v>
      </c>
      <c r="B38" s="144">
        <f>VLOOKUP($A38,'Data shares'!$C:$FA,7)</f>
        <v>377.05</v>
      </c>
      <c r="C38" s="144">
        <f>VLOOKUP($A38,'Data shares'!$C:$FA,3)</f>
        <v>379.75</v>
      </c>
      <c r="D38" s="144">
        <f>VLOOKUP($A38,'Data shares'!$C:$FA,23)</f>
        <v>2.7</v>
      </c>
      <c r="E38" s="145">
        <f>VLOOKUP($A38,'Data shares'!$C:$FA,26)*100</f>
        <v>0.72</v>
      </c>
      <c r="F38" s="144">
        <f>VLOOKUP($A38,'Data shares'!$C:$FA,24)</f>
        <v>2.11</v>
      </c>
      <c r="G38" s="144">
        <f>VLOOKUP($A38,'Data shares'!$C:$FA,25)</f>
        <v>0.59</v>
      </c>
    </row>
    <row r="39" spans="1:7" x14ac:dyDescent="0.25">
      <c r="A39" s="101" t="str">
        <f>'Data shares'!C35</f>
        <v>BIOCON</v>
      </c>
      <c r="B39" s="144">
        <f>VLOOKUP($A39,'Data shares'!$C:$FA,7)</f>
        <v>360.6</v>
      </c>
      <c r="C39" s="144">
        <f>VLOOKUP($A39,'Data shares'!$C:$FA,3)</f>
        <v>362.7</v>
      </c>
      <c r="D39" s="144">
        <f>VLOOKUP($A39,'Data shares'!$C:$FA,23)</f>
        <v>2.1</v>
      </c>
      <c r="E39" s="145">
        <f>VLOOKUP($A39,'Data shares'!$C:$FA,26)*100</f>
        <v>0.57999999999999996</v>
      </c>
      <c r="F39" s="144">
        <f>VLOOKUP($A39,'Data shares'!$C:$FA,24)</f>
        <v>1.45</v>
      </c>
      <c r="G39" s="144">
        <f>VLOOKUP($A39,'Data shares'!$C:$FA,25)</f>
        <v>0.65</v>
      </c>
    </row>
    <row r="40" spans="1:7" x14ac:dyDescent="0.25">
      <c r="A40" s="101" t="str">
        <f>'Data shares'!C36</f>
        <v>BLUESTARCO</v>
      </c>
      <c r="B40" s="144">
        <f>VLOOKUP($A40,'Data shares'!$C:$FA,7)</f>
        <v>1802.2</v>
      </c>
      <c r="C40" s="144">
        <f>VLOOKUP($A40,'Data shares'!$C:$FA,3)</f>
        <v>1801.4</v>
      </c>
      <c r="D40" s="144">
        <f>VLOOKUP($A40,'Data shares'!$C:$FA,23)</f>
        <v>-0.8</v>
      </c>
      <c r="E40" s="145">
        <f>VLOOKUP($A40,'Data shares'!$C:$FA,26)*100</f>
        <v>-0.04</v>
      </c>
      <c r="F40" s="144">
        <f>VLOOKUP($A40,'Data shares'!$C:$FA,24)</f>
        <v>-14.6</v>
      </c>
      <c r="G40" s="144">
        <f>VLOOKUP($A40,'Data shares'!$C:$FA,25)</f>
        <v>13.8</v>
      </c>
    </row>
    <row r="41" spans="1:7" x14ac:dyDescent="0.25">
      <c r="A41" s="101" t="str">
        <f>'Data shares'!C37</f>
        <v>BOSCHLTD</v>
      </c>
      <c r="B41" s="144">
        <f>VLOOKUP($A41,'Data shares'!$C:$FA,7)</f>
        <v>35850</v>
      </c>
      <c r="C41" s="144">
        <f>VLOOKUP($A41,'Data shares'!$C:$FA,3)</f>
        <v>35930</v>
      </c>
      <c r="D41" s="144">
        <f>VLOOKUP($A41,'Data shares'!$C:$FA,23)</f>
        <v>80</v>
      </c>
      <c r="E41" s="145">
        <f>VLOOKUP($A41,'Data shares'!$C:$FA,26)*100</f>
        <v>0.22</v>
      </c>
      <c r="F41" s="144">
        <f>VLOOKUP($A41,'Data shares'!$C:$FA,24)</f>
        <v>235</v>
      </c>
      <c r="G41" s="144">
        <f>VLOOKUP($A41,'Data shares'!$C:$FA,25)</f>
        <v>-155</v>
      </c>
    </row>
    <row r="42" spans="1:7" x14ac:dyDescent="0.25">
      <c r="A42" s="101" t="str">
        <f>'Data shares'!C38</f>
        <v>BPCL</v>
      </c>
      <c r="B42" s="144">
        <f>VLOOKUP($A42,'Data shares'!$C:$FA,7)</f>
        <v>301.7</v>
      </c>
      <c r="C42" s="144">
        <f>VLOOKUP($A42,'Data shares'!$C:$FA,3)</f>
        <v>303.55</v>
      </c>
      <c r="D42" s="144">
        <f>VLOOKUP($A42,'Data shares'!$C:$FA,23)</f>
        <v>1.85</v>
      </c>
      <c r="E42" s="145">
        <f>VLOOKUP($A42,'Data shares'!$C:$FA,26)*100</f>
        <v>0.61</v>
      </c>
      <c r="F42" s="144">
        <f>VLOOKUP($A42,'Data shares'!$C:$FA,24)</f>
        <v>1.85</v>
      </c>
      <c r="G42" s="144">
        <f>VLOOKUP($A42,'Data shares'!$C:$FA,25)</f>
        <v>0</v>
      </c>
    </row>
    <row r="43" spans="1:7" x14ac:dyDescent="0.25">
      <c r="A43" s="101" t="str">
        <f>'Data shares'!C39</f>
        <v>BRITANNIA</v>
      </c>
      <c r="B43" s="144">
        <f>VLOOKUP($A43,'Data shares'!$C:$FA,7)</f>
        <v>5792.5</v>
      </c>
      <c r="C43" s="144">
        <f>VLOOKUP($A43,'Data shares'!$C:$FA,3)</f>
        <v>5807</v>
      </c>
      <c r="D43" s="144">
        <f>VLOOKUP($A43,'Data shares'!$C:$FA,23)</f>
        <v>14.5</v>
      </c>
      <c r="E43" s="145">
        <f>VLOOKUP($A43,'Data shares'!$C:$FA,26)*100</f>
        <v>0.25</v>
      </c>
      <c r="F43" s="144">
        <f>VLOOKUP($A43,'Data shares'!$C:$FA,24)</f>
        <v>20.5</v>
      </c>
      <c r="G43" s="144">
        <f>VLOOKUP($A43,'Data shares'!$C:$FA,25)</f>
        <v>-6</v>
      </c>
    </row>
    <row r="44" spans="1:7" x14ac:dyDescent="0.25">
      <c r="A44" s="101" t="str">
        <f>'Data shares'!C40</f>
        <v>BSE</v>
      </c>
      <c r="B44" s="144">
        <f>VLOOKUP($A44,'Data shares'!$C:$FA,7)</f>
        <v>3711.3</v>
      </c>
      <c r="C44" s="144">
        <f>VLOOKUP($A44,'Data shares'!$C:$FA,3)</f>
        <v>3712.8</v>
      </c>
      <c r="D44" s="144">
        <f>VLOOKUP($A44,'Data shares'!$C:$FA,23)</f>
        <v>1.5</v>
      </c>
      <c r="E44" s="145">
        <f>VLOOKUP($A44,'Data shares'!$C:$FA,26)*100</f>
        <v>0.04</v>
      </c>
      <c r="F44" s="144">
        <f>VLOOKUP($A44,'Data shares'!$C:$FA,24)</f>
        <v>17.2</v>
      </c>
      <c r="G44" s="144">
        <f>VLOOKUP($A44,'Data shares'!$C:$FA,25)</f>
        <v>-15.7</v>
      </c>
    </row>
    <row r="45" spans="1:7" x14ac:dyDescent="0.25">
      <c r="A45" s="101" t="str">
        <f>'Data shares'!C41</f>
        <v>CAMS</v>
      </c>
      <c r="B45" s="144">
        <f>VLOOKUP($A45,'Data shares'!$C:$FA,7)</f>
        <v>730.85</v>
      </c>
      <c r="C45" s="144">
        <f>VLOOKUP($A45,'Data shares'!$C:$FA,3)</f>
        <v>724.9</v>
      </c>
      <c r="D45" s="144">
        <f>VLOOKUP($A45,'Data shares'!$C:$FA,23)</f>
        <v>-5.95</v>
      </c>
      <c r="E45" s="145">
        <f>VLOOKUP($A45,'Data shares'!$C:$FA,26)*100</f>
        <v>-0.80999999999999994</v>
      </c>
      <c r="F45" s="144">
        <f>VLOOKUP($A45,'Data shares'!$C:$FA,24)</f>
        <v>-9.6</v>
      </c>
      <c r="G45" s="144">
        <f>VLOOKUP($A45,'Data shares'!$C:$FA,25)</f>
        <v>3.65</v>
      </c>
    </row>
    <row r="46" spans="1:7" x14ac:dyDescent="0.25">
      <c r="A46" s="101" t="str">
        <f>'Data shares'!C42</f>
        <v>CANBK</v>
      </c>
      <c r="B46" s="144">
        <f>VLOOKUP($A46,'Data shares'!$C:$FA,7)</f>
        <v>134.80000000000001</v>
      </c>
      <c r="C46" s="144">
        <f>VLOOKUP($A46,'Data shares'!$C:$FA,3)</f>
        <v>135.22999999999999</v>
      </c>
      <c r="D46" s="144">
        <f>VLOOKUP($A46,'Data shares'!$C:$FA,23)</f>
        <v>0.43</v>
      </c>
      <c r="E46" s="145">
        <f>VLOOKUP($A46,'Data shares'!$C:$FA,26)*100</f>
        <v>0.32</v>
      </c>
      <c r="F46" s="144">
        <f>VLOOKUP($A46,'Data shares'!$C:$FA,24)</f>
        <v>0.8</v>
      </c>
      <c r="G46" s="144">
        <f>VLOOKUP($A46,'Data shares'!$C:$FA,25)</f>
        <v>-0.37</v>
      </c>
    </row>
    <row r="47" spans="1:7" x14ac:dyDescent="0.25">
      <c r="A47" s="101" t="str">
        <f>'Data shares'!C43</f>
        <v>CDSL</v>
      </c>
      <c r="B47" s="144">
        <f>VLOOKUP($A47,'Data shares'!$C:$FA,7)</f>
        <v>1238.3</v>
      </c>
      <c r="C47" s="144">
        <f>VLOOKUP($A47,'Data shares'!$C:$FA,3)</f>
        <v>1241</v>
      </c>
      <c r="D47" s="144">
        <f>VLOOKUP($A47,'Data shares'!$C:$FA,23)</f>
        <v>2.7</v>
      </c>
      <c r="E47" s="145">
        <f>VLOOKUP($A47,'Data shares'!$C:$FA,26)*100</f>
        <v>0.22</v>
      </c>
      <c r="F47" s="144">
        <f>VLOOKUP($A47,'Data shares'!$C:$FA,24)</f>
        <v>-1.3</v>
      </c>
      <c r="G47" s="144">
        <f>VLOOKUP($A47,'Data shares'!$C:$FA,25)</f>
        <v>4</v>
      </c>
    </row>
    <row r="48" spans="1:7" x14ac:dyDescent="0.25">
      <c r="A48" s="101" t="str">
        <f>'Data shares'!C44</f>
        <v>CGPOWER</v>
      </c>
      <c r="B48" s="144">
        <f>VLOOKUP($A48,'Data shares'!$C:$FA,7)</f>
        <v>802.3</v>
      </c>
      <c r="C48" s="144">
        <f>VLOOKUP($A48,'Data shares'!$C:$FA,3)</f>
        <v>807</v>
      </c>
      <c r="D48" s="144">
        <f>VLOOKUP($A48,'Data shares'!$C:$FA,23)</f>
        <v>4.7</v>
      </c>
      <c r="E48" s="145">
        <f>VLOOKUP($A48,'Data shares'!$C:$FA,26)*100</f>
        <v>0.59</v>
      </c>
      <c r="F48" s="144">
        <f>VLOOKUP($A48,'Data shares'!$C:$FA,24)</f>
        <v>5.0999999999999996</v>
      </c>
      <c r="G48" s="144">
        <f>VLOOKUP($A48,'Data shares'!$C:$FA,25)</f>
        <v>-0.4</v>
      </c>
    </row>
    <row r="49" spans="1:7" x14ac:dyDescent="0.25">
      <c r="A49" s="101" t="str">
        <f>'Data shares'!C45</f>
        <v>CHOLAFIN</v>
      </c>
      <c r="B49" s="144">
        <f>VLOOKUP($A49,'Data shares'!$C:$FA,7)</f>
        <v>1639.5</v>
      </c>
      <c r="C49" s="144">
        <f>VLOOKUP($A49,'Data shares'!$C:$FA,3)</f>
        <v>1644.2</v>
      </c>
      <c r="D49" s="144">
        <f>VLOOKUP($A49,'Data shares'!$C:$FA,23)</f>
        <v>4.7</v>
      </c>
      <c r="E49" s="145">
        <f>VLOOKUP($A49,'Data shares'!$C:$FA,26)*100</f>
        <v>0.28999999999999998</v>
      </c>
      <c r="F49" s="144">
        <f>VLOOKUP($A49,'Data shares'!$C:$FA,24)</f>
        <v>10.1</v>
      </c>
      <c r="G49" s="144">
        <f>VLOOKUP($A49,'Data shares'!$C:$FA,25)</f>
        <v>-5.4</v>
      </c>
    </row>
    <row r="50" spans="1:7" x14ac:dyDescent="0.25">
      <c r="A50" s="101" t="str">
        <f>'Data shares'!C46</f>
        <v>CIPLA</v>
      </c>
      <c r="B50" s="144">
        <f>VLOOKUP($A50,'Data shares'!$C:$FA,7)</f>
        <v>1335</v>
      </c>
      <c r="C50" s="144">
        <f>VLOOKUP($A50,'Data shares'!$C:$FA,3)</f>
        <v>1338.8</v>
      </c>
      <c r="D50" s="144">
        <f>VLOOKUP($A50,'Data shares'!$C:$FA,23)</f>
        <v>3.8</v>
      </c>
      <c r="E50" s="145">
        <f>VLOOKUP($A50,'Data shares'!$C:$FA,26)*100</f>
        <v>0.27999999999999997</v>
      </c>
      <c r="F50" s="144">
        <f>VLOOKUP($A50,'Data shares'!$C:$FA,24)</f>
        <v>5.6</v>
      </c>
      <c r="G50" s="144">
        <f>VLOOKUP($A50,'Data shares'!$C:$FA,25)</f>
        <v>-1.8</v>
      </c>
    </row>
    <row r="51" spans="1:7" x14ac:dyDescent="0.25">
      <c r="A51" s="101" t="str">
        <f>'Data shares'!C47</f>
        <v>COALINDIA</v>
      </c>
      <c r="B51" s="144">
        <f>VLOOKUP($A51,'Data shares'!$C:$FA,7)</f>
        <v>479.95</v>
      </c>
      <c r="C51" s="144">
        <f>VLOOKUP($A51,'Data shares'!$C:$FA,3)</f>
        <v>481.2</v>
      </c>
      <c r="D51" s="144">
        <f>VLOOKUP($A51,'Data shares'!$C:$FA,23)</f>
        <v>1.25</v>
      </c>
      <c r="E51" s="145">
        <f>VLOOKUP($A51,'Data shares'!$C:$FA,26)*100</f>
        <v>0.26</v>
      </c>
      <c r="F51" s="144">
        <f>VLOOKUP($A51,'Data shares'!$C:$FA,24)</f>
        <v>2.2999999999999998</v>
      </c>
      <c r="G51" s="144">
        <f>VLOOKUP($A51,'Data shares'!$C:$FA,25)</f>
        <v>-1.05</v>
      </c>
    </row>
    <row r="52" spans="1:7" x14ac:dyDescent="0.25">
      <c r="A52" s="101" t="str">
        <f>'Data shares'!C48</f>
        <v>COCHINSHIP</v>
      </c>
      <c r="B52" s="144">
        <f>VLOOKUP($A52,'Data shares'!$C:$FA,7)</f>
        <v>1719.3</v>
      </c>
      <c r="C52" s="144">
        <f>VLOOKUP($A52,'Data shares'!$C:$FA,3)</f>
        <v>1729.2</v>
      </c>
      <c r="D52" s="144">
        <f>VLOOKUP($A52,'Data shares'!$C:$FA,23)</f>
        <v>9.9</v>
      </c>
      <c r="E52" s="145">
        <f>VLOOKUP($A52,'Data shares'!$C:$FA,26)*100</f>
        <v>0.57999999999999996</v>
      </c>
      <c r="F52" s="144">
        <f>VLOOKUP($A52,'Data shares'!$C:$FA,24)</f>
        <v>6.4</v>
      </c>
      <c r="G52" s="144">
        <f>VLOOKUP($A52,'Data shares'!$C:$FA,25)</f>
        <v>3.5</v>
      </c>
    </row>
    <row r="53" spans="1:7" x14ac:dyDescent="0.25">
      <c r="A53" s="101" t="str">
        <f>'Data shares'!C49</f>
        <v>COFORGE</v>
      </c>
      <c r="B53" s="144">
        <f>VLOOKUP($A53,'Data shares'!$C:$FA,7)</f>
        <v>1151.5999999999999</v>
      </c>
      <c r="C53" s="144">
        <f>VLOOKUP($A53,'Data shares'!$C:$FA,3)</f>
        <v>1154.8</v>
      </c>
      <c r="D53" s="144">
        <f>VLOOKUP($A53,'Data shares'!$C:$FA,23)</f>
        <v>3.2</v>
      </c>
      <c r="E53" s="145">
        <f>VLOOKUP($A53,'Data shares'!$C:$FA,26)*100</f>
        <v>0.27999999999999997</v>
      </c>
      <c r="F53" s="144">
        <f>VLOOKUP($A53,'Data shares'!$C:$FA,24)</f>
        <v>-1.5</v>
      </c>
      <c r="G53" s="144">
        <f>VLOOKUP($A53,'Data shares'!$C:$FA,25)</f>
        <v>4.7</v>
      </c>
    </row>
    <row r="54" spans="1:7" x14ac:dyDescent="0.25">
      <c r="A54" s="101" t="str">
        <f>'Data shares'!C50</f>
        <v>COLPAL</v>
      </c>
      <c r="B54" s="144">
        <f>VLOOKUP($A54,'Data shares'!$C:$FA,7)</f>
        <v>2172.9</v>
      </c>
      <c r="C54" s="144">
        <f>VLOOKUP($A54,'Data shares'!$C:$FA,3)</f>
        <v>2169.3000000000002</v>
      </c>
      <c r="D54" s="144">
        <f>VLOOKUP($A54,'Data shares'!$C:$FA,23)</f>
        <v>-3.6</v>
      </c>
      <c r="E54" s="145">
        <f>VLOOKUP($A54,'Data shares'!$C:$FA,26)*100</f>
        <v>-0.16999999999999998</v>
      </c>
      <c r="F54" s="144">
        <f>VLOOKUP($A54,'Data shares'!$C:$FA,24)</f>
        <v>-4.5999999999999996</v>
      </c>
      <c r="G54" s="144">
        <f>VLOOKUP($A54,'Data shares'!$C:$FA,25)</f>
        <v>1</v>
      </c>
    </row>
    <row r="55" spans="1:7" x14ac:dyDescent="0.25">
      <c r="A55" s="101" t="str">
        <f>'Data shares'!C51</f>
        <v>CONCOR</v>
      </c>
      <c r="B55" s="144">
        <f>VLOOKUP($A55,'Data shares'!$C:$FA,7)</f>
        <v>516.35</v>
      </c>
      <c r="C55" s="144">
        <f>VLOOKUP($A55,'Data shares'!$C:$FA,3)</f>
        <v>519.45000000000005</v>
      </c>
      <c r="D55" s="144">
        <f>VLOOKUP($A55,'Data shares'!$C:$FA,23)</f>
        <v>3.1</v>
      </c>
      <c r="E55" s="145">
        <f>VLOOKUP($A55,'Data shares'!$C:$FA,26)*100</f>
        <v>0.6</v>
      </c>
      <c r="F55" s="144">
        <f>VLOOKUP($A55,'Data shares'!$C:$FA,24)</f>
        <v>2.4500000000000002</v>
      </c>
      <c r="G55" s="144">
        <f>VLOOKUP($A55,'Data shares'!$C:$FA,25)</f>
        <v>0.65</v>
      </c>
    </row>
    <row r="56" spans="1:7" x14ac:dyDescent="0.25">
      <c r="A56" s="101" t="str">
        <f>'Data shares'!C52</f>
        <v>CROMPTON</v>
      </c>
      <c r="B56" s="144">
        <f>VLOOKUP($A56,'Data shares'!$C:$FA,7)</f>
        <v>277.95</v>
      </c>
      <c r="C56" s="144">
        <f>VLOOKUP($A56,'Data shares'!$C:$FA,3)</f>
        <v>278.7</v>
      </c>
      <c r="D56" s="144">
        <f>VLOOKUP($A56,'Data shares'!$C:$FA,23)</f>
        <v>0.75</v>
      </c>
      <c r="E56" s="145">
        <f>VLOOKUP($A56,'Data shares'!$C:$FA,26)*100</f>
        <v>0.27</v>
      </c>
      <c r="F56" s="144">
        <f>VLOOKUP($A56,'Data shares'!$C:$FA,24)</f>
        <v>0.81</v>
      </c>
      <c r="G56" s="144">
        <f>VLOOKUP($A56,'Data shares'!$C:$FA,25)</f>
        <v>-0.06</v>
      </c>
    </row>
    <row r="57" spans="1:7" x14ac:dyDescent="0.25">
      <c r="A57" s="101" t="str">
        <f>'Data shares'!C53</f>
        <v>CUMMINSIND</v>
      </c>
      <c r="B57" s="144">
        <f>VLOOKUP($A57,'Data shares'!$C:$FA,7)</f>
        <v>5289</v>
      </c>
      <c r="C57" s="144">
        <f>VLOOKUP($A57,'Data shares'!$C:$FA,3)</f>
        <v>5293.5</v>
      </c>
      <c r="D57" s="144">
        <f>VLOOKUP($A57,'Data shares'!$C:$FA,23)</f>
        <v>4.5</v>
      </c>
      <c r="E57" s="145">
        <f>VLOOKUP($A57,'Data shares'!$C:$FA,26)*100</f>
        <v>0.09</v>
      </c>
      <c r="F57" s="144">
        <f>VLOOKUP($A57,'Data shares'!$C:$FA,24)</f>
        <v>33.4</v>
      </c>
      <c r="G57" s="144">
        <f>VLOOKUP($A57,'Data shares'!$C:$FA,25)</f>
        <v>-28.9</v>
      </c>
    </row>
    <row r="58" spans="1:7" x14ac:dyDescent="0.25">
      <c r="A58" s="101" t="str">
        <f>'Data shares'!C54</f>
        <v>DABUR</v>
      </c>
      <c r="B58" s="144">
        <f>VLOOKUP($A58,'Data shares'!$C:$FA,7)</f>
        <v>445.65</v>
      </c>
      <c r="C58" s="144">
        <f>VLOOKUP($A58,'Data shares'!$C:$FA,3)</f>
        <v>447.2</v>
      </c>
      <c r="D58" s="144">
        <f>VLOOKUP($A58,'Data shares'!$C:$FA,23)</f>
        <v>1.55</v>
      </c>
      <c r="E58" s="145">
        <f>VLOOKUP($A58,'Data shares'!$C:$FA,26)*100</f>
        <v>0.35000000000000003</v>
      </c>
      <c r="F58" s="144">
        <f>VLOOKUP($A58,'Data shares'!$C:$FA,24)</f>
        <v>2.6</v>
      </c>
      <c r="G58" s="144">
        <f>VLOOKUP($A58,'Data shares'!$C:$FA,25)</f>
        <v>-1.05</v>
      </c>
    </row>
    <row r="59" spans="1:7" x14ac:dyDescent="0.25">
      <c r="A59" s="101" t="str">
        <f>'Data shares'!C55</f>
        <v>DALBHARAT</v>
      </c>
      <c r="B59" s="144">
        <f>VLOOKUP($A59,'Data shares'!$C:$FA,7)</f>
        <v>1983.3</v>
      </c>
      <c r="C59" s="144">
        <f>VLOOKUP($A59,'Data shares'!$C:$FA,3)</f>
        <v>1988.2</v>
      </c>
      <c r="D59" s="144">
        <f>VLOOKUP($A59,'Data shares'!$C:$FA,23)</f>
        <v>4.9000000000000004</v>
      </c>
      <c r="E59" s="145">
        <f>VLOOKUP($A59,'Data shares'!$C:$FA,26)*100</f>
        <v>0.25</v>
      </c>
      <c r="F59" s="144">
        <f>VLOOKUP($A59,'Data shares'!$C:$FA,24)</f>
        <v>10.199999999999999</v>
      </c>
      <c r="G59" s="144">
        <f>VLOOKUP($A59,'Data shares'!$C:$FA,25)</f>
        <v>-5.3</v>
      </c>
    </row>
    <row r="60" spans="1:7" x14ac:dyDescent="0.25">
      <c r="A60" s="101" t="str">
        <f>'Data shares'!C56</f>
        <v>DELHIVERY</v>
      </c>
      <c r="B60" s="144">
        <f>VLOOKUP($A60,'Data shares'!$C:$FA,7)</f>
        <v>467.35</v>
      </c>
      <c r="C60" s="144">
        <f>VLOOKUP($A60,'Data shares'!$C:$FA,3)</f>
        <v>469.4</v>
      </c>
      <c r="D60" s="144">
        <f>VLOOKUP($A60,'Data shares'!$C:$FA,23)</f>
        <v>2.0499999999999998</v>
      </c>
      <c r="E60" s="145">
        <f>VLOOKUP($A60,'Data shares'!$C:$FA,26)*100</f>
        <v>0.44</v>
      </c>
      <c r="F60" s="144">
        <f>VLOOKUP($A60,'Data shares'!$C:$FA,24)</f>
        <v>2.2999999999999998</v>
      </c>
      <c r="G60" s="144">
        <f>VLOOKUP($A60,'Data shares'!$C:$FA,25)</f>
        <v>-0.25</v>
      </c>
    </row>
    <row r="61" spans="1:7" x14ac:dyDescent="0.25">
      <c r="A61" s="101" t="str">
        <f>'Data shares'!C57</f>
        <v>DIVISLAB</v>
      </c>
      <c r="B61" s="144">
        <f>VLOOKUP($A61,'Data shares'!$C:$FA,7)</f>
        <v>6619.5</v>
      </c>
      <c r="C61" s="144">
        <f>VLOOKUP($A61,'Data shares'!$C:$FA,3)</f>
        <v>6639</v>
      </c>
      <c r="D61" s="144">
        <f>VLOOKUP($A61,'Data shares'!$C:$FA,23)</f>
        <v>19.5</v>
      </c>
      <c r="E61" s="145">
        <f>VLOOKUP($A61,'Data shares'!$C:$FA,26)*100</f>
        <v>0.28999999999999998</v>
      </c>
      <c r="F61" s="144">
        <f>VLOOKUP($A61,'Data shares'!$C:$FA,24)</f>
        <v>38.5</v>
      </c>
      <c r="G61" s="144">
        <f>VLOOKUP($A61,'Data shares'!$C:$FA,25)</f>
        <v>-19</v>
      </c>
    </row>
    <row r="62" spans="1:7" x14ac:dyDescent="0.25">
      <c r="A62" s="101" t="str">
        <f>'Data shares'!C58</f>
        <v>DIXON</v>
      </c>
      <c r="B62" s="144">
        <f>VLOOKUP($A62,'Data shares'!$C:$FA,7)</f>
        <v>11408</v>
      </c>
      <c r="C62" s="144">
        <f>VLOOKUP($A62,'Data shares'!$C:$FA,3)</f>
        <v>11472</v>
      </c>
      <c r="D62" s="144">
        <f>VLOOKUP($A62,'Data shares'!$C:$FA,23)</f>
        <v>64</v>
      </c>
      <c r="E62" s="145">
        <f>VLOOKUP($A62,'Data shares'!$C:$FA,26)*100</f>
        <v>0.55999999999999994</v>
      </c>
      <c r="F62" s="144">
        <f>VLOOKUP($A62,'Data shares'!$C:$FA,24)</f>
        <v>68</v>
      </c>
      <c r="G62" s="144">
        <f>VLOOKUP($A62,'Data shares'!$C:$FA,25)</f>
        <v>-4</v>
      </c>
    </row>
    <row r="63" spans="1:7" x14ac:dyDescent="0.25">
      <c r="A63" s="101" t="str">
        <f>'Data shares'!C59</f>
        <v>DLF</v>
      </c>
      <c r="B63" s="144">
        <f>VLOOKUP($A63,'Data shares'!$C:$FA,7)</f>
        <v>607.20000000000005</v>
      </c>
      <c r="C63" s="144">
        <f>VLOOKUP($A63,'Data shares'!$C:$FA,3)</f>
        <v>608.79999999999995</v>
      </c>
      <c r="D63" s="144">
        <f>VLOOKUP($A63,'Data shares'!$C:$FA,23)</f>
        <v>1.6</v>
      </c>
      <c r="E63" s="145">
        <f>VLOOKUP($A63,'Data shares'!$C:$FA,26)*100</f>
        <v>0.26</v>
      </c>
      <c r="F63" s="144">
        <f>VLOOKUP($A63,'Data shares'!$C:$FA,24)</f>
        <v>3.35</v>
      </c>
      <c r="G63" s="144">
        <f>VLOOKUP($A63,'Data shares'!$C:$FA,25)</f>
        <v>-1.75</v>
      </c>
    </row>
    <row r="64" spans="1:7" x14ac:dyDescent="0.25">
      <c r="A64" s="101" t="str">
        <f>'Data shares'!C60</f>
        <v>DMART</v>
      </c>
      <c r="B64" s="144">
        <f>VLOOKUP($A64,'Data shares'!$C:$FA,7)</f>
        <v>4376.5</v>
      </c>
      <c r="C64" s="144">
        <f>VLOOKUP($A64,'Data shares'!$C:$FA,3)</f>
        <v>4362.2</v>
      </c>
      <c r="D64" s="144">
        <f>VLOOKUP($A64,'Data shares'!$C:$FA,23)</f>
        <v>-14.3</v>
      </c>
      <c r="E64" s="145">
        <f>VLOOKUP($A64,'Data shares'!$C:$FA,26)*100</f>
        <v>-0.33</v>
      </c>
      <c r="F64" s="144">
        <f>VLOOKUP($A64,'Data shares'!$C:$FA,24)</f>
        <v>29.9</v>
      </c>
      <c r="G64" s="144">
        <f>VLOOKUP($A64,'Data shares'!$C:$FA,25)</f>
        <v>-44.2</v>
      </c>
    </row>
    <row r="65" spans="1:7" x14ac:dyDescent="0.25">
      <c r="A65" s="101" t="str">
        <f>'Data shares'!C61</f>
        <v>DRREDDY</v>
      </c>
      <c r="B65" s="144">
        <f>VLOOKUP($A65,'Data shares'!$C:$FA,7)</f>
        <v>1287.2</v>
      </c>
      <c r="C65" s="144">
        <f>VLOOKUP($A65,'Data shares'!$C:$FA,3)</f>
        <v>1281.2</v>
      </c>
      <c r="D65" s="144">
        <f>VLOOKUP($A65,'Data shares'!$C:$FA,23)</f>
        <v>-6</v>
      </c>
      <c r="E65" s="145">
        <f>VLOOKUP($A65,'Data shares'!$C:$FA,26)*100</f>
        <v>-0.47000000000000003</v>
      </c>
      <c r="F65" s="144">
        <f>VLOOKUP($A65,'Data shares'!$C:$FA,24)</f>
        <v>-1.9</v>
      </c>
      <c r="G65" s="144">
        <f>VLOOKUP($A65,'Data shares'!$C:$FA,25)</f>
        <v>-4.0999999999999996</v>
      </c>
    </row>
    <row r="66" spans="1:7" x14ac:dyDescent="0.25">
      <c r="A66" s="101" t="str">
        <f>'Data shares'!C62</f>
        <v>EICHERMOT</v>
      </c>
      <c r="B66" s="144">
        <f>VLOOKUP($A66,'Data shares'!$C:$FA,7)</f>
        <v>7329</v>
      </c>
      <c r="C66" s="144">
        <f>VLOOKUP($A66,'Data shares'!$C:$FA,3)</f>
        <v>7346</v>
      </c>
      <c r="D66" s="144">
        <f>VLOOKUP($A66,'Data shares'!$C:$FA,23)</f>
        <v>17</v>
      </c>
      <c r="E66" s="145">
        <f>VLOOKUP($A66,'Data shares'!$C:$FA,26)*100</f>
        <v>0.22999999999999998</v>
      </c>
      <c r="F66" s="144">
        <f>VLOOKUP($A66,'Data shares'!$C:$FA,24)</f>
        <v>40</v>
      </c>
      <c r="G66" s="144">
        <f>VLOOKUP($A66,'Data shares'!$C:$FA,25)</f>
        <v>-23</v>
      </c>
    </row>
    <row r="67" spans="1:7" x14ac:dyDescent="0.25">
      <c r="A67" s="101" t="str">
        <f>'Data shares'!C63</f>
        <v>ETERNAL</v>
      </c>
      <c r="B67" s="144">
        <f>VLOOKUP($A67,'Data shares'!$C:$FA,7)</f>
        <v>251.9</v>
      </c>
      <c r="C67" s="144">
        <f>VLOOKUP($A67,'Data shares'!$C:$FA,3)</f>
        <v>253.32</v>
      </c>
      <c r="D67" s="144">
        <f>VLOOKUP($A67,'Data shares'!$C:$FA,23)</f>
        <v>1.42</v>
      </c>
      <c r="E67" s="145">
        <f>VLOOKUP($A67,'Data shares'!$C:$FA,26)*100</f>
        <v>0.55999999999999994</v>
      </c>
      <c r="F67" s="144">
        <f>VLOOKUP($A67,'Data shares'!$C:$FA,24)</f>
        <v>1.43</v>
      </c>
      <c r="G67" s="144">
        <f>VLOOKUP($A67,'Data shares'!$C:$FA,25)</f>
        <v>-0.01</v>
      </c>
    </row>
    <row r="68" spans="1:7" x14ac:dyDescent="0.25">
      <c r="A68" s="101" t="str">
        <f>'Data shares'!C64</f>
        <v>EXIDEIND</v>
      </c>
      <c r="B68" s="144">
        <f>VLOOKUP($A68,'Data shares'!$C:$FA,7)</f>
        <v>359.05</v>
      </c>
      <c r="C68" s="144">
        <f>VLOOKUP($A68,'Data shares'!$C:$FA,3)</f>
        <v>360.35</v>
      </c>
      <c r="D68" s="144">
        <f>VLOOKUP($A68,'Data shares'!$C:$FA,23)</f>
        <v>1.3</v>
      </c>
      <c r="E68" s="145">
        <f>VLOOKUP($A68,'Data shares'!$C:$FA,26)*100</f>
        <v>0.36</v>
      </c>
      <c r="F68" s="144">
        <f>VLOOKUP($A68,'Data shares'!$C:$FA,24)</f>
        <v>1.35</v>
      </c>
      <c r="G68" s="144">
        <f>VLOOKUP($A68,'Data shares'!$C:$FA,25)</f>
        <v>-0.05</v>
      </c>
    </row>
    <row r="69" spans="1:7" x14ac:dyDescent="0.25">
      <c r="A69" s="101" t="str">
        <f>'Data shares'!C65</f>
        <v>FEDERALBNK</v>
      </c>
      <c r="B69" s="144">
        <f>VLOOKUP($A69,'Data shares'!$C:$FA,7)</f>
        <v>289.14999999999998</v>
      </c>
      <c r="C69" s="144">
        <f>VLOOKUP($A69,'Data shares'!$C:$FA,3)</f>
        <v>290.75</v>
      </c>
      <c r="D69" s="144">
        <f>VLOOKUP($A69,'Data shares'!$C:$FA,23)</f>
        <v>1.6</v>
      </c>
      <c r="E69" s="145">
        <f>VLOOKUP($A69,'Data shares'!$C:$FA,26)*100</f>
        <v>0.54999999999999993</v>
      </c>
      <c r="F69" s="144">
        <f>VLOOKUP($A69,'Data shares'!$C:$FA,24)</f>
        <v>0.85</v>
      </c>
      <c r="G69" s="144">
        <f>VLOOKUP($A69,'Data shares'!$C:$FA,25)</f>
        <v>0.75</v>
      </c>
    </row>
    <row r="70" spans="1:7" x14ac:dyDescent="0.25">
      <c r="A70" s="101" t="str">
        <f>'Data shares'!C66</f>
        <v>FINNIFTY</v>
      </c>
      <c r="B70" s="144">
        <f>VLOOKUP($A70,'Data shares'!$C:$FA,7)</f>
        <v>25814.400000000001</v>
      </c>
      <c r="C70" s="144">
        <f>VLOOKUP($A70,'Data shares'!$C:$FA,3)</f>
        <v>25943.200000000001</v>
      </c>
      <c r="D70" s="144">
        <f>VLOOKUP($A70,'Data shares'!$C:$FA,23)</f>
        <v>128.80000000000001</v>
      </c>
      <c r="E70" s="145">
        <f>VLOOKUP($A70,'Data shares'!$C:$FA,26)*100</f>
        <v>0.5</v>
      </c>
      <c r="F70" s="144">
        <f>VLOOKUP($A70,'Data shares'!$C:$FA,24)</f>
        <v>125.45</v>
      </c>
      <c r="G70" s="144">
        <f>VLOOKUP($A70,'Data shares'!$C:$FA,25)</f>
        <v>3.35</v>
      </c>
    </row>
    <row r="71" spans="1:7" x14ac:dyDescent="0.25">
      <c r="A71" s="101" t="str">
        <f>'Data shares'!C67</f>
        <v>FORCEMOT</v>
      </c>
      <c r="B71" s="144">
        <f>VLOOKUP($A71,'Data shares'!$C:$FA,7)</f>
        <v>19331</v>
      </c>
      <c r="C71" s="144">
        <f>VLOOKUP($A71,'Data shares'!$C:$FA,3)</f>
        <v>19109</v>
      </c>
      <c r="D71" s="144">
        <f>VLOOKUP($A71,'Data shares'!$C:$FA,23)</f>
        <v>-222</v>
      </c>
      <c r="E71" s="145">
        <f>VLOOKUP($A71,'Data shares'!$C:$FA,26)*100</f>
        <v>-1.1499999999999999</v>
      </c>
      <c r="F71" s="144">
        <f>VLOOKUP($A71,'Data shares'!$C:$FA,24)</f>
        <v>-310</v>
      </c>
      <c r="G71" s="144">
        <f>VLOOKUP($A71,'Data shares'!$C:$FA,25)</f>
        <v>88</v>
      </c>
    </row>
    <row r="72" spans="1:7" x14ac:dyDescent="0.25">
      <c r="A72" s="101" t="str">
        <f>'Data shares'!C68</f>
        <v>FORTIS</v>
      </c>
      <c r="B72" s="144">
        <f>VLOOKUP($A72,'Data shares'!$C:$FA,7)</f>
        <v>952.9</v>
      </c>
      <c r="C72" s="144">
        <f>VLOOKUP($A72,'Data shares'!$C:$FA,3)</f>
        <v>956.15</v>
      </c>
      <c r="D72" s="144">
        <f>VLOOKUP($A72,'Data shares'!$C:$FA,23)</f>
        <v>3.25</v>
      </c>
      <c r="E72" s="145">
        <f>VLOOKUP($A72,'Data shares'!$C:$FA,26)*100</f>
        <v>0.33999999999999997</v>
      </c>
      <c r="F72" s="144">
        <f>VLOOKUP($A72,'Data shares'!$C:$FA,24)</f>
        <v>4.95</v>
      </c>
      <c r="G72" s="144">
        <f>VLOOKUP($A72,'Data shares'!$C:$FA,25)</f>
        <v>-1.7</v>
      </c>
    </row>
    <row r="73" spans="1:7" x14ac:dyDescent="0.25">
      <c r="A73" s="101" t="str">
        <f>'Data shares'!C69</f>
        <v>GAIL</v>
      </c>
      <c r="B73" s="144">
        <f>VLOOKUP($A73,'Data shares'!$C:$FA,7)</f>
        <v>164.48</v>
      </c>
      <c r="C73" s="144">
        <f>VLOOKUP($A73,'Data shares'!$C:$FA,3)</f>
        <v>165.37</v>
      </c>
      <c r="D73" s="144">
        <f>VLOOKUP($A73,'Data shares'!$C:$FA,23)</f>
        <v>0.89</v>
      </c>
      <c r="E73" s="145">
        <f>VLOOKUP($A73,'Data shares'!$C:$FA,26)*100</f>
        <v>0.54</v>
      </c>
      <c r="F73" s="144">
        <f>VLOOKUP($A73,'Data shares'!$C:$FA,24)</f>
        <v>0.61</v>
      </c>
      <c r="G73" s="144">
        <f>VLOOKUP($A73,'Data shares'!$C:$FA,25)</f>
        <v>0.28000000000000003</v>
      </c>
    </row>
    <row r="74" spans="1:7" x14ac:dyDescent="0.25">
      <c r="A74" s="101" t="str">
        <f>'Data shares'!C70</f>
        <v>GLENMARK</v>
      </c>
      <c r="B74" s="144">
        <f>VLOOKUP($A74,'Data shares'!$C:$FA,7)</f>
        <v>2393.6999999999998</v>
      </c>
      <c r="C74" s="144">
        <f>VLOOKUP($A74,'Data shares'!$C:$FA,3)</f>
        <v>2404.9</v>
      </c>
      <c r="D74" s="144">
        <f>VLOOKUP($A74,'Data shares'!$C:$FA,23)</f>
        <v>11.2</v>
      </c>
      <c r="E74" s="145">
        <f>VLOOKUP($A74,'Data shares'!$C:$FA,26)*100</f>
        <v>0.47000000000000003</v>
      </c>
      <c r="F74" s="144">
        <f>VLOOKUP($A74,'Data shares'!$C:$FA,24)</f>
        <v>14.5</v>
      </c>
      <c r="G74" s="144">
        <f>VLOOKUP($A74,'Data shares'!$C:$FA,25)</f>
        <v>-3.3</v>
      </c>
    </row>
    <row r="75" spans="1:7" x14ac:dyDescent="0.25">
      <c r="A75" s="101" t="str">
        <f>'Data shares'!C71</f>
        <v>GMRAIRPORT</v>
      </c>
      <c r="B75" s="144">
        <f>VLOOKUP($A75,'Data shares'!$C:$FA,7)</f>
        <v>98.9</v>
      </c>
      <c r="C75" s="144">
        <f>VLOOKUP($A75,'Data shares'!$C:$FA,3)</f>
        <v>99.1</v>
      </c>
      <c r="D75" s="144">
        <f>VLOOKUP($A75,'Data shares'!$C:$FA,23)</f>
        <v>0.2</v>
      </c>
      <c r="E75" s="145">
        <f>VLOOKUP($A75,'Data shares'!$C:$FA,26)*100</f>
        <v>0.2</v>
      </c>
      <c r="F75" s="144">
        <f>VLOOKUP($A75,'Data shares'!$C:$FA,24)</f>
        <v>0.53</v>
      </c>
      <c r="G75" s="144">
        <f>VLOOKUP($A75,'Data shares'!$C:$FA,25)</f>
        <v>-0.33</v>
      </c>
    </row>
    <row r="76" spans="1:7" x14ac:dyDescent="0.25">
      <c r="A76" s="101" t="str">
        <f>'Data shares'!C72</f>
        <v>GODFRYPHLP</v>
      </c>
      <c r="B76" s="144">
        <f>VLOOKUP($A76,'Data shares'!$C:$FA,7)</f>
        <v>2216.3000000000002</v>
      </c>
      <c r="C76" s="144">
        <f>VLOOKUP($A76,'Data shares'!$C:$FA,3)</f>
        <v>2216.6</v>
      </c>
      <c r="D76" s="144">
        <f>VLOOKUP($A76,'Data shares'!$C:$FA,23)</f>
        <v>0.3</v>
      </c>
      <c r="E76" s="145">
        <f>VLOOKUP($A76,'Data shares'!$C:$FA,26)*100</f>
        <v>0.01</v>
      </c>
      <c r="F76" s="144">
        <f>VLOOKUP($A76,'Data shares'!$C:$FA,24)</f>
        <v>2.2999999999999998</v>
      </c>
      <c r="G76" s="144">
        <f>VLOOKUP($A76,'Data shares'!$C:$FA,25)</f>
        <v>-2</v>
      </c>
    </row>
    <row r="77" spans="1:7" x14ac:dyDescent="0.25">
      <c r="A77" s="101" t="str">
        <f>'Data shares'!C73</f>
        <v>GODREJCP</v>
      </c>
      <c r="B77" s="144">
        <f>VLOOKUP($A77,'Data shares'!$C:$FA,7)</f>
        <v>1072.5</v>
      </c>
      <c r="C77" s="144">
        <f>VLOOKUP($A77,'Data shares'!$C:$FA,3)</f>
        <v>1073.9000000000001</v>
      </c>
      <c r="D77" s="144">
        <f>VLOOKUP($A77,'Data shares'!$C:$FA,23)</f>
        <v>1.4</v>
      </c>
      <c r="E77" s="145">
        <f>VLOOKUP($A77,'Data shares'!$C:$FA,26)*100</f>
        <v>0.13</v>
      </c>
      <c r="F77" s="144">
        <f>VLOOKUP($A77,'Data shares'!$C:$FA,24)</f>
        <v>-2.2999999999999998</v>
      </c>
      <c r="G77" s="144">
        <f>VLOOKUP($A77,'Data shares'!$C:$FA,25)</f>
        <v>3.7</v>
      </c>
    </row>
    <row r="78" spans="1:7" x14ac:dyDescent="0.25">
      <c r="A78" s="101" t="str">
        <f>'Data shares'!C74</f>
        <v>GODREJPROP</v>
      </c>
      <c r="B78" s="144">
        <f>VLOOKUP($A78,'Data shares'!$C:$FA,7)</f>
        <v>1899.8</v>
      </c>
      <c r="C78" s="144">
        <f>VLOOKUP($A78,'Data shares'!$C:$FA,3)</f>
        <v>1911</v>
      </c>
      <c r="D78" s="144">
        <f>VLOOKUP($A78,'Data shares'!$C:$FA,23)</f>
        <v>11.2</v>
      </c>
      <c r="E78" s="145">
        <f>VLOOKUP($A78,'Data shares'!$C:$FA,26)*100</f>
        <v>0.59</v>
      </c>
      <c r="F78" s="144">
        <f>VLOOKUP($A78,'Data shares'!$C:$FA,24)</f>
        <v>5.8</v>
      </c>
      <c r="G78" s="144">
        <f>VLOOKUP($A78,'Data shares'!$C:$FA,25)</f>
        <v>5.4</v>
      </c>
    </row>
    <row r="79" spans="1:7" x14ac:dyDescent="0.25">
      <c r="A79" s="101" t="str">
        <f>'Data shares'!C75</f>
        <v>GRASIM</v>
      </c>
      <c r="B79" s="144">
        <f>VLOOKUP($A79,'Data shares'!$C:$FA,7)</f>
        <v>2856</v>
      </c>
      <c r="C79" s="144">
        <f>VLOOKUP($A79,'Data shares'!$C:$FA,3)</f>
        <v>2871.8</v>
      </c>
      <c r="D79" s="144">
        <f>VLOOKUP($A79,'Data shares'!$C:$FA,23)</f>
        <v>15.8</v>
      </c>
      <c r="E79" s="145">
        <f>VLOOKUP($A79,'Data shares'!$C:$FA,26)*100</f>
        <v>0.54999999999999993</v>
      </c>
      <c r="F79" s="144">
        <f>VLOOKUP($A79,'Data shares'!$C:$FA,24)</f>
        <v>8.3000000000000007</v>
      </c>
      <c r="G79" s="144">
        <f>VLOOKUP($A79,'Data shares'!$C:$FA,25)</f>
        <v>7.5</v>
      </c>
    </row>
    <row r="80" spans="1:7" x14ac:dyDescent="0.25">
      <c r="A80" s="101" t="str">
        <f>'Data shares'!C76</f>
        <v>HAL</v>
      </c>
      <c r="B80" s="144">
        <f>VLOOKUP($A80,'Data shares'!$C:$FA,7)</f>
        <v>4559.5</v>
      </c>
      <c r="C80" s="144">
        <f>VLOOKUP($A80,'Data shares'!$C:$FA,3)</f>
        <v>4580.2</v>
      </c>
      <c r="D80" s="144">
        <f>VLOOKUP($A80,'Data shares'!$C:$FA,23)</f>
        <v>20.7</v>
      </c>
      <c r="E80" s="145">
        <f>VLOOKUP($A80,'Data shares'!$C:$FA,26)*100</f>
        <v>0.44999999999999996</v>
      </c>
      <c r="F80" s="144">
        <f>VLOOKUP($A80,'Data shares'!$C:$FA,24)</f>
        <v>25.4</v>
      </c>
      <c r="G80" s="144">
        <f>VLOOKUP($A80,'Data shares'!$C:$FA,25)</f>
        <v>-4.7</v>
      </c>
    </row>
    <row r="81" spans="1:7" x14ac:dyDescent="0.25">
      <c r="A81" s="101" t="str">
        <f>'Data shares'!C77</f>
        <v>HAVELLS</v>
      </c>
      <c r="B81" s="144">
        <f>VLOOKUP($A81,'Data shares'!$C:$FA,7)</f>
        <v>1256.5999999999999</v>
      </c>
      <c r="C81" s="144">
        <f>VLOOKUP($A81,'Data shares'!$C:$FA,3)</f>
        <v>1256.4000000000001</v>
      </c>
      <c r="D81" s="144">
        <f>VLOOKUP($A81,'Data shares'!$C:$FA,23)</f>
        <v>-0.2</v>
      </c>
      <c r="E81" s="145">
        <f>VLOOKUP($A81,'Data shares'!$C:$FA,26)*100</f>
        <v>-0.02</v>
      </c>
      <c r="F81" s="144">
        <f>VLOOKUP($A81,'Data shares'!$C:$FA,24)</f>
        <v>0.9</v>
      </c>
      <c r="G81" s="144">
        <f>VLOOKUP($A81,'Data shares'!$C:$FA,25)</f>
        <v>-1.1000000000000001</v>
      </c>
    </row>
    <row r="82" spans="1:7" x14ac:dyDescent="0.25">
      <c r="A82" s="101" t="str">
        <f>'Data shares'!C78</f>
        <v>HCLTECH</v>
      </c>
      <c r="B82" s="144">
        <f>VLOOKUP($A82,'Data shares'!$C:$FA,7)</f>
        <v>1200.5</v>
      </c>
      <c r="C82" s="144">
        <f>VLOOKUP($A82,'Data shares'!$C:$FA,3)</f>
        <v>1201.4000000000001</v>
      </c>
      <c r="D82" s="144">
        <f>VLOOKUP($A82,'Data shares'!$C:$FA,23)</f>
        <v>0.9</v>
      </c>
      <c r="E82" s="145">
        <f>VLOOKUP($A82,'Data shares'!$C:$FA,26)*100</f>
        <v>6.9999999999999993E-2</v>
      </c>
      <c r="F82" s="144">
        <f>VLOOKUP($A82,'Data shares'!$C:$FA,24)</f>
        <v>2.6</v>
      </c>
      <c r="G82" s="144">
        <f>VLOOKUP($A82,'Data shares'!$C:$FA,25)</f>
        <v>-1.7</v>
      </c>
    </row>
    <row r="83" spans="1:7" x14ac:dyDescent="0.25">
      <c r="A83" s="101" t="str">
        <f>'Data shares'!C79</f>
        <v>HDFCAMC</v>
      </c>
      <c r="B83" s="144">
        <f>VLOOKUP($A83,'Data shares'!$C:$FA,7)</f>
        <v>2753.6</v>
      </c>
      <c r="C83" s="144">
        <f>VLOOKUP($A83,'Data shares'!$C:$FA,3)</f>
        <v>2769.4</v>
      </c>
      <c r="D83" s="144">
        <f>VLOOKUP($A83,'Data shares'!$C:$FA,23)</f>
        <v>15.8</v>
      </c>
      <c r="E83" s="145">
        <f>VLOOKUP($A83,'Data shares'!$C:$FA,26)*100</f>
        <v>0.57000000000000006</v>
      </c>
      <c r="F83" s="144">
        <f>VLOOKUP($A83,'Data shares'!$C:$FA,24)</f>
        <v>17.100000000000001</v>
      </c>
      <c r="G83" s="144">
        <f>VLOOKUP($A83,'Data shares'!$C:$FA,25)</f>
        <v>-1.3</v>
      </c>
    </row>
    <row r="84" spans="1:7" x14ac:dyDescent="0.25">
      <c r="A84" s="101" t="str">
        <f>'Data shares'!C80</f>
        <v>HDFCBANK</v>
      </c>
      <c r="B84" s="144">
        <f>VLOOKUP($A84,'Data shares'!$C:$FA,7)</f>
        <v>779.4</v>
      </c>
      <c r="C84" s="144">
        <f>VLOOKUP($A84,'Data shares'!$C:$FA,3)</f>
        <v>782.7</v>
      </c>
      <c r="D84" s="144">
        <f>VLOOKUP($A84,'Data shares'!$C:$FA,23)</f>
        <v>3.3</v>
      </c>
      <c r="E84" s="145">
        <f>VLOOKUP($A84,'Data shares'!$C:$FA,26)*100</f>
        <v>0.42</v>
      </c>
      <c r="F84" s="144">
        <f>VLOOKUP($A84,'Data shares'!$C:$FA,24)</f>
        <v>4.4000000000000004</v>
      </c>
      <c r="G84" s="144">
        <f>VLOOKUP($A84,'Data shares'!$C:$FA,25)</f>
        <v>-1.1000000000000001</v>
      </c>
    </row>
    <row r="85" spans="1:7" x14ac:dyDescent="0.25">
      <c r="A85" s="101" t="str">
        <f>'Data shares'!C81</f>
        <v>HDFCLIFE</v>
      </c>
      <c r="B85" s="144">
        <f>VLOOKUP($A85,'Data shares'!$C:$FA,7)</f>
        <v>588.35</v>
      </c>
      <c r="C85" s="144">
        <f>VLOOKUP($A85,'Data shares'!$C:$FA,3)</f>
        <v>591.75</v>
      </c>
      <c r="D85" s="144">
        <f>VLOOKUP($A85,'Data shares'!$C:$FA,23)</f>
        <v>3.4</v>
      </c>
      <c r="E85" s="145">
        <f>VLOOKUP($A85,'Data shares'!$C:$FA,26)*100</f>
        <v>0.57999999999999996</v>
      </c>
      <c r="F85" s="144">
        <f>VLOOKUP($A85,'Data shares'!$C:$FA,24)</f>
        <v>3.1</v>
      </c>
      <c r="G85" s="144">
        <f>VLOOKUP($A85,'Data shares'!$C:$FA,25)</f>
        <v>0.3</v>
      </c>
    </row>
    <row r="86" spans="1:7" x14ac:dyDescent="0.25">
      <c r="A86" s="101" t="str">
        <f>'Data shares'!C82</f>
        <v>HEROMOTOCO</v>
      </c>
      <c r="B86" s="144">
        <f>VLOOKUP($A86,'Data shares'!$C:$FA,7)</f>
        <v>5066.5</v>
      </c>
      <c r="C86" s="144">
        <f>VLOOKUP($A86,'Data shares'!$C:$FA,3)</f>
        <v>5082.5</v>
      </c>
      <c r="D86" s="144">
        <f>VLOOKUP($A86,'Data shares'!$C:$FA,23)</f>
        <v>16</v>
      </c>
      <c r="E86" s="145">
        <f>VLOOKUP($A86,'Data shares'!$C:$FA,26)*100</f>
        <v>0.32</v>
      </c>
      <c r="F86" s="144">
        <f>VLOOKUP($A86,'Data shares'!$C:$FA,24)</f>
        <v>25</v>
      </c>
      <c r="G86" s="144">
        <f>VLOOKUP($A86,'Data shares'!$C:$FA,25)</f>
        <v>-9</v>
      </c>
    </row>
    <row r="87" spans="1:7" x14ac:dyDescent="0.25">
      <c r="A87" s="101" t="str">
        <f>'Data shares'!C83</f>
        <v>HINDALCO</v>
      </c>
      <c r="B87" s="144">
        <f>VLOOKUP($A87,'Data shares'!$C:$FA,7)</f>
        <v>1042.7</v>
      </c>
      <c r="C87" s="144">
        <f>VLOOKUP($A87,'Data shares'!$C:$FA,3)</f>
        <v>1048.5</v>
      </c>
      <c r="D87" s="144">
        <f>VLOOKUP($A87,'Data shares'!$C:$FA,23)</f>
        <v>5.8</v>
      </c>
      <c r="E87" s="145">
        <f>VLOOKUP($A87,'Data shares'!$C:$FA,26)*100</f>
        <v>0.55999999999999994</v>
      </c>
      <c r="F87" s="144">
        <f>VLOOKUP($A87,'Data shares'!$C:$FA,24)</f>
        <v>4.3</v>
      </c>
      <c r="G87" s="144">
        <f>VLOOKUP($A87,'Data shares'!$C:$FA,25)</f>
        <v>1.5</v>
      </c>
    </row>
    <row r="88" spans="1:7" x14ac:dyDescent="0.25">
      <c r="A88" s="101" t="str">
        <f>'Data shares'!C84</f>
        <v>HINDPETRO</v>
      </c>
      <c r="B88" s="144">
        <f>VLOOKUP($A88,'Data shares'!$C:$FA,7)</f>
        <v>373.85</v>
      </c>
      <c r="C88" s="144">
        <f>VLOOKUP($A88,'Data shares'!$C:$FA,3)</f>
        <v>376.1</v>
      </c>
      <c r="D88" s="144">
        <f>VLOOKUP($A88,'Data shares'!$C:$FA,23)</f>
        <v>2.25</v>
      </c>
      <c r="E88" s="145">
        <f>VLOOKUP($A88,'Data shares'!$C:$FA,26)*100</f>
        <v>0.6</v>
      </c>
      <c r="F88" s="144">
        <f>VLOOKUP($A88,'Data shares'!$C:$FA,24)</f>
        <v>2.2999999999999998</v>
      </c>
      <c r="G88" s="144">
        <f>VLOOKUP($A88,'Data shares'!$C:$FA,25)</f>
        <v>-0.05</v>
      </c>
    </row>
    <row r="89" spans="1:7" x14ac:dyDescent="0.25">
      <c r="A89" s="101" t="str">
        <f>'Data shares'!C85</f>
        <v>HINDUNILVR</v>
      </c>
      <c r="B89" s="144">
        <f>VLOOKUP($A89,'Data shares'!$C:$FA,7)</f>
        <v>2309.3000000000002</v>
      </c>
      <c r="C89" s="144">
        <f>VLOOKUP($A89,'Data shares'!$C:$FA,3)</f>
        <v>2320.1999999999998</v>
      </c>
      <c r="D89" s="144">
        <f>VLOOKUP($A89,'Data shares'!$C:$FA,23)</f>
        <v>10.9</v>
      </c>
      <c r="E89" s="145">
        <f>VLOOKUP($A89,'Data shares'!$C:$FA,26)*100</f>
        <v>0.47000000000000003</v>
      </c>
      <c r="F89" s="144">
        <f>VLOOKUP($A89,'Data shares'!$C:$FA,24)</f>
        <v>8.8000000000000007</v>
      </c>
      <c r="G89" s="144">
        <f>VLOOKUP($A89,'Data shares'!$C:$FA,25)</f>
        <v>2.1</v>
      </c>
    </row>
    <row r="90" spans="1:7" x14ac:dyDescent="0.25">
      <c r="A90" s="101" t="str">
        <f>'Data shares'!C86</f>
        <v>HINDZINC</v>
      </c>
      <c r="B90" s="144">
        <f>VLOOKUP($A90,'Data shares'!$C:$FA,7)</f>
        <v>605.54999999999995</v>
      </c>
      <c r="C90" s="144">
        <f>VLOOKUP($A90,'Data shares'!$C:$FA,3)</f>
        <v>607.5</v>
      </c>
      <c r="D90" s="144">
        <f>VLOOKUP($A90,'Data shares'!$C:$FA,23)</f>
        <v>1.95</v>
      </c>
      <c r="E90" s="145">
        <f>VLOOKUP($A90,'Data shares'!$C:$FA,26)*100</f>
        <v>0.32</v>
      </c>
      <c r="F90" s="144">
        <f>VLOOKUP($A90,'Data shares'!$C:$FA,24)</f>
        <v>1.75</v>
      </c>
      <c r="G90" s="144">
        <f>VLOOKUP($A90,'Data shares'!$C:$FA,25)</f>
        <v>0.2</v>
      </c>
    </row>
    <row r="91" spans="1:7" x14ac:dyDescent="0.25">
      <c r="A91" s="101" t="str">
        <f>'Data shares'!C87</f>
        <v>HYUNDAI</v>
      </c>
      <c r="B91" s="144">
        <f>VLOOKUP($A91,'Data shares'!$C:$FA,7)</f>
        <v>1844.5</v>
      </c>
      <c r="C91" s="144">
        <f>VLOOKUP($A91,'Data shares'!$C:$FA,3)</f>
        <v>1815.4</v>
      </c>
      <c r="D91" s="144">
        <f>VLOOKUP($A91,'Data shares'!$C:$FA,23)</f>
        <v>-29.1</v>
      </c>
      <c r="E91" s="145">
        <f>VLOOKUP($A91,'Data shares'!$C:$FA,26)*100</f>
        <v>-1.58</v>
      </c>
      <c r="F91" s="144">
        <f>VLOOKUP($A91,'Data shares'!$C:$FA,24)</f>
        <v>-10</v>
      </c>
      <c r="G91" s="144">
        <f>VLOOKUP($A91,'Data shares'!$C:$FA,25)</f>
        <v>-19.100000000000001</v>
      </c>
    </row>
    <row r="92" spans="1:7" x14ac:dyDescent="0.25">
      <c r="A92" s="101" t="str">
        <f>'Data shares'!C88</f>
        <v>ICICIBANK</v>
      </c>
      <c r="B92" s="144">
        <f>VLOOKUP($A92,'Data shares'!$C:$FA,7)</f>
        <v>1270.8</v>
      </c>
      <c r="C92" s="144">
        <f>VLOOKUP($A92,'Data shares'!$C:$FA,3)</f>
        <v>1278.3</v>
      </c>
      <c r="D92" s="144">
        <f>VLOOKUP($A92,'Data shares'!$C:$FA,23)</f>
        <v>7.5</v>
      </c>
      <c r="E92" s="145">
        <f>VLOOKUP($A92,'Data shares'!$C:$FA,26)*100</f>
        <v>0.59</v>
      </c>
      <c r="F92" s="144">
        <f>VLOOKUP($A92,'Data shares'!$C:$FA,24)</f>
        <v>7.3</v>
      </c>
      <c r="G92" s="144">
        <f>VLOOKUP($A92,'Data shares'!$C:$FA,25)</f>
        <v>0.2</v>
      </c>
    </row>
    <row r="93" spans="1:7" x14ac:dyDescent="0.25">
      <c r="A93" s="101" t="str">
        <f>'Data shares'!C89</f>
        <v>ICICIGI</v>
      </c>
      <c r="B93" s="144">
        <f>VLOOKUP($A93,'Data shares'!$C:$FA,7)</f>
        <v>1756.8</v>
      </c>
      <c r="C93" s="144">
        <f>VLOOKUP($A93,'Data shares'!$C:$FA,3)</f>
        <v>1761.7</v>
      </c>
      <c r="D93" s="144">
        <f>VLOOKUP($A93,'Data shares'!$C:$FA,23)</f>
        <v>4.9000000000000004</v>
      </c>
      <c r="E93" s="145">
        <f>VLOOKUP($A93,'Data shares'!$C:$FA,26)*100</f>
        <v>0.27999999999999997</v>
      </c>
      <c r="F93" s="144">
        <f>VLOOKUP($A93,'Data shares'!$C:$FA,24)</f>
        <v>4.9000000000000004</v>
      </c>
      <c r="G93" s="144">
        <f>VLOOKUP($A93,'Data shares'!$C:$FA,25)</f>
        <v>0</v>
      </c>
    </row>
    <row r="94" spans="1:7" x14ac:dyDescent="0.25">
      <c r="A94" s="101" t="str">
        <f>'Data shares'!C90</f>
        <v>ICICIPRULI</v>
      </c>
      <c r="B94" s="144">
        <f>VLOOKUP($A94,'Data shares'!$C:$FA,7)</f>
        <v>535.54999999999995</v>
      </c>
      <c r="C94" s="144">
        <f>VLOOKUP($A94,'Data shares'!$C:$FA,3)</f>
        <v>538.15</v>
      </c>
      <c r="D94" s="144">
        <f>VLOOKUP($A94,'Data shares'!$C:$FA,23)</f>
        <v>2.6</v>
      </c>
      <c r="E94" s="145">
        <f>VLOOKUP($A94,'Data shares'!$C:$FA,26)*100</f>
        <v>0.49</v>
      </c>
      <c r="F94" s="144">
        <f>VLOOKUP($A94,'Data shares'!$C:$FA,24)</f>
        <v>2.15</v>
      </c>
      <c r="G94" s="144">
        <f>VLOOKUP($A94,'Data shares'!$C:$FA,25)</f>
        <v>0.45</v>
      </c>
    </row>
    <row r="95" spans="1:7" x14ac:dyDescent="0.25">
      <c r="A95" s="101" t="str">
        <f>'Data shares'!C91</f>
        <v>IDEA</v>
      </c>
      <c r="B95" s="144">
        <f>VLOOKUP($A95,'Data shares'!$C:$FA,7)</f>
        <v>10.52</v>
      </c>
      <c r="C95" s="144">
        <f>VLOOKUP($A95,'Data shares'!$C:$FA,3)</f>
        <v>10.57</v>
      </c>
      <c r="D95" s="144">
        <f>VLOOKUP($A95,'Data shares'!$C:$FA,23)</f>
        <v>0.05</v>
      </c>
      <c r="E95" s="145">
        <f>VLOOKUP($A95,'Data shares'!$C:$FA,26)*100</f>
        <v>0.48</v>
      </c>
      <c r="F95" s="144">
        <f>VLOOKUP($A95,'Data shares'!$C:$FA,24)</f>
        <v>0.04</v>
      </c>
      <c r="G95" s="144">
        <f>VLOOKUP($A95,'Data shares'!$C:$FA,25)</f>
        <v>0.01</v>
      </c>
    </row>
    <row r="96" spans="1:7" x14ac:dyDescent="0.25">
      <c r="A96" s="101" t="str">
        <f>'Data shares'!C92</f>
        <v>IDFCFIRSTB</v>
      </c>
      <c r="B96" s="144">
        <f>VLOOKUP($A96,'Data shares'!$C:$FA,7)</f>
        <v>69.59</v>
      </c>
      <c r="C96" s="144">
        <f>VLOOKUP($A96,'Data shares'!$C:$FA,3)</f>
        <v>69.989999999999995</v>
      </c>
      <c r="D96" s="144">
        <f>VLOOKUP($A96,'Data shares'!$C:$FA,23)</f>
        <v>0.4</v>
      </c>
      <c r="E96" s="145">
        <f>VLOOKUP($A96,'Data shares'!$C:$FA,26)*100</f>
        <v>0.57000000000000006</v>
      </c>
      <c r="F96" s="144">
        <f>VLOOKUP($A96,'Data shares'!$C:$FA,24)</f>
        <v>0.42</v>
      </c>
      <c r="G96" s="144">
        <f>VLOOKUP($A96,'Data shares'!$C:$FA,25)</f>
        <v>-0.02</v>
      </c>
    </row>
    <row r="97" spans="1:7" x14ac:dyDescent="0.25">
      <c r="A97" s="101" t="str">
        <f>'Data shares'!C93</f>
        <v>IEX</v>
      </c>
      <c r="B97" s="144">
        <f>VLOOKUP($A97,'Data shares'!$C:$FA,7)</f>
        <v>126.97</v>
      </c>
      <c r="C97" s="144">
        <f>VLOOKUP($A97,'Data shares'!$C:$FA,3)</f>
        <v>125.72</v>
      </c>
      <c r="D97" s="144">
        <f>VLOOKUP($A97,'Data shares'!$C:$FA,23)</f>
        <v>-1.25</v>
      </c>
      <c r="E97" s="145">
        <f>VLOOKUP($A97,'Data shares'!$C:$FA,26)*100</f>
        <v>-0.98</v>
      </c>
      <c r="F97" s="144">
        <f>VLOOKUP($A97,'Data shares'!$C:$FA,24)</f>
        <v>-1.1599999999999999</v>
      </c>
      <c r="G97" s="144">
        <f>VLOOKUP($A97,'Data shares'!$C:$FA,25)</f>
        <v>-0.09</v>
      </c>
    </row>
    <row r="98" spans="1:7" x14ac:dyDescent="0.25">
      <c r="A98" s="101" t="str">
        <f>'Data shares'!C94</f>
        <v>INDHOTEL</v>
      </c>
      <c r="B98" s="144">
        <f>VLOOKUP($A98,'Data shares'!$C:$FA,7)</f>
        <v>643.70000000000005</v>
      </c>
      <c r="C98" s="144">
        <f>VLOOKUP($A98,'Data shares'!$C:$FA,3)</f>
        <v>645.54999999999995</v>
      </c>
      <c r="D98" s="144">
        <f>VLOOKUP($A98,'Data shares'!$C:$FA,23)</f>
        <v>1.85</v>
      </c>
      <c r="E98" s="145">
        <f>VLOOKUP($A98,'Data shares'!$C:$FA,26)*100</f>
        <v>0.28999999999999998</v>
      </c>
      <c r="F98" s="144">
        <f>VLOOKUP($A98,'Data shares'!$C:$FA,24)</f>
        <v>4.1500000000000004</v>
      </c>
      <c r="G98" s="144">
        <f>VLOOKUP($A98,'Data shares'!$C:$FA,25)</f>
        <v>-2.2999999999999998</v>
      </c>
    </row>
    <row r="99" spans="1:7" x14ac:dyDescent="0.25">
      <c r="A99" s="101" t="str">
        <f>'Data shares'!C95</f>
        <v>INDIANB</v>
      </c>
      <c r="B99" s="144">
        <f>VLOOKUP($A99,'Data shares'!$C:$FA,7)</f>
        <v>830.35</v>
      </c>
      <c r="C99" s="144">
        <f>VLOOKUP($A99,'Data shares'!$C:$FA,3)</f>
        <v>834.35</v>
      </c>
      <c r="D99" s="144">
        <f>VLOOKUP($A99,'Data shares'!$C:$FA,23)</f>
        <v>4</v>
      </c>
      <c r="E99" s="145">
        <f>VLOOKUP($A99,'Data shares'!$C:$FA,26)*100</f>
        <v>0.48</v>
      </c>
      <c r="F99" s="144">
        <f>VLOOKUP($A99,'Data shares'!$C:$FA,24)</f>
        <v>4.0999999999999996</v>
      </c>
      <c r="G99" s="144">
        <f>VLOOKUP($A99,'Data shares'!$C:$FA,25)</f>
        <v>-0.1</v>
      </c>
    </row>
    <row r="100" spans="1:7" x14ac:dyDescent="0.25">
      <c r="A100" s="101" t="str">
        <f>'Data shares'!C96</f>
        <v>INDIAVIX</v>
      </c>
      <c r="B100" s="144">
        <f>VLOOKUP($A100,'Data shares'!$C:$FA,7)</f>
        <v>18.3</v>
      </c>
      <c r="C100" s="144">
        <f>VLOOKUP($A100,'Data shares'!$C:$FA,3)</f>
        <v>18.3</v>
      </c>
      <c r="D100" s="144">
        <f>VLOOKUP($A100,'Data shares'!$C:$FA,23)</f>
        <v>0</v>
      </c>
      <c r="E100" s="145">
        <f>VLOOKUP($A100,'Data shares'!$C:$FA,26)*100</f>
        <v>0</v>
      </c>
      <c r="F100" s="144">
        <f>VLOOKUP($A100,'Data shares'!$C:$FA,24)</f>
        <v>0</v>
      </c>
      <c r="G100" s="144">
        <f>VLOOKUP($A100,'Data shares'!$C:$FA,25)</f>
        <v>0</v>
      </c>
    </row>
    <row r="101" spans="1:7" x14ac:dyDescent="0.25">
      <c r="A101" s="101" t="str">
        <f>'Data shares'!C97</f>
        <v>INDIGO</v>
      </c>
      <c r="B101" s="144">
        <f>VLOOKUP($A101,'Data shares'!$C:$FA,7)</f>
        <v>4262.3999999999996</v>
      </c>
      <c r="C101" s="144">
        <f>VLOOKUP($A101,'Data shares'!$C:$FA,3)</f>
        <v>4285.3999999999996</v>
      </c>
      <c r="D101" s="144">
        <f>VLOOKUP($A101,'Data shares'!$C:$FA,23)</f>
        <v>23</v>
      </c>
      <c r="E101" s="145">
        <f>VLOOKUP($A101,'Data shares'!$C:$FA,26)*100</f>
        <v>0.54</v>
      </c>
      <c r="F101" s="144">
        <f>VLOOKUP($A101,'Data shares'!$C:$FA,24)</f>
        <v>26</v>
      </c>
      <c r="G101" s="144">
        <f>VLOOKUP($A101,'Data shares'!$C:$FA,25)</f>
        <v>-3</v>
      </c>
    </row>
    <row r="102" spans="1:7" x14ac:dyDescent="0.25">
      <c r="A102" s="101" t="str">
        <f>'Data shares'!C98</f>
        <v>INDUSINDBK</v>
      </c>
      <c r="B102" s="144">
        <f>VLOOKUP($A102,'Data shares'!$C:$FA,7)</f>
        <v>913.9</v>
      </c>
      <c r="C102" s="144">
        <f>VLOOKUP($A102,'Data shares'!$C:$FA,3)</f>
        <v>919</v>
      </c>
      <c r="D102" s="144">
        <f>VLOOKUP($A102,'Data shares'!$C:$FA,23)</f>
        <v>5.0999999999999996</v>
      </c>
      <c r="E102" s="145">
        <f>VLOOKUP($A102,'Data shares'!$C:$FA,26)*100</f>
        <v>0.55999999999999994</v>
      </c>
      <c r="F102" s="144">
        <f>VLOOKUP($A102,'Data shares'!$C:$FA,24)</f>
        <v>5.3</v>
      </c>
      <c r="G102" s="144">
        <f>VLOOKUP($A102,'Data shares'!$C:$FA,25)</f>
        <v>-0.2</v>
      </c>
    </row>
    <row r="103" spans="1:7" x14ac:dyDescent="0.25">
      <c r="A103" s="101" t="str">
        <f>'Data shares'!C99</f>
        <v>INDUSTOWER</v>
      </c>
      <c r="B103" s="144">
        <f>VLOOKUP($A103,'Data shares'!$C:$FA,7)</f>
        <v>400.25</v>
      </c>
      <c r="C103" s="144">
        <f>VLOOKUP($A103,'Data shares'!$C:$FA,3)</f>
        <v>402.55</v>
      </c>
      <c r="D103" s="144">
        <f>VLOOKUP($A103,'Data shares'!$C:$FA,23)</f>
        <v>2.2999999999999998</v>
      </c>
      <c r="E103" s="145">
        <f>VLOOKUP($A103,'Data shares'!$C:$FA,26)*100</f>
        <v>0.57000000000000006</v>
      </c>
      <c r="F103" s="144">
        <f>VLOOKUP($A103,'Data shares'!$C:$FA,24)</f>
        <v>2.25</v>
      </c>
      <c r="G103" s="144">
        <f>VLOOKUP($A103,'Data shares'!$C:$FA,25)</f>
        <v>0.05</v>
      </c>
    </row>
    <row r="104" spans="1:7" x14ac:dyDescent="0.25">
      <c r="A104" s="101" t="str">
        <f>'Data shares'!C100</f>
        <v>INFY</v>
      </c>
      <c r="B104" s="144">
        <f>VLOOKUP($A104,'Data shares'!$C:$FA,7)</f>
        <v>1168.4000000000001</v>
      </c>
      <c r="C104" s="144">
        <f>VLOOKUP($A104,'Data shares'!$C:$FA,3)</f>
        <v>1173</v>
      </c>
      <c r="D104" s="144">
        <f>VLOOKUP($A104,'Data shares'!$C:$FA,23)</f>
        <v>4.5999999999999996</v>
      </c>
      <c r="E104" s="145">
        <f>VLOOKUP($A104,'Data shares'!$C:$FA,26)*100</f>
        <v>0.38999999999999996</v>
      </c>
      <c r="F104" s="144">
        <f>VLOOKUP($A104,'Data shares'!$C:$FA,24)</f>
        <v>5.6</v>
      </c>
      <c r="G104" s="144">
        <f>VLOOKUP($A104,'Data shares'!$C:$FA,25)</f>
        <v>-1</v>
      </c>
    </row>
    <row r="105" spans="1:7" x14ac:dyDescent="0.25">
      <c r="A105" s="101" t="str">
        <f>'Data shares'!C101</f>
        <v>INOXWIND</v>
      </c>
      <c r="B105" s="144">
        <f>VLOOKUP($A105,'Data shares'!$C:$FA,7)</f>
        <v>103.38</v>
      </c>
      <c r="C105" s="144">
        <f>VLOOKUP($A105,'Data shares'!$C:$FA,3)</f>
        <v>103.93</v>
      </c>
      <c r="D105" s="144">
        <f>VLOOKUP($A105,'Data shares'!$C:$FA,23)</f>
        <v>0.55000000000000004</v>
      </c>
      <c r="E105" s="145">
        <f>VLOOKUP($A105,'Data shares'!$C:$FA,26)*100</f>
        <v>0.53</v>
      </c>
      <c r="F105" s="144">
        <f>VLOOKUP($A105,'Data shares'!$C:$FA,24)</f>
        <v>0.56000000000000005</v>
      </c>
      <c r="G105" s="144">
        <f>VLOOKUP($A105,'Data shares'!$C:$FA,25)</f>
        <v>-0.01</v>
      </c>
    </row>
    <row r="106" spans="1:7" x14ac:dyDescent="0.25">
      <c r="A106" s="101" t="str">
        <f>'Data shares'!C102</f>
        <v>IOC</v>
      </c>
      <c r="B106" s="144">
        <f>VLOOKUP($A106,'Data shares'!$C:$FA,7)</f>
        <v>142.26</v>
      </c>
      <c r="C106" s="144">
        <f>VLOOKUP($A106,'Data shares'!$C:$FA,3)</f>
        <v>143.08000000000001</v>
      </c>
      <c r="D106" s="144">
        <f>VLOOKUP($A106,'Data shares'!$C:$FA,23)</f>
        <v>0.82</v>
      </c>
      <c r="E106" s="145">
        <f>VLOOKUP($A106,'Data shares'!$C:$FA,26)*100</f>
        <v>0.57999999999999996</v>
      </c>
      <c r="F106" s="144">
        <f>VLOOKUP($A106,'Data shares'!$C:$FA,24)</f>
        <v>0.87</v>
      </c>
      <c r="G106" s="144">
        <f>VLOOKUP($A106,'Data shares'!$C:$FA,25)</f>
        <v>-0.05</v>
      </c>
    </row>
    <row r="107" spans="1:7" x14ac:dyDescent="0.25">
      <c r="A107" s="101" t="str">
        <f>'Data shares'!C103</f>
        <v>IREDA</v>
      </c>
      <c r="B107" s="144">
        <f>VLOOKUP($A107,'Data shares'!$C:$FA,7)</f>
        <v>135.36000000000001</v>
      </c>
      <c r="C107" s="144">
        <f>VLOOKUP($A107,'Data shares'!$C:$FA,3)</f>
        <v>135.68</v>
      </c>
      <c r="D107" s="144">
        <f>VLOOKUP($A107,'Data shares'!$C:$FA,23)</f>
        <v>0.32</v>
      </c>
      <c r="E107" s="145">
        <f>VLOOKUP($A107,'Data shares'!$C:$FA,26)*100</f>
        <v>0.24</v>
      </c>
      <c r="F107" s="144">
        <f>VLOOKUP($A107,'Data shares'!$C:$FA,24)</f>
        <v>0.26</v>
      </c>
      <c r="G107" s="144">
        <f>VLOOKUP($A107,'Data shares'!$C:$FA,25)</f>
        <v>0.06</v>
      </c>
    </row>
    <row r="108" spans="1:7" x14ac:dyDescent="0.25">
      <c r="A108" s="101" t="str">
        <f>'Data shares'!C104</f>
        <v>IRFC</v>
      </c>
      <c r="B108" s="144">
        <f>VLOOKUP($A108,'Data shares'!$C:$FA,7)</f>
        <v>104.41</v>
      </c>
      <c r="C108" s="144">
        <f>VLOOKUP($A108,'Data shares'!$C:$FA,3)</f>
        <v>104.95</v>
      </c>
      <c r="D108" s="144">
        <f>VLOOKUP($A108,'Data shares'!$C:$FA,23)</f>
        <v>0.54</v>
      </c>
      <c r="E108" s="145">
        <f>VLOOKUP($A108,'Data shares'!$C:$FA,26)*100</f>
        <v>0.52</v>
      </c>
      <c r="F108" s="144">
        <f>VLOOKUP($A108,'Data shares'!$C:$FA,24)</f>
        <v>-0.09</v>
      </c>
      <c r="G108" s="144">
        <f>VLOOKUP($A108,'Data shares'!$C:$FA,25)</f>
        <v>0.63</v>
      </c>
    </row>
    <row r="109" spans="1:7" x14ac:dyDescent="0.25">
      <c r="A109" s="101" t="str">
        <f>'Data shares'!C105</f>
        <v>ITC</v>
      </c>
      <c r="B109" s="144">
        <f>VLOOKUP($A109,'Data shares'!$C:$FA,7)</f>
        <v>311.10000000000002</v>
      </c>
      <c r="C109" s="144">
        <f>VLOOKUP($A109,'Data shares'!$C:$FA,3)</f>
        <v>312.60000000000002</v>
      </c>
      <c r="D109" s="144">
        <f>VLOOKUP($A109,'Data shares'!$C:$FA,23)</f>
        <v>1.5</v>
      </c>
      <c r="E109" s="145">
        <f>VLOOKUP($A109,'Data shares'!$C:$FA,26)*100</f>
        <v>0.48</v>
      </c>
      <c r="F109" s="144">
        <f>VLOOKUP($A109,'Data shares'!$C:$FA,24)</f>
        <v>0.85</v>
      </c>
      <c r="G109" s="144">
        <f>VLOOKUP($A109,'Data shares'!$C:$FA,25)</f>
        <v>0.65</v>
      </c>
    </row>
    <row r="110" spans="1:7" x14ac:dyDescent="0.25">
      <c r="A110" s="101" t="str">
        <f>'Data shares'!C106</f>
        <v>JINDALSTEL</v>
      </c>
      <c r="B110" s="144">
        <f>VLOOKUP($A110,'Data shares'!$C:$FA,7)</f>
        <v>1261.4000000000001</v>
      </c>
      <c r="C110" s="144">
        <f>VLOOKUP($A110,'Data shares'!$C:$FA,3)</f>
        <v>1269.4000000000001</v>
      </c>
      <c r="D110" s="144">
        <f>VLOOKUP($A110,'Data shares'!$C:$FA,23)</f>
        <v>8</v>
      </c>
      <c r="E110" s="145">
        <f>VLOOKUP($A110,'Data shares'!$C:$FA,26)*100</f>
        <v>0.63</v>
      </c>
      <c r="F110" s="144">
        <f>VLOOKUP($A110,'Data shares'!$C:$FA,24)</f>
        <v>9.5</v>
      </c>
      <c r="G110" s="144">
        <f>VLOOKUP($A110,'Data shares'!$C:$FA,25)</f>
        <v>-1.5</v>
      </c>
    </row>
    <row r="111" spans="1:7" x14ac:dyDescent="0.25">
      <c r="A111" s="101" t="str">
        <f>'Data shares'!C107</f>
        <v>JIOFIN</v>
      </c>
      <c r="B111" s="144">
        <f>VLOOKUP($A111,'Data shares'!$C:$FA,7)</f>
        <v>252.74</v>
      </c>
      <c r="C111" s="144">
        <f>VLOOKUP($A111,'Data shares'!$C:$FA,3)</f>
        <v>254.4</v>
      </c>
      <c r="D111" s="144">
        <f>VLOOKUP($A111,'Data shares'!$C:$FA,23)</f>
        <v>1.66</v>
      </c>
      <c r="E111" s="145">
        <f>VLOOKUP($A111,'Data shares'!$C:$FA,26)*100</f>
        <v>0.66</v>
      </c>
      <c r="F111" s="144">
        <f>VLOOKUP($A111,'Data shares'!$C:$FA,24)</f>
        <v>0.75</v>
      </c>
      <c r="G111" s="144">
        <f>VLOOKUP($A111,'Data shares'!$C:$FA,25)</f>
        <v>0.91</v>
      </c>
    </row>
    <row r="112" spans="1:7" x14ac:dyDescent="0.25">
      <c r="A112" s="101" t="str">
        <f>'Data shares'!C108</f>
        <v>JSWENERGY</v>
      </c>
      <c r="B112" s="144">
        <f>VLOOKUP($A112,'Data shares'!$C:$FA,7)</f>
        <v>562.29999999999995</v>
      </c>
      <c r="C112" s="144">
        <f>VLOOKUP($A112,'Data shares'!$C:$FA,3)</f>
        <v>564.45000000000005</v>
      </c>
      <c r="D112" s="144">
        <f>VLOOKUP($A112,'Data shares'!$C:$FA,23)</f>
        <v>2.15</v>
      </c>
      <c r="E112" s="145">
        <f>VLOOKUP($A112,'Data shares'!$C:$FA,26)*100</f>
        <v>0.38</v>
      </c>
      <c r="F112" s="144">
        <f>VLOOKUP($A112,'Data shares'!$C:$FA,24)</f>
        <v>2.75</v>
      </c>
      <c r="G112" s="144">
        <f>VLOOKUP($A112,'Data shares'!$C:$FA,25)</f>
        <v>-0.6</v>
      </c>
    </row>
    <row r="113" spans="1:7" x14ac:dyDescent="0.25">
      <c r="A113" s="101" t="str">
        <f>'Data shares'!C109</f>
        <v>JSWSTEEL</v>
      </c>
      <c r="B113" s="144">
        <f>VLOOKUP($A113,'Data shares'!$C:$FA,7)</f>
        <v>1266.5999999999999</v>
      </c>
      <c r="C113" s="144">
        <f>VLOOKUP($A113,'Data shares'!$C:$FA,3)</f>
        <v>1273.9000000000001</v>
      </c>
      <c r="D113" s="144">
        <f>VLOOKUP($A113,'Data shares'!$C:$FA,23)</f>
        <v>7.3</v>
      </c>
      <c r="E113" s="145">
        <f>VLOOKUP($A113,'Data shares'!$C:$FA,26)*100</f>
        <v>0.57999999999999996</v>
      </c>
      <c r="F113" s="144">
        <f>VLOOKUP($A113,'Data shares'!$C:$FA,24)</f>
        <v>5.8</v>
      </c>
      <c r="G113" s="144">
        <f>VLOOKUP($A113,'Data shares'!$C:$FA,25)</f>
        <v>1.5</v>
      </c>
    </row>
    <row r="114" spans="1:7" x14ac:dyDescent="0.25">
      <c r="A114" s="101" t="str">
        <f>'Data shares'!C110</f>
        <v>JUBLFOOD</v>
      </c>
      <c r="B114" s="144">
        <f>VLOOKUP($A114,'Data shares'!$C:$FA,7)</f>
        <v>476.4</v>
      </c>
      <c r="C114" s="144">
        <f>VLOOKUP($A114,'Data shares'!$C:$FA,3)</f>
        <v>476.2</v>
      </c>
      <c r="D114" s="144">
        <f>VLOOKUP($A114,'Data shares'!$C:$FA,23)</f>
        <v>-0.2</v>
      </c>
      <c r="E114" s="145">
        <f>VLOOKUP($A114,'Data shares'!$C:$FA,26)*100</f>
        <v>-0.04</v>
      </c>
      <c r="F114" s="144">
        <f>VLOOKUP($A114,'Data shares'!$C:$FA,24)</f>
        <v>-1.6</v>
      </c>
      <c r="G114" s="144">
        <f>VLOOKUP($A114,'Data shares'!$C:$FA,25)</f>
        <v>1.4</v>
      </c>
    </row>
    <row r="115" spans="1:7" x14ac:dyDescent="0.25">
      <c r="A115" s="101" t="str">
        <f>'Data shares'!C111</f>
        <v>KALYANKJIL</v>
      </c>
      <c r="B115" s="144">
        <f>VLOOKUP($A115,'Data shares'!$C:$FA,7)</f>
        <v>413.3</v>
      </c>
      <c r="C115" s="144">
        <f>VLOOKUP($A115,'Data shares'!$C:$FA,3)</f>
        <v>415.35</v>
      </c>
      <c r="D115" s="144">
        <f>VLOOKUP($A115,'Data shares'!$C:$FA,23)</f>
        <v>2.0499999999999998</v>
      </c>
      <c r="E115" s="145">
        <f>VLOOKUP($A115,'Data shares'!$C:$FA,26)*100</f>
        <v>0.5</v>
      </c>
      <c r="F115" s="144">
        <f>VLOOKUP($A115,'Data shares'!$C:$FA,24)</f>
        <v>2.4</v>
      </c>
      <c r="G115" s="144">
        <f>VLOOKUP($A115,'Data shares'!$C:$FA,25)</f>
        <v>-0.35</v>
      </c>
    </row>
    <row r="116" spans="1:7" x14ac:dyDescent="0.25">
      <c r="A116" s="101" t="str">
        <f>'Data shares'!C112</f>
        <v>KAYNES</v>
      </c>
      <c r="B116" s="144">
        <f>VLOOKUP($A116,'Data shares'!$C:$FA,7)</f>
        <v>4098.8999999999996</v>
      </c>
      <c r="C116" s="144">
        <f>VLOOKUP($A116,'Data shares'!$C:$FA,3)</f>
        <v>4104.8999999999996</v>
      </c>
      <c r="D116" s="144">
        <f>VLOOKUP($A116,'Data shares'!$C:$FA,23)</f>
        <v>6</v>
      </c>
      <c r="E116" s="145">
        <f>VLOOKUP($A116,'Data shares'!$C:$FA,26)*100</f>
        <v>0.15</v>
      </c>
      <c r="F116" s="144">
        <f>VLOOKUP($A116,'Data shares'!$C:$FA,24)</f>
        <v>11.2</v>
      </c>
      <c r="G116" s="144">
        <f>VLOOKUP($A116,'Data shares'!$C:$FA,25)</f>
        <v>-5.2</v>
      </c>
    </row>
    <row r="117" spans="1:7" x14ac:dyDescent="0.25">
      <c r="A117" s="101" t="str">
        <f>'Data shares'!C113</f>
        <v>KEI</v>
      </c>
      <c r="B117" s="144">
        <f>VLOOKUP($A117,'Data shares'!$C:$FA,7)</f>
        <v>5058.3</v>
      </c>
      <c r="C117" s="144">
        <f>VLOOKUP($A117,'Data shares'!$C:$FA,3)</f>
        <v>5086.3999999999996</v>
      </c>
      <c r="D117" s="144">
        <f>VLOOKUP($A117,'Data shares'!$C:$FA,23)</f>
        <v>28.1</v>
      </c>
      <c r="E117" s="145">
        <f>VLOOKUP($A117,'Data shares'!$C:$FA,26)*100</f>
        <v>0.55999999999999994</v>
      </c>
      <c r="F117" s="144">
        <f>VLOOKUP($A117,'Data shares'!$C:$FA,24)</f>
        <v>28.3</v>
      </c>
      <c r="G117" s="144">
        <f>VLOOKUP($A117,'Data shares'!$C:$FA,25)</f>
        <v>-0.2</v>
      </c>
    </row>
    <row r="118" spans="1:7" x14ac:dyDescent="0.25">
      <c r="A118" s="101" t="str">
        <f>'Data shares'!C114</f>
        <v>KFINTECH</v>
      </c>
      <c r="B118" s="144">
        <f>VLOOKUP($A118,'Data shares'!$C:$FA,7)</f>
        <v>863.95</v>
      </c>
      <c r="C118" s="144">
        <f>VLOOKUP($A118,'Data shares'!$C:$FA,3)</f>
        <v>856.5</v>
      </c>
      <c r="D118" s="144">
        <f>VLOOKUP($A118,'Data shares'!$C:$FA,23)</f>
        <v>-7.45</v>
      </c>
      <c r="E118" s="145">
        <f>VLOOKUP($A118,'Data shares'!$C:$FA,26)*100</f>
        <v>-0.86</v>
      </c>
      <c r="F118" s="144">
        <f>VLOOKUP($A118,'Data shares'!$C:$FA,24)</f>
        <v>-22.3</v>
      </c>
      <c r="G118" s="144">
        <f>VLOOKUP($A118,'Data shares'!$C:$FA,25)</f>
        <v>14.85</v>
      </c>
    </row>
    <row r="119" spans="1:7" x14ac:dyDescent="0.25">
      <c r="A119" s="101" t="str">
        <f>'Data shares'!C115</f>
        <v>KOTAKBANK</v>
      </c>
      <c r="B119" s="144">
        <f>VLOOKUP($A119,'Data shares'!$C:$FA,7)</f>
        <v>371.65</v>
      </c>
      <c r="C119" s="144">
        <f>VLOOKUP($A119,'Data shares'!$C:$FA,3)</f>
        <v>372.5</v>
      </c>
      <c r="D119" s="144">
        <f>VLOOKUP($A119,'Data shares'!$C:$FA,23)</f>
        <v>0.85</v>
      </c>
      <c r="E119" s="145">
        <f>VLOOKUP($A119,'Data shares'!$C:$FA,26)*100</f>
        <v>0.22999999999999998</v>
      </c>
      <c r="F119" s="144">
        <f>VLOOKUP($A119,'Data shares'!$C:$FA,24)</f>
        <v>2.6</v>
      </c>
      <c r="G119" s="144">
        <f>VLOOKUP($A119,'Data shares'!$C:$FA,25)</f>
        <v>-1.75</v>
      </c>
    </row>
    <row r="120" spans="1:7" x14ac:dyDescent="0.25">
      <c r="A120" s="101" t="str">
        <f>'Data shares'!C116</f>
        <v>KPITTECH</v>
      </c>
      <c r="B120" s="144">
        <f>VLOOKUP($A120,'Data shares'!$C:$FA,7)</f>
        <v>768.55</v>
      </c>
      <c r="C120" s="144">
        <f>VLOOKUP($A120,'Data shares'!$C:$FA,3)</f>
        <v>769.5</v>
      </c>
      <c r="D120" s="144">
        <f>VLOOKUP($A120,'Data shares'!$C:$FA,23)</f>
        <v>0.95</v>
      </c>
      <c r="E120" s="145">
        <f>VLOOKUP($A120,'Data shares'!$C:$FA,26)*100</f>
        <v>0.12</v>
      </c>
      <c r="F120" s="144">
        <f>VLOOKUP($A120,'Data shares'!$C:$FA,24)</f>
        <v>2.5499999999999998</v>
      </c>
      <c r="G120" s="144">
        <f>VLOOKUP($A120,'Data shares'!$C:$FA,25)</f>
        <v>-1.6</v>
      </c>
    </row>
    <row r="121" spans="1:7" x14ac:dyDescent="0.25">
      <c r="A121" s="101" t="str">
        <f>'Data shares'!C117</f>
        <v>LAURUSLABS</v>
      </c>
      <c r="B121" s="144">
        <f>VLOOKUP($A121,'Data shares'!$C:$FA,7)</f>
        <v>1166.4000000000001</v>
      </c>
      <c r="C121" s="144">
        <f>VLOOKUP($A121,'Data shares'!$C:$FA,3)</f>
        <v>1172</v>
      </c>
      <c r="D121" s="144">
        <f>VLOOKUP($A121,'Data shares'!$C:$FA,23)</f>
        <v>5.6</v>
      </c>
      <c r="E121" s="145">
        <f>VLOOKUP($A121,'Data shares'!$C:$FA,26)*100</f>
        <v>0.48</v>
      </c>
      <c r="F121" s="144">
        <f>VLOOKUP($A121,'Data shares'!$C:$FA,24)</f>
        <v>6.5</v>
      </c>
      <c r="G121" s="144">
        <f>VLOOKUP($A121,'Data shares'!$C:$FA,25)</f>
        <v>-0.9</v>
      </c>
    </row>
    <row r="122" spans="1:7" x14ac:dyDescent="0.25">
      <c r="A122" s="101" t="str">
        <f>'Data shares'!C118</f>
        <v>LICHSGFIN</v>
      </c>
      <c r="B122" s="144">
        <f>VLOOKUP($A122,'Data shares'!$C:$FA,7)</f>
        <v>557</v>
      </c>
      <c r="C122" s="144">
        <f>VLOOKUP($A122,'Data shares'!$C:$FA,3)</f>
        <v>560.20000000000005</v>
      </c>
      <c r="D122" s="144">
        <f>VLOOKUP($A122,'Data shares'!$C:$FA,23)</f>
        <v>3.2</v>
      </c>
      <c r="E122" s="145">
        <f>VLOOKUP($A122,'Data shares'!$C:$FA,26)*100</f>
        <v>0.57000000000000006</v>
      </c>
      <c r="F122" s="144">
        <f>VLOOKUP($A122,'Data shares'!$C:$FA,24)</f>
        <v>3.3</v>
      </c>
      <c r="G122" s="144">
        <f>VLOOKUP($A122,'Data shares'!$C:$FA,25)</f>
        <v>-0.1</v>
      </c>
    </row>
    <row r="123" spans="1:7" x14ac:dyDescent="0.25">
      <c r="A123" s="101" t="str">
        <f>'Data shares'!C119</f>
        <v>LICI</v>
      </c>
      <c r="B123" s="144">
        <f>VLOOKUP($A123,'Data shares'!$C:$FA,7)</f>
        <v>802</v>
      </c>
      <c r="C123" s="144">
        <f>VLOOKUP($A123,'Data shares'!$C:$FA,3)</f>
        <v>799</v>
      </c>
      <c r="D123" s="144">
        <f>VLOOKUP($A123,'Data shares'!$C:$FA,23)</f>
        <v>-3</v>
      </c>
      <c r="E123" s="145">
        <f>VLOOKUP($A123,'Data shares'!$C:$FA,26)*100</f>
        <v>-0.37</v>
      </c>
      <c r="F123" s="144">
        <f>VLOOKUP($A123,'Data shares'!$C:$FA,24)</f>
        <v>-6.6</v>
      </c>
      <c r="G123" s="144">
        <f>VLOOKUP($A123,'Data shares'!$C:$FA,25)</f>
        <v>3.6</v>
      </c>
    </row>
    <row r="124" spans="1:7" x14ac:dyDescent="0.25">
      <c r="A124" s="101" t="str">
        <f>'Data shares'!C120</f>
        <v>LODHA</v>
      </c>
      <c r="B124" s="144">
        <f>VLOOKUP($A124,'Data shares'!$C:$FA,7)</f>
        <v>923.6</v>
      </c>
      <c r="C124" s="144">
        <f>VLOOKUP($A124,'Data shares'!$C:$FA,3)</f>
        <v>926.55</v>
      </c>
      <c r="D124" s="144">
        <f>VLOOKUP($A124,'Data shares'!$C:$FA,23)</f>
        <v>2.95</v>
      </c>
      <c r="E124" s="145">
        <f>VLOOKUP($A124,'Data shares'!$C:$FA,26)*100</f>
        <v>0.32</v>
      </c>
      <c r="F124" s="144">
        <f>VLOOKUP($A124,'Data shares'!$C:$FA,24)</f>
        <v>4.5</v>
      </c>
      <c r="G124" s="144">
        <f>VLOOKUP($A124,'Data shares'!$C:$FA,25)</f>
        <v>-1.55</v>
      </c>
    </row>
    <row r="125" spans="1:7" x14ac:dyDescent="0.25">
      <c r="A125" s="101" t="str">
        <f>'Data shares'!C121</f>
        <v>LT</v>
      </c>
      <c r="B125" s="144">
        <f>VLOOKUP($A125,'Data shares'!$C:$FA,7)</f>
        <v>4100.8</v>
      </c>
      <c r="C125" s="144">
        <f>VLOOKUP($A125,'Data shares'!$C:$FA,3)</f>
        <v>4120.3</v>
      </c>
      <c r="D125" s="144">
        <f>VLOOKUP($A125,'Data shares'!$C:$FA,23)</f>
        <v>19.5</v>
      </c>
      <c r="E125" s="145">
        <f>VLOOKUP($A125,'Data shares'!$C:$FA,26)*100</f>
        <v>0.48</v>
      </c>
      <c r="F125" s="144">
        <f>VLOOKUP($A125,'Data shares'!$C:$FA,24)</f>
        <v>23.7</v>
      </c>
      <c r="G125" s="144">
        <f>VLOOKUP($A125,'Data shares'!$C:$FA,25)</f>
        <v>-4.2</v>
      </c>
    </row>
    <row r="126" spans="1:7" x14ac:dyDescent="0.25">
      <c r="A126" s="101" t="str">
        <f>'Data shares'!C122</f>
        <v>LTF</v>
      </c>
      <c r="B126" s="144">
        <f>VLOOKUP($A126,'Data shares'!$C:$FA,7)</f>
        <v>285.64999999999998</v>
      </c>
      <c r="C126" s="144">
        <f>VLOOKUP($A126,'Data shares'!$C:$FA,3)</f>
        <v>284.64999999999998</v>
      </c>
      <c r="D126" s="144">
        <f>VLOOKUP($A126,'Data shares'!$C:$FA,23)</f>
        <v>-1</v>
      </c>
      <c r="E126" s="145">
        <f>VLOOKUP($A126,'Data shares'!$C:$FA,26)*100</f>
        <v>-0.35000000000000003</v>
      </c>
      <c r="F126" s="144">
        <f>VLOOKUP($A126,'Data shares'!$C:$FA,24)</f>
        <v>1.08</v>
      </c>
      <c r="G126" s="144">
        <f>VLOOKUP($A126,'Data shares'!$C:$FA,25)</f>
        <v>-2.08</v>
      </c>
    </row>
    <row r="127" spans="1:7" x14ac:dyDescent="0.25">
      <c r="A127" s="101" t="str">
        <f>'Data shares'!C123</f>
        <v>LTM</v>
      </c>
      <c r="B127" s="144">
        <f>VLOOKUP($A127,'Data shares'!$C:$FA,7)</f>
        <v>4202.7</v>
      </c>
      <c r="C127" s="144">
        <f>VLOOKUP($A127,'Data shares'!$C:$FA,3)</f>
        <v>4189.7</v>
      </c>
      <c r="D127" s="144">
        <f>VLOOKUP($A127,'Data shares'!$C:$FA,23)</f>
        <v>-13</v>
      </c>
      <c r="E127" s="145">
        <f>VLOOKUP($A127,'Data shares'!$C:$FA,26)*100</f>
        <v>-0.31</v>
      </c>
      <c r="F127" s="144">
        <f>VLOOKUP($A127,'Data shares'!$C:$FA,24)</f>
        <v>-10.8</v>
      </c>
      <c r="G127" s="144">
        <f>VLOOKUP($A127,'Data shares'!$C:$FA,25)</f>
        <v>-2.2000000000000002</v>
      </c>
    </row>
    <row r="128" spans="1:7" x14ac:dyDescent="0.25">
      <c r="A128" s="101" t="str">
        <f>'Data shares'!C124</f>
        <v>LUPIN</v>
      </c>
      <c r="B128" s="144">
        <f>VLOOKUP($A128,'Data shares'!$C:$FA,7)</f>
        <v>2348.8000000000002</v>
      </c>
      <c r="C128" s="144">
        <f>VLOOKUP($A128,'Data shares'!$C:$FA,3)</f>
        <v>2351.5</v>
      </c>
      <c r="D128" s="144">
        <f>VLOOKUP($A128,'Data shares'!$C:$FA,23)</f>
        <v>2.7</v>
      </c>
      <c r="E128" s="145">
        <f>VLOOKUP($A128,'Data shares'!$C:$FA,26)*100</f>
        <v>0.11</v>
      </c>
      <c r="F128" s="144">
        <f>VLOOKUP($A128,'Data shares'!$C:$FA,24)</f>
        <v>5.6</v>
      </c>
      <c r="G128" s="144">
        <f>VLOOKUP($A128,'Data shares'!$C:$FA,25)</f>
        <v>-2.9</v>
      </c>
    </row>
    <row r="129" spans="1:7" x14ac:dyDescent="0.25">
      <c r="A129" s="101" t="str">
        <f>'Data shares'!C125</f>
        <v>M&amp;M</v>
      </c>
      <c r="B129" s="144">
        <f>VLOOKUP($A129,'Data shares'!$C:$FA,7)</f>
        <v>3106.5</v>
      </c>
      <c r="C129" s="144">
        <f>VLOOKUP($A129,'Data shares'!$C:$FA,3)</f>
        <v>3120.2</v>
      </c>
      <c r="D129" s="144">
        <f>VLOOKUP($A129,'Data shares'!$C:$FA,23)</f>
        <v>13.7</v>
      </c>
      <c r="E129" s="145">
        <f>VLOOKUP($A129,'Data shares'!$C:$FA,26)*100</f>
        <v>0.44</v>
      </c>
      <c r="F129" s="144">
        <f>VLOOKUP($A129,'Data shares'!$C:$FA,24)</f>
        <v>17.5</v>
      </c>
      <c r="G129" s="144">
        <f>VLOOKUP($A129,'Data shares'!$C:$FA,25)</f>
        <v>-3.8</v>
      </c>
    </row>
    <row r="130" spans="1:7" x14ac:dyDescent="0.25">
      <c r="A130" s="101" t="str">
        <f>'Data shares'!C126</f>
        <v>MANAPPURAM</v>
      </c>
      <c r="B130" s="144">
        <f>VLOOKUP($A130,'Data shares'!$C:$FA,7)</f>
        <v>305.14999999999998</v>
      </c>
      <c r="C130" s="144">
        <f>VLOOKUP($A130,'Data shares'!$C:$FA,3)</f>
        <v>306.7</v>
      </c>
      <c r="D130" s="144">
        <f>VLOOKUP($A130,'Data shares'!$C:$FA,23)</f>
        <v>1.55</v>
      </c>
      <c r="E130" s="145">
        <f>VLOOKUP($A130,'Data shares'!$C:$FA,26)*100</f>
        <v>0.51</v>
      </c>
      <c r="F130" s="144">
        <f>VLOOKUP($A130,'Data shares'!$C:$FA,24)</f>
        <v>1.45</v>
      </c>
      <c r="G130" s="144">
        <f>VLOOKUP($A130,'Data shares'!$C:$FA,25)</f>
        <v>0.1</v>
      </c>
    </row>
    <row r="131" spans="1:7" x14ac:dyDescent="0.25">
      <c r="A131" s="101" t="str">
        <f>'Data shares'!C127</f>
        <v>MANKIND</v>
      </c>
      <c r="B131" s="144">
        <f>VLOOKUP($A131,'Data shares'!$C:$FA,7)</f>
        <v>2257.8000000000002</v>
      </c>
      <c r="C131" s="144">
        <f>VLOOKUP($A131,'Data shares'!$C:$FA,3)</f>
        <v>2269.6</v>
      </c>
      <c r="D131" s="144">
        <f>VLOOKUP($A131,'Data shares'!$C:$FA,23)</f>
        <v>11.8</v>
      </c>
      <c r="E131" s="145">
        <f>VLOOKUP($A131,'Data shares'!$C:$FA,26)*100</f>
        <v>0.52</v>
      </c>
      <c r="F131" s="144">
        <f>VLOOKUP($A131,'Data shares'!$C:$FA,24)</f>
        <v>5.4</v>
      </c>
      <c r="G131" s="144">
        <f>VLOOKUP($A131,'Data shares'!$C:$FA,25)</f>
        <v>6.4</v>
      </c>
    </row>
    <row r="132" spans="1:7" x14ac:dyDescent="0.25">
      <c r="A132" s="101" t="str">
        <f>'Data shares'!C128</f>
        <v>MARICO</v>
      </c>
      <c r="B132" s="144">
        <f>VLOOKUP($A132,'Data shares'!$C:$FA,7)</f>
        <v>784.55</v>
      </c>
      <c r="C132" s="144">
        <f>VLOOKUP($A132,'Data shares'!$C:$FA,3)</f>
        <v>789</v>
      </c>
      <c r="D132" s="144">
        <f>VLOOKUP($A132,'Data shares'!$C:$FA,23)</f>
        <v>4.45</v>
      </c>
      <c r="E132" s="145">
        <f>VLOOKUP($A132,'Data shares'!$C:$FA,26)*100</f>
        <v>0.57000000000000006</v>
      </c>
      <c r="F132" s="144">
        <f>VLOOKUP($A132,'Data shares'!$C:$FA,24)</f>
        <v>2.75</v>
      </c>
      <c r="G132" s="144">
        <f>VLOOKUP($A132,'Data shares'!$C:$FA,25)</f>
        <v>1.7</v>
      </c>
    </row>
    <row r="133" spans="1:7" x14ac:dyDescent="0.25">
      <c r="A133" s="101" t="str">
        <f>'Data shares'!C129</f>
        <v>MARUTI</v>
      </c>
      <c r="B133" s="144">
        <f>VLOOKUP($A133,'Data shares'!$C:$FA,7)</f>
        <v>13580</v>
      </c>
      <c r="C133" s="144">
        <f>VLOOKUP($A133,'Data shares'!$C:$FA,3)</f>
        <v>13656</v>
      </c>
      <c r="D133" s="144">
        <f>VLOOKUP($A133,'Data shares'!$C:$FA,23)</f>
        <v>76</v>
      </c>
      <c r="E133" s="145">
        <f>VLOOKUP($A133,'Data shares'!$C:$FA,26)*100</f>
        <v>0.55999999999999994</v>
      </c>
      <c r="F133" s="144">
        <f>VLOOKUP($A133,'Data shares'!$C:$FA,24)</f>
        <v>72</v>
      </c>
      <c r="G133" s="144">
        <f>VLOOKUP($A133,'Data shares'!$C:$FA,25)</f>
        <v>4</v>
      </c>
    </row>
    <row r="134" spans="1:7" x14ac:dyDescent="0.25">
      <c r="A134" s="101" t="str">
        <f>'Data shares'!C130</f>
        <v>MAXHEALTH</v>
      </c>
      <c r="B134" s="144">
        <f>VLOOKUP($A134,'Data shares'!$C:$FA,7)</f>
        <v>1011.55</v>
      </c>
      <c r="C134" s="144">
        <f>VLOOKUP($A134,'Data shares'!$C:$FA,3)</f>
        <v>1017.65</v>
      </c>
      <c r="D134" s="144">
        <f>VLOOKUP($A134,'Data shares'!$C:$FA,23)</f>
        <v>6.1</v>
      </c>
      <c r="E134" s="145">
        <f>VLOOKUP($A134,'Data shares'!$C:$FA,26)*100</f>
        <v>0.6</v>
      </c>
      <c r="F134" s="144">
        <f>VLOOKUP($A134,'Data shares'!$C:$FA,24)</f>
        <v>5.9</v>
      </c>
      <c r="G134" s="144">
        <f>VLOOKUP($A134,'Data shares'!$C:$FA,25)</f>
        <v>0.2</v>
      </c>
    </row>
    <row r="135" spans="1:7" x14ac:dyDescent="0.25">
      <c r="A135" s="101" t="str">
        <f>'Data shares'!C131</f>
        <v>MAZDOCK</v>
      </c>
      <c r="B135" s="144">
        <f>VLOOKUP($A135,'Data shares'!$C:$FA,7)</f>
        <v>2611.6</v>
      </c>
      <c r="C135" s="144">
        <f>VLOOKUP($A135,'Data shares'!$C:$FA,3)</f>
        <v>2625.2</v>
      </c>
      <c r="D135" s="144">
        <f>VLOOKUP($A135,'Data shares'!$C:$FA,23)</f>
        <v>13.6</v>
      </c>
      <c r="E135" s="145">
        <f>VLOOKUP($A135,'Data shares'!$C:$FA,26)*100</f>
        <v>0.52</v>
      </c>
      <c r="F135" s="144">
        <f>VLOOKUP($A135,'Data shares'!$C:$FA,24)</f>
        <v>9</v>
      </c>
      <c r="G135" s="144">
        <f>VLOOKUP($A135,'Data shares'!$C:$FA,25)</f>
        <v>4.5999999999999996</v>
      </c>
    </row>
    <row r="136" spans="1:7" x14ac:dyDescent="0.25">
      <c r="A136" s="101" t="str">
        <f>'Data shares'!C132</f>
        <v>MCX</v>
      </c>
      <c r="B136" s="144">
        <f>VLOOKUP($A136,'Data shares'!$C:$FA,7)</f>
        <v>2912.9</v>
      </c>
      <c r="C136" s="144">
        <f>VLOOKUP($A136,'Data shares'!$C:$FA,3)</f>
        <v>2929.5</v>
      </c>
      <c r="D136" s="144">
        <f>VLOOKUP($A136,'Data shares'!$C:$FA,23)</f>
        <v>16.600000000000001</v>
      </c>
      <c r="E136" s="145">
        <f>VLOOKUP($A136,'Data shares'!$C:$FA,26)*100</f>
        <v>0.57000000000000006</v>
      </c>
      <c r="F136" s="144">
        <f>VLOOKUP($A136,'Data shares'!$C:$FA,24)</f>
        <v>9.5</v>
      </c>
      <c r="G136" s="144">
        <f>VLOOKUP($A136,'Data shares'!$C:$FA,25)</f>
        <v>7.1</v>
      </c>
    </row>
    <row r="137" spans="1:7" x14ac:dyDescent="0.25">
      <c r="A137" s="101" t="str">
        <f>'Data shares'!C133</f>
        <v>MFSL</v>
      </c>
      <c r="B137" s="144">
        <f>VLOOKUP($A137,'Data shares'!$C:$FA,7)</f>
        <v>1606.7</v>
      </c>
      <c r="C137" s="144">
        <f>VLOOKUP($A137,'Data shares'!$C:$FA,3)</f>
        <v>1615.1</v>
      </c>
      <c r="D137" s="144">
        <f>VLOOKUP($A137,'Data shares'!$C:$FA,23)</f>
        <v>8.4</v>
      </c>
      <c r="E137" s="145">
        <f>VLOOKUP($A137,'Data shares'!$C:$FA,26)*100</f>
        <v>0.52</v>
      </c>
      <c r="F137" s="144">
        <f>VLOOKUP($A137,'Data shares'!$C:$FA,24)</f>
        <v>9.4</v>
      </c>
      <c r="G137" s="144">
        <f>VLOOKUP($A137,'Data shares'!$C:$FA,25)</f>
        <v>-1</v>
      </c>
    </row>
    <row r="138" spans="1:7" x14ac:dyDescent="0.25">
      <c r="A138" s="101" t="str">
        <f>'Data shares'!C134</f>
        <v>MIDCPNIFTY</v>
      </c>
      <c r="B138" s="144">
        <f>VLOOKUP($A138,'Data shares'!$C:$FA,7)</f>
        <v>13930.2</v>
      </c>
      <c r="C138" s="144">
        <f>VLOOKUP($A138,'Data shares'!$C:$FA,3)</f>
        <v>13964.65</v>
      </c>
      <c r="D138" s="144">
        <f>VLOOKUP($A138,'Data shares'!$C:$FA,23)</f>
        <v>34.450000000000003</v>
      </c>
      <c r="E138" s="145">
        <f>VLOOKUP($A138,'Data shares'!$C:$FA,26)*100</f>
        <v>0.25</v>
      </c>
      <c r="F138" s="144">
        <f>VLOOKUP($A138,'Data shares'!$C:$FA,24)</f>
        <v>53.65</v>
      </c>
      <c r="G138" s="144">
        <f>VLOOKUP($A138,'Data shares'!$C:$FA,25)</f>
        <v>-19.2</v>
      </c>
    </row>
    <row r="139" spans="1:7" x14ac:dyDescent="0.25">
      <c r="A139" s="101" t="str">
        <f>'Data shares'!C135</f>
        <v>MOTHERSON</v>
      </c>
      <c r="B139" s="144">
        <f>VLOOKUP($A139,'Data shares'!$C:$FA,7)</f>
        <v>120.21</v>
      </c>
      <c r="C139" s="144">
        <f>VLOOKUP($A139,'Data shares'!$C:$FA,3)</f>
        <v>120.79</v>
      </c>
      <c r="D139" s="144">
        <f>VLOOKUP($A139,'Data shares'!$C:$FA,23)</f>
        <v>0.57999999999999996</v>
      </c>
      <c r="E139" s="145">
        <f>VLOOKUP($A139,'Data shares'!$C:$FA,26)*100</f>
        <v>0.48</v>
      </c>
      <c r="F139" s="144">
        <f>VLOOKUP($A139,'Data shares'!$C:$FA,24)</f>
        <v>0.71</v>
      </c>
      <c r="G139" s="144">
        <f>VLOOKUP($A139,'Data shares'!$C:$FA,25)</f>
        <v>-0.13</v>
      </c>
    </row>
    <row r="140" spans="1:7" x14ac:dyDescent="0.25">
      <c r="A140" s="101" t="str">
        <f>'Data shares'!C136</f>
        <v>MOTILALOFS</v>
      </c>
      <c r="B140" s="144">
        <f>VLOOKUP($A140,'Data shares'!$C:$FA,7)</f>
        <v>836.6</v>
      </c>
      <c r="C140" s="144">
        <f>VLOOKUP($A140,'Data shares'!$C:$FA,3)</f>
        <v>840.45</v>
      </c>
      <c r="D140" s="144">
        <f>VLOOKUP($A140,'Data shares'!$C:$FA,23)</f>
        <v>3.85</v>
      </c>
      <c r="E140" s="145">
        <f>VLOOKUP($A140,'Data shares'!$C:$FA,26)*100</f>
        <v>0.45999999999999996</v>
      </c>
      <c r="F140" s="144">
        <f>VLOOKUP($A140,'Data shares'!$C:$FA,24)</f>
        <v>4.9000000000000004</v>
      </c>
      <c r="G140" s="144">
        <f>VLOOKUP($A140,'Data shares'!$C:$FA,25)</f>
        <v>-1.05</v>
      </c>
    </row>
    <row r="141" spans="1:7" x14ac:dyDescent="0.25">
      <c r="A141" s="101" t="str">
        <f>'Data shares'!C137</f>
        <v>MPHASIS</v>
      </c>
      <c r="B141" s="144">
        <f>VLOOKUP($A141,'Data shares'!$C:$FA,7)</f>
        <v>2276.6</v>
      </c>
      <c r="C141" s="144">
        <f>VLOOKUP($A141,'Data shares'!$C:$FA,3)</f>
        <v>2284</v>
      </c>
      <c r="D141" s="144">
        <f>VLOOKUP($A141,'Data shares'!$C:$FA,23)</f>
        <v>7.4</v>
      </c>
      <c r="E141" s="145">
        <f>VLOOKUP($A141,'Data shares'!$C:$FA,26)*100</f>
        <v>0.33</v>
      </c>
      <c r="F141" s="144">
        <f>VLOOKUP($A141,'Data shares'!$C:$FA,24)</f>
        <v>12.1</v>
      </c>
      <c r="G141" s="144">
        <f>VLOOKUP($A141,'Data shares'!$C:$FA,25)</f>
        <v>-4.7</v>
      </c>
    </row>
    <row r="142" spans="1:7" x14ac:dyDescent="0.25">
      <c r="A142" s="101" t="str">
        <f>'Data shares'!C138</f>
        <v>MUTHOOTFIN</v>
      </c>
      <c r="B142" s="144">
        <f>VLOOKUP($A142,'Data shares'!$C:$FA,7)</f>
        <v>3487.7</v>
      </c>
      <c r="C142" s="144">
        <f>VLOOKUP($A142,'Data shares'!$C:$FA,3)</f>
        <v>3503.9</v>
      </c>
      <c r="D142" s="144">
        <f>VLOOKUP($A142,'Data shares'!$C:$FA,23)</f>
        <v>16.2</v>
      </c>
      <c r="E142" s="145">
        <f>VLOOKUP($A142,'Data shares'!$C:$FA,26)*100</f>
        <v>0.45999999999999996</v>
      </c>
      <c r="F142" s="144">
        <f>VLOOKUP($A142,'Data shares'!$C:$FA,24)</f>
        <v>20.2</v>
      </c>
      <c r="G142" s="144">
        <f>VLOOKUP($A142,'Data shares'!$C:$FA,25)</f>
        <v>-4</v>
      </c>
    </row>
    <row r="143" spans="1:7" x14ac:dyDescent="0.25">
      <c r="A143" s="101" t="str">
        <f>'Data shares'!C139</f>
        <v>NAM-INDIA</v>
      </c>
      <c r="B143" s="144">
        <f>VLOOKUP($A143,'Data shares'!$C:$FA,7)</f>
        <v>1019.3</v>
      </c>
      <c r="C143" s="144">
        <f>VLOOKUP($A143,'Data shares'!$C:$FA,3)</f>
        <v>1021.6</v>
      </c>
      <c r="D143" s="144">
        <f>VLOOKUP($A143,'Data shares'!$C:$FA,23)</f>
        <v>2.2999999999999998</v>
      </c>
      <c r="E143" s="145">
        <f>VLOOKUP($A143,'Data shares'!$C:$FA,26)*100</f>
        <v>0.22999999999999998</v>
      </c>
      <c r="F143" s="144">
        <f>VLOOKUP($A143,'Data shares'!$C:$FA,24)</f>
        <v>4.0999999999999996</v>
      </c>
      <c r="G143" s="144">
        <f>VLOOKUP($A143,'Data shares'!$C:$FA,25)</f>
        <v>-1.8</v>
      </c>
    </row>
    <row r="144" spans="1:7" x14ac:dyDescent="0.25">
      <c r="A144" s="101" t="str">
        <f>'Data shares'!C140</f>
        <v>NATIONALUM</v>
      </c>
      <c r="B144" s="144">
        <f>VLOOKUP($A144,'Data shares'!$C:$FA,7)</f>
        <v>407.8</v>
      </c>
      <c r="C144" s="144">
        <f>VLOOKUP($A144,'Data shares'!$C:$FA,3)</f>
        <v>408.85</v>
      </c>
      <c r="D144" s="144">
        <f>VLOOKUP($A144,'Data shares'!$C:$FA,23)</f>
        <v>1.05</v>
      </c>
      <c r="E144" s="145">
        <f>VLOOKUP($A144,'Data shares'!$C:$FA,26)*100</f>
        <v>0.26</v>
      </c>
      <c r="F144" s="144">
        <f>VLOOKUP($A144,'Data shares'!$C:$FA,24)</f>
        <v>-0.85</v>
      </c>
      <c r="G144" s="144">
        <f>VLOOKUP($A144,'Data shares'!$C:$FA,25)</f>
        <v>1.9</v>
      </c>
    </row>
    <row r="145" spans="1:7" x14ac:dyDescent="0.25">
      <c r="A145" s="101" t="str">
        <f>'Data shares'!C141</f>
        <v>NAUKRI</v>
      </c>
      <c r="B145" s="144">
        <f>VLOOKUP($A145,'Data shares'!$C:$FA,7)</f>
        <v>976.65</v>
      </c>
      <c r="C145" s="144">
        <f>VLOOKUP($A145,'Data shares'!$C:$FA,3)</f>
        <v>982.25</v>
      </c>
      <c r="D145" s="144">
        <f>VLOOKUP($A145,'Data shares'!$C:$FA,23)</f>
        <v>5.6</v>
      </c>
      <c r="E145" s="145">
        <f>VLOOKUP($A145,'Data shares'!$C:$FA,26)*100</f>
        <v>0.57000000000000006</v>
      </c>
      <c r="F145" s="144">
        <f>VLOOKUP($A145,'Data shares'!$C:$FA,24)</f>
        <v>5.35</v>
      </c>
      <c r="G145" s="144">
        <f>VLOOKUP($A145,'Data shares'!$C:$FA,25)</f>
        <v>0.25</v>
      </c>
    </row>
    <row r="146" spans="1:7" x14ac:dyDescent="0.25">
      <c r="A146" s="101" t="str">
        <f>'Data shares'!C142</f>
        <v>NBCC</v>
      </c>
      <c r="B146" s="144">
        <f>VLOOKUP($A146,'Data shares'!$C:$FA,7)</f>
        <v>92.52</v>
      </c>
      <c r="C146" s="144">
        <f>VLOOKUP($A146,'Data shares'!$C:$FA,3)</f>
        <v>93.17</v>
      </c>
      <c r="D146" s="144">
        <f>VLOOKUP($A146,'Data shares'!$C:$FA,23)</f>
        <v>0.65</v>
      </c>
      <c r="E146" s="145">
        <f>VLOOKUP($A146,'Data shares'!$C:$FA,26)*100</f>
        <v>0.70000000000000007</v>
      </c>
      <c r="F146" s="144">
        <f>VLOOKUP($A146,'Data shares'!$C:$FA,24)</f>
        <v>0.56999999999999995</v>
      </c>
      <c r="G146" s="144">
        <f>VLOOKUP($A146,'Data shares'!$C:$FA,25)</f>
        <v>0.08</v>
      </c>
    </row>
    <row r="147" spans="1:7" x14ac:dyDescent="0.25">
      <c r="A147" s="101" t="str">
        <f>'Data shares'!C143</f>
        <v>NESTLEIND</v>
      </c>
      <c r="B147" s="144">
        <f>VLOOKUP($A147,'Data shares'!$C:$FA,7)</f>
        <v>1457.1</v>
      </c>
      <c r="C147" s="144">
        <f>VLOOKUP($A147,'Data shares'!$C:$FA,3)</f>
        <v>1460.1</v>
      </c>
      <c r="D147" s="144">
        <f>VLOOKUP($A147,'Data shares'!$C:$FA,23)</f>
        <v>3</v>
      </c>
      <c r="E147" s="145">
        <f>VLOOKUP($A147,'Data shares'!$C:$FA,26)*100</f>
        <v>0.21</v>
      </c>
      <c r="F147" s="144">
        <f>VLOOKUP($A147,'Data shares'!$C:$FA,24)</f>
        <v>3.5</v>
      </c>
      <c r="G147" s="144">
        <f>VLOOKUP($A147,'Data shares'!$C:$FA,25)</f>
        <v>-0.5</v>
      </c>
    </row>
    <row r="148" spans="1:7" x14ac:dyDescent="0.25">
      <c r="A148" s="101" t="str">
        <f>'Data shares'!C144</f>
        <v>NHPC</v>
      </c>
      <c r="B148" s="144">
        <f>VLOOKUP($A148,'Data shares'!$C:$FA,7)</f>
        <v>83.28</v>
      </c>
      <c r="C148" s="144">
        <f>VLOOKUP($A148,'Data shares'!$C:$FA,3)</f>
        <v>82.68</v>
      </c>
      <c r="D148" s="144">
        <f>VLOOKUP($A148,'Data shares'!$C:$FA,23)</f>
        <v>-0.6</v>
      </c>
      <c r="E148" s="145">
        <f>VLOOKUP($A148,'Data shares'!$C:$FA,26)*100</f>
        <v>-0.72</v>
      </c>
      <c r="F148" s="144">
        <f>VLOOKUP($A148,'Data shares'!$C:$FA,24)</f>
        <v>-0.77</v>
      </c>
      <c r="G148" s="144">
        <f>VLOOKUP($A148,'Data shares'!$C:$FA,25)</f>
        <v>0.17</v>
      </c>
    </row>
    <row r="149" spans="1:7" x14ac:dyDescent="0.25">
      <c r="A149" s="101" t="str">
        <f>'Data shares'!C145</f>
        <v>NIFTY</v>
      </c>
      <c r="B149" s="144">
        <f>VLOOKUP($A149,'Data shares'!$C:$FA,7)</f>
        <v>24119.3</v>
      </c>
      <c r="C149" s="144">
        <f>VLOOKUP($A149,'Data shares'!$C:$FA,3)</f>
        <v>24206</v>
      </c>
      <c r="D149" s="144">
        <f>VLOOKUP($A149,'Data shares'!$C:$FA,23)</f>
        <v>86.7</v>
      </c>
      <c r="E149" s="145">
        <f>VLOOKUP($A149,'Data shares'!$C:$FA,26)*100</f>
        <v>0.36</v>
      </c>
      <c r="F149" s="144">
        <f>VLOOKUP($A149,'Data shares'!$C:$FA,24)</f>
        <v>100.65</v>
      </c>
      <c r="G149" s="144">
        <f>VLOOKUP($A149,'Data shares'!$C:$FA,25)</f>
        <v>-13.95</v>
      </c>
    </row>
    <row r="150" spans="1:7" x14ac:dyDescent="0.25">
      <c r="A150" s="101" t="str">
        <f>'Data shares'!C146</f>
        <v>NIFTYNXT50</v>
      </c>
      <c r="B150" s="144">
        <f>VLOOKUP($A150,'Data shares'!$C:$FA,7)</f>
        <v>70283.850000000006</v>
      </c>
      <c r="C150" s="144">
        <f>VLOOKUP($A150,'Data shares'!$C:$FA,3)</f>
        <v>70524.800000000003</v>
      </c>
      <c r="D150" s="144">
        <f>VLOOKUP($A150,'Data shares'!$C:$FA,23)</f>
        <v>240.95</v>
      </c>
      <c r="E150" s="145">
        <f>VLOOKUP($A150,'Data shares'!$C:$FA,26)*100</f>
        <v>0.33999999999999997</v>
      </c>
      <c r="F150" s="144">
        <f>VLOOKUP($A150,'Data shares'!$C:$FA,24)</f>
        <v>440.3</v>
      </c>
      <c r="G150" s="144">
        <f>VLOOKUP($A150,'Data shares'!$C:$FA,25)</f>
        <v>-199.35</v>
      </c>
    </row>
    <row r="151" spans="1:7" x14ac:dyDescent="0.25">
      <c r="A151" s="101" t="str">
        <f>'Data shares'!C147</f>
        <v>NMDC</v>
      </c>
      <c r="B151" s="144">
        <f>VLOOKUP($A151,'Data shares'!$C:$FA,7)</f>
        <v>89.09</v>
      </c>
      <c r="C151" s="144">
        <f>VLOOKUP($A151,'Data shares'!$C:$FA,3)</f>
        <v>89.69</v>
      </c>
      <c r="D151" s="144">
        <f>VLOOKUP($A151,'Data shares'!$C:$FA,23)</f>
        <v>0.6</v>
      </c>
      <c r="E151" s="145">
        <f>VLOOKUP($A151,'Data shares'!$C:$FA,26)*100</f>
        <v>0.67</v>
      </c>
      <c r="F151" s="144">
        <f>VLOOKUP($A151,'Data shares'!$C:$FA,24)</f>
        <v>0.52</v>
      </c>
      <c r="G151" s="144">
        <f>VLOOKUP($A151,'Data shares'!$C:$FA,25)</f>
        <v>0.08</v>
      </c>
    </row>
    <row r="152" spans="1:7" x14ac:dyDescent="0.25">
      <c r="A152" s="101" t="str">
        <f>'Data shares'!C148</f>
        <v>NTPC</v>
      </c>
      <c r="B152" s="144">
        <f>VLOOKUP($A152,'Data shares'!$C:$FA,7)</f>
        <v>400.05</v>
      </c>
      <c r="C152" s="144">
        <f>VLOOKUP($A152,'Data shares'!$C:$FA,3)</f>
        <v>402.2</v>
      </c>
      <c r="D152" s="144">
        <f>VLOOKUP($A152,'Data shares'!$C:$FA,23)</f>
        <v>2.15</v>
      </c>
      <c r="E152" s="145">
        <f>VLOOKUP($A152,'Data shares'!$C:$FA,26)*100</f>
        <v>0.54</v>
      </c>
      <c r="F152" s="144">
        <f>VLOOKUP($A152,'Data shares'!$C:$FA,24)</f>
        <v>1.35</v>
      </c>
      <c r="G152" s="144">
        <f>VLOOKUP($A152,'Data shares'!$C:$FA,25)</f>
        <v>0.8</v>
      </c>
    </row>
    <row r="153" spans="1:7" x14ac:dyDescent="0.25">
      <c r="A153" s="101" t="str">
        <f>'Data shares'!C149</f>
        <v>NUVAMA</v>
      </c>
      <c r="B153" s="144">
        <f>VLOOKUP($A153,'Data shares'!$C:$FA,7)</f>
        <v>1329.3</v>
      </c>
      <c r="C153" s="144">
        <f>VLOOKUP($A153,'Data shares'!$C:$FA,3)</f>
        <v>1338.3</v>
      </c>
      <c r="D153" s="144">
        <f>VLOOKUP($A153,'Data shares'!$C:$FA,23)</f>
        <v>9</v>
      </c>
      <c r="E153" s="145">
        <f>VLOOKUP($A153,'Data shares'!$C:$FA,26)*100</f>
        <v>0.67999999999999994</v>
      </c>
      <c r="F153" s="144">
        <f>VLOOKUP($A153,'Data shares'!$C:$FA,24)</f>
        <v>-3</v>
      </c>
      <c r="G153" s="144">
        <f>VLOOKUP($A153,'Data shares'!$C:$FA,25)</f>
        <v>12</v>
      </c>
    </row>
    <row r="154" spans="1:7" x14ac:dyDescent="0.25">
      <c r="A154" s="101" t="str">
        <f>'Data shares'!C150</f>
        <v>NYKAA</v>
      </c>
      <c r="B154" s="144">
        <f>VLOOKUP($A154,'Data shares'!$C:$FA,7)</f>
        <v>264.85000000000002</v>
      </c>
      <c r="C154" s="144">
        <f>VLOOKUP($A154,'Data shares'!$C:$FA,3)</f>
        <v>266.35000000000002</v>
      </c>
      <c r="D154" s="144">
        <f>VLOOKUP($A154,'Data shares'!$C:$FA,23)</f>
        <v>1.5</v>
      </c>
      <c r="E154" s="145">
        <f>VLOOKUP($A154,'Data shares'!$C:$FA,26)*100</f>
        <v>0.57000000000000006</v>
      </c>
      <c r="F154" s="144">
        <f>VLOOKUP($A154,'Data shares'!$C:$FA,24)</f>
        <v>1.58</v>
      </c>
      <c r="G154" s="144">
        <f>VLOOKUP($A154,'Data shares'!$C:$FA,25)</f>
        <v>-0.08</v>
      </c>
    </row>
    <row r="155" spans="1:7" x14ac:dyDescent="0.25">
      <c r="A155" s="101" t="str">
        <f>'Data shares'!C151</f>
        <v>OBEROIRLTY</v>
      </c>
      <c r="B155" s="144">
        <f>VLOOKUP($A155,'Data shares'!$C:$FA,7)</f>
        <v>1693.7</v>
      </c>
      <c r="C155" s="144">
        <f>VLOOKUP($A155,'Data shares'!$C:$FA,3)</f>
        <v>1701.9</v>
      </c>
      <c r="D155" s="144">
        <f>VLOOKUP($A155,'Data shares'!$C:$FA,23)</f>
        <v>8.1999999999999993</v>
      </c>
      <c r="E155" s="145">
        <f>VLOOKUP($A155,'Data shares'!$C:$FA,26)*100</f>
        <v>0.48</v>
      </c>
      <c r="F155" s="144">
        <f>VLOOKUP($A155,'Data shares'!$C:$FA,24)</f>
        <v>8.4</v>
      </c>
      <c r="G155" s="144">
        <f>VLOOKUP($A155,'Data shares'!$C:$FA,25)</f>
        <v>-0.2</v>
      </c>
    </row>
    <row r="156" spans="1:7" x14ac:dyDescent="0.25">
      <c r="A156" s="101" t="str">
        <f>'Data shares'!C152</f>
        <v>OFSS</v>
      </c>
      <c r="B156" s="144">
        <f>VLOOKUP($A156,'Data shares'!$C:$FA,7)</f>
        <v>9730</v>
      </c>
      <c r="C156" s="144">
        <f>VLOOKUP($A156,'Data shares'!$C:$FA,3)</f>
        <v>9628.5</v>
      </c>
      <c r="D156" s="144">
        <f>VLOOKUP($A156,'Data shares'!$C:$FA,23)</f>
        <v>-101.5</v>
      </c>
      <c r="E156" s="145">
        <f>VLOOKUP($A156,'Data shares'!$C:$FA,26)*100</f>
        <v>-1.04</v>
      </c>
      <c r="F156" s="144">
        <f>VLOOKUP($A156,'Data shares'!$C:$FA,24)</f>
        <v>-142</v>
      </c>
      <c r="G156" s="144">
        <f>VLOOKUP($A156,'Data shares'!$C:$FA,25)</f>
        <v>40.5</v>
      </c>
    </row>
    <row r="157" spans="1:7" x14ac:dyDescent="0.25">
      <c r="A157" s="101" t="str">
        <f>'Data shares'!C153</f>
        <v>OIL</v>
      </c>
      <c r="B157" s="144">
        <f>VLOOKUP($A157,'Data shares'!$C:$FA,7)</f>
        <v>475.1</v>
      </c>
      <c r="C157" s="144">
        <f>VLOOKUP($A157,'Data shares'!$C:$FA,3)</f>
        <v>477.9</v>
      </c>
      <c r="D157" s="144">
        <f>VLOOKUP($A157,'Data shares'!$C:$FA,23)</f>
        <v>2.8</v>
      </c>
      <c r="E157" s="145">
        <f>VLOOKUP($A157,'Data shares'!$C:$FA,26)*100</f>
        <v>0.59</v>
      </c>
      <c r="F157" s="144">
        <f>VLOOKUP($A157,'Data shares'!$C:$FA,24)</f>
        <v>0.6</v>
      </c>
      <c r="G157" s="144">
        <f>VLOOKUP($A157,'Data shares'!$C:$FA,25)</f>
        <v>2.2000000000000002</v>
      </c>
    </row>
    <row r="158" spans="1:7" x14ac:dyDescent="0.25">
      <c r="A158" s="101" t="str">
        <f>'Data shares'!C154</f>
        <v>ONGC</v>
      </c>
      <c r="B158" s="144">
        <f>VLOOKUP($A158,'Data shares'!$C:$FA,7)</f>
        <v>292.89999999999998</v>
      </c>
      <c r="C158" s="144">
        <f>VLOOKUP($A158,'Data shares'!$C:$FA,3)</f>
        <v>294.55</v>
      </c>
      <c r="D158" s="144">
        <f>VLOOKUP($A158,'Data shares'!$C:$FA,23)</f>
        <v>1.65</v>
      </c>
      <c r="E158" s="145">
        <f>VLOOKUP($A158,'Data shares'!$C:$FA,26)*100</f>
        <v>0.55999999999999994</v>
      </c>
      <c r="F158" s="144">
        <f>VLOOKUP($A158,'Data shares'!$C:$FA,24)</f>
        <v>1.5</v>
      </c>
      <c r="G158" s="144">
        <f>VLOOKUP($A158,'Data shares'!$C:$FA,25)</f>
        <v>0.15</v>
      </c>
    </row>
    <row r="159" spans="1:7" x14ac:dyDescent="0.25">
      <c r="A159" s="101" t="str">
        <f>'Data shares'!C155</f>
        <v>PAGEIND</v>
      </c>
      <c r="B159" s="144">
        <f>VLOOKUP($A159,'Data shares'!$C:$FA,7)</f>
        <v>36955</v>
      </c>
      <c r="C159" s="144">
        <f>VLOOKUP($A159,'Data shares'!$C:$FA,3)</f>
        <v>37105</v>
      </c>
      <c r="D159" s="144">
        <f>VLOOKUP($A159,'Data shares'!$C:$FA,23)</f>
        <v>150</v>
      </c>
      <c r="E159" s="145">
        <f>VLOOKUP($A159,'Data shares'!$C:$FA,26)*100</f>
        <v>0.41000000000000003</v>
      </c>
      <c r="F159" s="144">
        <f>VLOOKUP($A159,'Data shares'!$C:$FA,24)</f>
        <v>195</v>
      </c>
      <c r="G159" s="144">
        <f>VLOOKUP($A159,'Data shares'!$C:$FA,25)</f>
        <v>-45</v>
      </c>
    </row>
    <row r="160" spans="1:7" x14ac:dyDescent="0.25">
      <c r="A160" s="101" t="str">
        <f>'Data shares'!C156</f>
        <v>PATANJALI</v>
      </c>
      <c r="B160" s="144">
        <f>VLOOKUP($A160,'Data shares'!$C:$FA,7)</f>
        <v>456.25</v>
      </c>
      <c r="C160" s="144">
        <f>VLOOKUP($A160,'Data shares'!$C:$FA,3)</f>
        <v>458.15</v>
      </c>
      <c r="D160" s="144">
        <f>VLOOKUP($A160,'Data shares'!$C:$FA,23)</f>
        <v>1.9</v>
      </c>
      <c r="E160" s="145">
        <f>VLOOKUP($A160,'Data shares'!$C:$FA,26)*100</f>
        <v>0.42</v>
      </c>
      <c r="F160" s="144">
        <f>VLOOKUP($A160,'Data shares'!$C:$FA,24)</f>
        <v>0.85</v>
      </c>
      <c r="G160" s="144">
        <f>VLOOKUP($A160,'Data shares'!$C:$FA,25)</f>
        <v>1.05</v>
      </c>
    </row>
    <row r="161" spans="1:7" x14ac:dyDescent="0.25">
      <c r="A161" s="101" t="str">
        <f>'Data shares'!C157</f>
        <v>PAYTM</v>
      </c>
      <c r="B161" s="144">
        <f>VLOOKUP($A161,'Data shares'!$C:$FA,7)</f>
        <v>1115.8</v>
      </c>
      <c r="C161" s="144">
        <f>VLOOKUP($A161,'Data shares'!$C:$FA,3)</f>
        <v>1119.5999999999999</v>
      </c>
      <c r="D161" s="144">
        <f>VLOOKUP($A161,'Data shares'!$C:$FA,23)</f>
        <v>3.8</v>
      </c>
      <c r="E161" s="145">
        <f>VLOOKUP($A161,'Data shares'!$C:$FA,26)*100</f>
        <v>0.33999999999999997</v>
      </c>
      <c r="F161" s="144">
        <f>VLOOKUP($A161,'Data shares'!$C:$FA,24)</f>
        <v>5.7</v>
      </c>
      <c r="G161" s="144">
        <f>VLOOKUP($A161,'Data shares'!$C:$FA,25)</f>
        <v>-1.9</v>
      </c>
    </row>
    <row r="162" spans="1:7" x14ac:dyDescent="0.25">
      <c r="A162" s="101" t="str">
        <f>'Data shares'!C158</f>
        <v>PERSISTENT</v>
      </c>
      <c r="B162" s="144">
        <f>VLOOKUP($A162,'Data shares'!$C:$FA,7)</f>
        <v>4788.1000000000004</v>
      </c>
      <c r="C162" s="144">
        <f>VLOOKUP($A162,'Data shares'!$C:$FA,3)</f>
        <v>4808.2</v>
      </c>
      <c r="D162" s="144">
        <f>VLOOKUP($A162,'Data shares'!$C:$FA,23)</f>
        <v>20.100000000000001</v>
      </c>
      <c r="E162" s="145">
        <f>VLOOKUP($A162,'Data shares'!$C:$FA,26)*100</f>
        <v>0.42</v>
      </c>
      <c r="F162" s="144">
        <f>VLOOKUP($A162,'Data shares'!$C:$FA,24)</f>
        <v>22.2</v>
      </c>
      <c r="G162" s="144">
        <f>VLOOKUP($A162,'Data shares'!$C:$FA,25)</f>
        <v>-2.1</v>
      </c>
    </row>
    <row r="163" spans="1:7" x14ac:dyDescent="0.25">
      <c r="A163" s="101" t="str">
        <f>'Data shares'!C159</f>
        <v>PETRONET</v>
      </c>
      <c r="B163" s="144">
        <f>VLOOKUP($A163,'Data shares'!$C:$FA,7)</f>
        <v>276.7</v>
      </c>
      <c r="C163" s="144">
        <f>VLOOKUP($A163,'Data shares'!$C:$FA,3)</f>
        <v>278.25</v>
      </c>
      <c r="D163" s="144">
        <f>VLOOKUP($A163,'Data shares'!$C:$FA,23)</f>
        <v>1.55</v>
      </c>
      <c r="E163" s="145">
        <f>VLOOKUP($A163,'Data shares'!$C:$FA,26)*100</f>
        <v>0.55999999999999994</v>
      </c>
      <c r="F163" s="144">
        <f>VLOOKUP($A163,'Data shares'!$C:$FA,24)</f>
        <v>1.77</v>
      </c>
      <c r="G163" s="144">
        <f>VLOOKUP($A163,'Data shares'!$C:$FA,25)</f>
        <v>-0.22</v>
      </c>
    </row>
    <row r="164" spans="1:7" x14ac:dyDescent="0.25">
      <c r="A164" s="101" t="str">
        <f>'Data shares'!C160</f>
        <v>PFC</v>
      </c>
      <c r="B164" s="144">
        <f>VLOOKUP($A164,'Data shares'!$C:$FA,7)</f>
        <v>448.25</v>
      </c>
      <c r="C164" s="144">
        <f>VLOOKUP($A164,'Data shares'!$C:$FA,3)</f>
        <v>449.7</v>
      </c>
      <c r="D164" s="144">
        <f>VLOOKUP($A164,'Data shares'!$C:$FA,23)</f>
        <v>1.45</v>
      </c>
      <c r="E164" s="145">
        <f>VLOOKUP($A164,'Data shares'!$C:$FA,26)*100</f>
        <v>0.32</v>
      </c>
      <c r="F164" s="144">
        <f>VLOOKUP($A164,'Data shares'!$C:$FA,24)</f>
        <v>2.85</v>
      </c>
      <c r="G164" s="144">
        <f>VLOOKUP($A164,'Data shares'!$C:$FA,25)</f>
        <v>-1.4</v>
      </c>
    </row>
    <row r="165" spans="1:7" x14ac:dyDescent="0.25">
      <c r="A165" s="101" t="str">
        <f>'Data shares'!C161</f>
        <v>PGEL</v>
      </c>
      <c r="B165" s="144">
        <f>VLOOKUP($A165,'Data shares'!$C:$FA,7)</f>
        <v>534.5</v>
      </c>
      <c r="C165" s="144">
        <f>VLOOKUP($A165,'Data shares'!$C:$FA,3)</f>
        <v>537.4</v>
      </c>
      <c r="D165" s="144">
        <f>VLOOKUP($A165,'Data shares'!$C:$FA,23)</f>
        <v>2.9</v>
      </c>
      <c r="E165" s="145">
        <f>VLOOKUP($A165,'Data shares'!$C:$FA,26)*100</f>
        <v>0.54</v>
      </c>
      <c r="F165" s="144">
        <f>VLOOKUP($A165,'Data shares'!$C:$FA,24)</f>
        <v>2.75</v>
      </c>
      <c r="G165" s="144">
        <f>VLOOKUP($A165,'Data shares'!$C:$FA,25)</f>
        <v>0.15</v>
      </c>
    </row>
    <row r="166" spans="1:7" x14ac:dyDescent="0.25">
      <c r="A166" s="101" t="str">
        <f>'Data shares'!C162</f>
        <v>PHOENIXLTD</v>
      </c>
      <c r="B166" s="144">
        <f>VLOOKUP($A166,'Data shares'!$C:$FA,7)</f>
        <v>1787.4</v>
      </c>
      <c r="C166" s="144">
        <f>VLOOKUP($A166,'Data shares'!$C:$FA,3)</f>
        <v>1797.9</v>
      </c>
      <c r="D166" s="144">
        <f>VLOOKUP($A166,'Data shares'!$C:$FA,23)</f>
        <v>10.5</v>
      </c>
      <c r="E166" s="145">
        <f>VLOOKUP($A166,'Data shares'!$C:$FA,26)*100</f>
        <v>0.59</v>
      </c>
      <c r="F166" s="144">
        <f>VLOOKUP($A166,'Data shares'!$C:$FA,24)</f>
        <v>6</v>
      </c>
      <c r="G166" s="144">
        <f>VLOOKUP($A166,'Data shares'!$C:$FA,25)</f>
        <v>4.5</v>
      </c>
    </row>
    <row r="167" spans="1:7" x14ac:dyDescent="0.25">
      <c r="A167" s="101" t="str">
        <f>'Data shares'!C163</f>
        <v>PIDILITIND</v>
      </c>
      <c r="B167" s="144">
        <f>VLOOKUP($A167,'Data shares'!$C:$FA,7)</f>
        <v>1364.6</v>
      </c>
      <c r="C167" s="144">
        <f>VLOOKUP($A167,'Data shares'!$C:$FA,3)</f>
        <v>1372.3</v>
      </c>
      <c r="D167" s="144">
        <f>VLOOKUP($A167,'Data shares'!$C:$FA,23)</f>
        <v>7.7</v>
      </c>
      <c r="E167" s="145">
        <f>VLOOKUP($A167,'Data shares'!$C:$FA,26)*100</f>
        <v>0.55999999999999994</v>
      </c>
      <c r="F167" s="144">
        <f>VLOOKUP($A167,'Data shares'!$C:$FA,24)</f>
        <v>9.6</v>
      </c>
      <c r="G167" s="144">
        <f>VLOOKUP($A167,'Data shares'!$C:$FA,25)</f>
        <v>-1.9</v>
      </c>
    </row>
    <row r="168" spans="1:7" s="175" customFormat="1" x14ac:dyDescent="0.25">
      <c r="A168" s="101" t="str">
        <f>'Data shares'!C164</f>
        <v>PIIND</v>
      </c>
      <c r="B168" s="144">
        <f>VLOOKUP($A168,'Data shares'!$C:$FA,7)</f>
        <v>3047.5</v>
      </c>
      <c r="C168" s="144">
        <f>VLOOKUP($A168,'Data shares'!$C:$FA,3)</f>
        <v>3064.9</v>
      </c>
      <c r="D168" s="144">
        <f>VLOOKUP($A168,'Data shares'!$C:$FA,23)</f>
        <v>17.399999999999999</v>
      </c>
      <c r="E168" s="145">
        <f>VLOOKUP($A168,'Data shares'!$C:$FA,26)*100</f>
        <v>0.57000000000000006</v>
      </c>
      <c r="F168" s="144">
        <f>VLOOKUP($A168,'Data shares'!$C:$FA,24)</f>
        <v>19.3</v>
      </c>
      <c r="G168" s="144">
        <f>VLOOKUP($A168,'Data shares'!$C:$FA,25)</f>
        <v>-1.9</v>
      </c>
    </row>
    <row r="169" spans="1:7" x14ac:dyDescent="0.25">
      <c r="A169" s="101" t="str">
        <f>'Data shares'!C165</f>
        <v>PNB</v>
      </c>
      <c r="B169" s="144">
        <f>VLOOKUP($A169,'Data shares'!$C:$FA,7)</f>
        <v>108.68</v>
      </c>
      <c r="C169" s="144">
        <f>VLOOKUP($A169,'Data shares'!$C:$FA,3)</f>
        <v>109.2</v>
      </c>
      <c r="D169" s="144">
        <f>VLOOKUP($A169,'Data shares'!$C:$FA,23)</f>
        <v>0.52</v>
      </c>
      <c r="E169" s="145">
        <f>VLOOKUP($A169,'Data shares'!$C:$FA,26)*100</f>
        <v>0.48</v>
      </c>
      <c r="F169" s="144">
        <f>VLOOKUP($A169,'Data shares'!$C:$FA,24)</f>
        <v>0.37</v>
      </c>
      <c r="G169" s="144">
        <f>VLOOKUP($A169,'Data shares'!$C:$FA,25)</f>
        <v>0.15</v>
      </c>
    </row>
    <row r="170" spans="1:7" x14ac:dyDescent="0.25">
      <c r="A170" s="101" t="str">
        <f>'Data shares'!C166</f>
        <v>PNBHOUSING</v>
      </c>
      <c r="B170" s="144">
        <f>VLOOKUP($A170,'Data shares'!$C:$FA,7)</f>
        <v>1042.2</v>
      </c>
      <c r="C170" s="144">
        <f>VLOOKUP($A170,'Data shares'!$C:$FA,3)</f>
        <v>1047.8</v>
      </c>
      <c r="D170" s="144">
        <f>VLOOKUP($A170,'Data shares'!$C:$FA,23)</f>
        <v>5.6</v>
      </c>
      <c r="E170" s="145">
        <f>VLOOKUP($A170,'Data shares'!$C:$FA,26)*100</f>
        <v>0.54</v>
      </c>
      <c r="F170" s="144">
        <f>VLOOKUP($A170,'Data shares'!$C:$FA,24)</f>
        <v>5.4</v>
      </c>
      <c r="G170" s="144">
        <f>VLOOKUP($A170,'Data shares'!$C:$FA,25)</f>
        <v>0.2</v>
      </c>
    </row>
    <row r="171" spans="1:7" x14ac:dyDescent="0.25">
      <c r="A171" s="101" t="str">
        <f>'Data shares'!C167</f>
        <v>POLICYBZR</v>
      </c>
      <c r="B171" s="144">
        <f>VLOOKUP($A171,'Data shares'!$C:$FA,7)</f>
        <v>1670.8</v>
      </c>
      <c r="C171" s="144">
        <f>VLOOKUP($A171,'Data shares'!$C:$FA,3)</f>
        <v>1676.8</v>
      </c>
      <c r="D171" s="144">
        <f>VLOOKUP($A171,'Data shares'!$C:$FA,23)</f>
        <v>6</v>
      </c>
      <c r="E171" s="145">
        <f>VLOOKUP($A171,'Data shares'!$C:$FA,26)*100</f>
        <v>0.36</v>
      </c>
      <c r="F171" s="144">
        <f>VLOOKUP($A171,'Data shares'!$C:$FA,24)</f>
        <v>4.8</v>
      </c>
      <c r="G171" s="144">
        <f>VLOOKUP($A171,'Data shares'!$C:$FA,25)</f>
        <v>1.2</v>
      </c>
    </row>
    <row r="172" spans="1:7" x14ac:dyDescent="0.25">
      <c r="A172" s="101" t="str">
        <f>'Data shares'!C168</f>
        <v>POLYCAB</v>
      </c>
      <c r="B172" s="144">
        <f>VLOOKUP($A172,'Data shares'!$C:$FA,7)</f>
        <v>8344.5</v>
      </c>
      <c r="C172" s="144">
        <f>VLOOKUP($A172,'Data shares'!$C:$FA,3)</f>
        <v>8391.5</v>
      </c>
      <c r="D172" s="144">
        <f>VLOOKUP($A172,'Data shares'!$C:$FA,23)</f>
        <v>47</v>
      </c>
      <c r="E172" s="145">
        <f>VLOOKUP($A172,'Data shares'!$C:$FA,26)*100</f>
        <v>0.55999999999999994</v>
      </c>
      <c r="F172" s="144">
        <f>VLOOKUP($A172,'Data shares'!$C:$FA,24)</f>
        <v>49</v>
      </c>
      <c r="G172" s="144">
        <f>VLOOKUP($A172,'Data shares'!$C:$FA,25)</f>
        <v>-2</v>
      </c>
    </row>
    <row r="173" spans="1:7" x14ac:dyDescent="0.25">
      <c r="A173" s="101" t="str">
        <f>'Data shares'!C169</f>
        <v>POWERGRID</v>
      </c>
      <c r="B173" s="144">
        <f>VLOOKUP($A173,'Data shares'!$C:$FA,7)</f>
        <v>319.05</v>
      </c>
      <c r="C173" s="144">
        <f>VLOOKUP($A173,'Data shares'!$C:$FA,3)</f>
        <v>320.10000000000002</v>
      </c>
      <c r="D173" s="144">
        <f>VLOOKUP($A173,'Data shares'!$C:$FA,23)</f>
        <v>1.05</v>
      </c>
      <c r="E173" s="145">
        <f>VLOOKUP($A173,'Data shares'!$C:$FA,26)*100</f>
        <v>0.33</v>
      </c>
      <c r="F173" s="144">
        <f>VLOOKUP($A173,'Data shares'!$C:$FA,24)</f>
        <v>0.8</v>
      </c>
      <c r="G173" s="144">
        <f>VLOOKUP($A173,'Data shares'!$C:$FA,25)</f>
        <v>0.25</v>
      </c>
    </row>
    <row r="174" spans="1:7" x14ac:dyDescent="0.25">
      <c r="A174" s="101" t="str">
        <f>'Data shares'!C170</f>
        <v>POWERINDIA</v>
      </c>
      <c r="B174" s="144">
        <f>VLOOKUP($A174,'Data shares'!$C:$FA,7)</f>
        <v>33730</v>
      </c>
      <c r="C174" s="144">
        <f>VLOOKUP($A174,'Data shares'!$C:$FA,3)</f>
        <v>33890</v>
      </c>
      <c r="D174" s="144">
        <f>VLOOKUP($A174,'Data shares'!$C:$FA,23)</f>
        <v>160</v>
      </c>
      <c r="E174" s="145">
        <f>VLOOKUP($A174,'Data shares'!$C:$FA,26)*100</f>
        <v>0.47000000000000003</v>
      </c>
      <c r="F174" s="144">
        <f>VLOOKUP($A174,'Data shares'!$C:$FA,24)</f>
        <v>175</v>
      </c>
      <c r="G174" s="144">
        <f>VLOOKUP($A174,'Data shares'!$C:$FA,25)</f>
        <v>-15</v>
      </c>
    </row>
    <row r="175" spans="1:7" x14ac:dyDescent="0.25">
      <c r="A175" s="101" t="str">
        <f>'Data shares'!C171</f>
        <v>PREMIERENE</v>
      </c>
      <c r="B175" s="144">
        <f>VLOOKUP($A175,'Data shares'!$C:$FA,7)</f>
        <v>1035.0999999999999</v>
      </c>
      <c r="C175" s="144">
        <f>VLOOKUP($A175,'Data shares'!$C:$FA,3)</f>
        <v>1028.8</v>
      </c>
      <c r="D175" s="144">
        <f>VLOOKUP($A175,'Data shares'!$C:$FA,23)</f>
        <v>-6.3</v>
      </c>
      <c r="E175" s="145">
        <f>VLOOKUP($A175,'Data shares'!$C:$FA,26)*100</f>
        <v>-0.61</v>
      </c>
      <c r="F175" s="144">
        <f>VLOOKUP($A175,'Data shares'!$C:$FA,24)</f>
        <v>-12.8</v>
      </c>
      <c r="G175" s="144">
        <f>VLOOKUP($A175,'Data shares'!$C:$FA,25)</f>
        <v>6.5</v>
      </c>
    </row>
    <row r="176" spans="1:7" x14ac:dyDescent="0.25">
      <c r="A176" s="101" t="str">
        <f>'Data shares'!C172</f>
        <v>PRESTIGE</v>
      </c>
      <c r="B176" s="144">
        <f>VLOOKUP($A176,'Data shares'!$C:$FA,7)</f>
        <v>1454.4</v>
      </c>
      <c r="C176" s="144">
        <f>VLOOKUP($A176,'Data shares'!$C:$FA,3)</f>
        <v>1458.6</v>
      </c>
      <c r="D176" s="144">
        <f>VLOOKUP($A176,'Data shares'!$C:$FA,23)</f>
        <v>4.2</v>
      </c>
      <c r="E176" s="145">
        <f>VLOOKUP($A176,'Data shares'!$C:$FA,26)*100</f>
        <v>0.28999999999999998</v>
      </c>
      <c r="F176" s="144">
        <f>VLOOKUP($A176,'Data shares'!$C:$FA,24)</f>
        <v>8.8000000000000007</v>
      </c>
      <c r="G176" s="144">
        <f>VLOOKUP($A176,'Data shares'!$C:$FA,25)</f>
        <v>-4.5999999999999996</v>
      </c>
    </row>
    <row r="177" spans="1:7" x14ac:dyDescent="0.25">
      <c r="A177" s="101" t="str">
        <f>'Data shares'!C173</f>
        <v>RBLBANK</v>
      </c>
      <c r="B177" s="144">
        <f>VLOOKUP($A177,'Data shares'!$C:$FA,7)</f>
        <v>330.2</v>
      </c>
      <c r="C177" s="144">
        <f>VLOOKUP($A177,'Data shares'!$C:$FA,3)</f>
        <v>332.3</v>
      </c>
      <c r="D177" s="144">
        <f>VLOOKUP($A177,'Data shares'!$C:$FA,23)</f>
        <v>2.1</v>
      </c>
      <c r="E177" s="145">
        <f>VLOOKUP($A177,'Data shares'!$C:$FA,26)*100</f>
        <v>0.64</v>
      </c>
      <c r="F177" s="144">
        <f>VLOOKUP($A177,'Data shares'!$C:$FA,24)</f>
        <v>2.1</v>
      </c>
      <c r="G177" s="144">
        <f>VLOOKUP($A177,'Data shares'!$C:$FA,25)</f>
        <v>0</v>
      </c>
    </row>
    <row r="178" spans="1:7" x14ac:dyDescent="0.25">
      <c r="A178" s="101" t="str">
        <f>'Data shares'!C174</f>
        <v>RECLTD</v>
      </c>
      <c r="B178" s="144">
        <f>VLOOKUP($A178,'Data shares'!$C:$FA,7)</f>
        <v>353.5</v>
      </c>
      <c r="C178" s="144">
        <f>VLOOKUP($A178,'Data shares'!$C:$FA,3)</f>
        <v>355.6</v>
      </c>
      <c r="D178" s="144">
        <f>VLOOKUP($A178,'Data shares'!$C:$FA,23)</f>
        <v>2.1</v>
      </c>
      <c r="E178" s="145">
        <f>VLOOKUP($A178,'Data shares'!$C:$FA,26)*100</f>
        <v>0.59</v>
      </c>
      <c r="F178" s="144">
        <f>VLOOKUP($A178,'Data shares'!$C:$FA,24)</f>
        <v>1.05</v>
      </c>
      <c r="G178" s="144">
        <f>VLOOKUP($A178,'Data shares'!$C:$FA,25)</f>
        <v>1.05</v>
      </c>
    </row>
    <row r="179" spans="1:7" x14ac:dyDescent="0.25">
      <c r="A179" s="101" t="str">
        <f>'Data shares'!C175</f>
        <v>RELIANCE</v>
      </c>
      <c r="B179" s="144">
        <f>VLOOKUP($A179,'Data shares'!$C:$FA,7)</f>
        <v>1463.1</v>
      </c>
      <c r="C179" s="144">
        <f>VLOOKUP($A179,'Data shares'!$C:$FA,3)</f>
        <v>1467</v>
      </c>
      <c r="D179" s="144">
        <f>VLOOKUP($A179,'Data shares'!$C:$FA,23)</f>
        <v>3.9</v>
      </c>
      <c r="E179" s="145">
        <f>VLOOKUP($A179,'Data shares'!$C:$FA,26)*100</f>
        <v>0.27</v>
      </c>
      <c r="F179" s="144">
        <f>VLOOKUP($A179,'Data shares'!$C:$FA,24)</f>
        <v>4.4000000000000004</v>
      </c>
      <c r="G179" s="144">
        <f>VLOOKUP($A179,'Data shares'!$C:$FA,25)</f>
        <v>-0.5</v>
      </c>
    </row>
    <row r="180" spans="1:7" x14ac:dyDescent="0.25">
      <c r="A180" s="101" t="str">
        <f>'Data shares'!C176</f>
        <v>RVNL</v>
      </c>
      <c r="B180" s="144">
        <f>VLOOKUP($A180,'Data shares'!$C:$FA,7)</f>
        <v>296.64999999999998</v>
      </c>
      <c r="C180" s="144">
        <f>VLOOKUP($A180,'Data shares'!$C:$FA,3)</f>
        <v>293.3</v>
      </c>
      <c r="D180" s="144">
        <f>VLOOKUP($A180,'Data shares'!$C:$FA,23)</f>
        <v>-3.35</v>
      </c>
      <c r="E180" s="145">
        <f>VLOOKUP($A180,'Data shares'!$C:$FA,26)*100</f>
        <v>-1.1299999999999999</v>
      </c>
      <c r="F180" s="144">
        <f>VLOOKUP($A180,'Data shares'!$C:$FA,24)</f>
        <v>-0.49</v>
      </c>
      <c r="G180" s="144">
        <f>VLOOKUP($A180,'Data shares'!$C:$FA,25)</f>
        <v>-2.86</v>
      </c>
    </row>
    <row r="181" spans="1:7" x14ac:dyDescent="0.25">
      <c r="A181" s="101" t="str">
        <f>'Data shares'!C177</f>
        <v>SAIL</v>
      </c>
      <c r="B181" s="144">
        <f>VLOOKUP($A181,'Data shares'!$C:$FA,7)</f>
        <v>186.15</v>
      </c>
      <c r="C181" s="144">
        <f>VLOOKUP($A181,'Data shares'!$C:$FA,3)</f>
        <v>187.43</v>
      </c>
      <c r="D181" s="144">
        <f>VLOOKUP($A181,'Data shares'!$C:$FA,23)</f>
        <v>1.28</v>
      </c>
      <c r="E181" s="145">
        <f>VLOOKUP($A181,'Data shares'!$C:$FA,26)*100</f>
        <v>0.69</v>
      </c>
      <c r="F181" s="144">
        <f>VLOOKUP($A181,'Data shares'!$C:$FA,24)</f>
        <v>1.21</v>
      </c>
      <c r="G181" s="144">
        <f>VLOOKUP($A181,'Data shares'!$C:$FA,25)</f>
        <v>7.0000000000000007E-2</v>
      </c>
    </row>
    <row r="182" spans="1:7" x14ac:dyDescent="0.25">
      <c r="A182" s="101" t="str">
        <f>'Data shares'!C178</f>
        <v>SAMMAANCAP</v>
      </c>
      <c r="B182" s="144">
        <f>VLOOKUP($A182,'Data shares'!$C:$FA,7)</f>
        <v>146.88999999999999</v>
      </c>
      <c r="C182" s="144">
        <f>VLOOKUP($A182,'Data shares'!$C:$FA,3)</f>
        <v>148.02000000000001</v>
      </c>
      <c r="D182" s="144">
        <f>VLOOKUP($A182,'Data shares'!$C:$FA,23)</f>
        <v>1.1299999999999999</v>
      </c>
      <c r="E182" s="145">
        <f>VLOOKUP($A182,'Data shares'!$C:$FA,26)*100</f>
        <v>0.77</v>
      </c>
      <c r="F182" s="144">
        <f>VLOOKUP($A182,'Data shares'!$C:$FA,24)</f>
        <v>0.94</v>
      </c>
      <c r="G182" s="144">
        <f>VLOOKUP($A182,'Data shares'!$C:$FA,25)</f>
        <v>0.19</v>
      </c>
    </row>
    <row r="183" spans="1:7" x14ac:dyDescent="0.25">
      <c r="A183" s="101" t="str">
        <f>'Data shares'!C179</f>
        <v>SBICARD</v>
      </c>
      <c r="B183" s="144">
        <f>VLOOKUP($A183,'Data shares'!$C:$FA,7)</f>
        <v>644.79999999999995</v>
      </c>
      <c r="C183" s="144">
        <f>VLOOKUP($A183,'Data shares'!$C:$FA,3)</f>
        <v>647.29999999999995</v>
      </c>
      <c r="D183" s="144">
        <f>VLOOKUP($A183,'Data shares'!$C:$FA,23)</f>
        <v>2.5</v>
      </c>
      <c r="E183" s="145">
        <f>VLOOKUP($A183,'Data shares'!$C:$FA,26)*100</f>
        <v>0.38999999999999996</v>
      </c>
      <c r="F183" s="144">
        <f>VLOOKUP($A183,'Data shares'!$C:$FA,24)</f>
        <v>0.95</v>
      </c>
      <c r="G183" s="144">
        <f>VLOOKUP($A183,'Data shares'!$C:$FA,25)</f>
        <v>1.55</v>
      </c>
    </row>
    <row r="184" spans="1:7" x14ac:dyDescent="0.25">
      <c r="A184" s="101" t="str">
        <f>'Data shares'!C180</f>
        <v>SBILIFE</v>
      </c>
      <c r="B184" s="144">
        <f>VLOOKUP($A184,'Data shares'!$C:$FA,7)</f>
        <v>1820.1</v>
      </c>
      <c r="C184" s="144">
        <f>VLOOKUP($A184,'Data shares'!$C:$FA,3)</f>
        <v>1827.4</v>
      </c>
      <c r="D184" s="144">
        <f>VLOOKUP($A184,'Data shares'!$C:$FA,23)</f>
        <v>7.3</v>
      </c>
      <c r="E184" s="145">
        <f>VLOOKUP($A184,'Data shares'!$C:$FA,26)*100</f>
        <v>0.4</v>
      </c>
      <c r="F184" s="144">
        <f>VLOOKUP($A184,'Data shares'!$C:$FA,24)</f>
        <v>5</v>
      </c>
      <c r="G184" s="144">
        <f>VLOOKUP($A184,'Data shares'!$C:$FA,25)</f>
        <v>2.2999999999999998</v>
      </c>
    </row>
    <row r="185" spans="1:7" x14ac:dyDescent="0.25">
      <c r="A185" s="101" t="str">
        <f>'Data shares'!C181</f>
        <v>SBIN</v>
      </c>
      <c r="B185" s="144">
        <f>VLOOKUP($A185,'Data shares'!$C:$FA,7)</f>
        <v>1068.4000000000001</v>
      </c>
      <c r="C185" s="144">
        <f>VLOOKUP($A185,'Data shares'!$C:$FA,3)</f>
        <v>1060</v>
      </c>
      <c r="D185" s="144">
        <f>VLOOKUP($A185,'Data shares'!$C:$FA,23)</f>
        <v>-8.4</v>
      </c>
      <c r="E185" s="145">
        <f>VLOOKUP($A185,'Data shares'!$C:$FA,26)*100</f>
        <v>-0.79</v>
      </c>
      <c r="F185" s="144">
        <f>VLOOKUP($A185,'Data shares'!$C:$FA,24)</f>
        <v>-4.3499999999999996</v>
      </c>
      <c r="G185" s="144">
        <f>VLOOKUP($A185,'Data shares'!$C:$FA,25)</f>
        <v>-4.05</v>
      </c>
    </row>
    <row r="186" spans="1:7" x14ac:dyDescent="0.25">
      <c r="A186" s="101" t="str">
        <f>'Data shares'!C182</f>
        <v>SHREECEM</v>
      </c>
      <c r="B186" s="144">
        <f>VLOOKUP($A186,'Data shares'!$C:$FA,7)</f>
        <v>24740</v>
      </c>
      <c r="C186" s="144">
        <f>VLOOKUP($A186,'Data shares'!$C:$FA,3)</f>
        <v>24655</v>
      </c>
      <c r="D186" s="144">
        <f>VLOOKUP($A186,'Data shares'!$C:$FA,23)</f>
        <v>-85</v>
      </c>
      <c r="E186" s="145">
        <f>VLOOKUP($A186,'Data shares'!$C:$FA,26)*100</f>
        <v>-0.33999999999999997</v>
      </c>
      <c r="F186" s="144">
        <f>VLOOKUP($A186,'Data shares'!$C:$FA,24)</f>
        <v>-165</v>
      </c>
      <c r="G186" s="144">
        <f>VLOOKUP($A186,'Data shares'!$C:$FA,25)</f>
        <v>80</v>
      </c>
    </row>
    <row r="187" spans="1:7" x14ac:dyDescent="0.25">
      <c r="A187" s="101" t="str">
        <f>'Data shares'!C183</f>
        <v>SHRIRAMFIN</v>
      </c>
      <c r="B187" s="144">
        <f>VLOOKUP($A187,'Data shares'!$C:$FA,7)</f>
        <v>960.45</v>
      </c>
      <c r="C187" s="144">
        <f>VLOOKUP($A187,'Data shares'!$C:$FA,3)</f>
        <v>962.95</v>
      </c>
      <c r="D187" s="144">
        <f>VLOOKUP($A187,'Data shares'!$C:$FA,23)</f>
        <v>2.5</v>
      </c>
      <c r="E187" s="145">
        <f>VLOOKUP($A187,'Data shares'!$C:$FA,26)*100</f>
        <v>0.26</v>
      </c>
      <c r="F187" s="144">
        <f>VLOOKUP($A187,'Data shares'!$C:$FA,24)</f>
        <v>2.6</v>
      </c>
      <c r="G187" s="144">
        <f>VLOOKUP($A187,'Data shares'!$C:$FA,25)</f>
        <v>-0.1</v>
      </c>
    </row>
    <row r="188" spans="1:7" x14ac:dyDescent="0.25">
      <c r="A188" s="101" t="str">
        <f>'Data shares'!C184</f>
        <v>SIEMENS</v>
      </c>
      <c r="B188" s="144">
        <f>VLOOKUP($A188,'Data shares'!$C:$FA,7)</f>
        <v>3834.1</v>
      </c>
      <c r="C188" s="144">
        <f>VLOOKUP($A188,'Data shares'!$C:$FA,3)</f>
        <v>3835.4</v>
      </c>
      <c r="D188" s="144">
        <f>VLOOKUP($A188,'Data shares'!$C:$FA,23)</f>
        <v>1.3</v>
      </c>
      <c r="E188" s="145">
        <f>VLOOKUP($A188,'Data shares'!$C:$FA,26)*100</f>
        <v>0.03</v>
      </c>
      <c r="F188" s="144">
        <f>VLOOKUP($A188,'Data shares'!$C:$FA,24)</f>
        <v>13.7</v>
      </c>
      <c r="G188" s="144">
        <f>VLOOKUP($A188,'Data shares'!$C:$FA,25)</f>
        <v>-12.4</v>
      </c>
    </row>
    <row r="189" spans="1:7" x14ac:dyDescent="0.25">
      <c r="A189" s="101" t="str">
        <f>'Data shares'!C185</f>
        <v>SOLARINDS</v>
      </c>
      <c r="B189" s="144">
        <f>VLOOKUP($A189,'Data shares'!$C:$FA,7)</f>
        <v>15459</v>
      </c>
      <c r="C189" s="144">
        <f>VLOOKUP($A189,'Data shares'!$C:$FA,3)</f>
        <v>15520</v>
      </c>
      <c r="D189" s="144">
        <f>VLOOKUP($A189,'Data shares'!$C:$FA,23)</f>
        <v>61</v>
      </c>
      <c r="E189" s="145">
        <f>VLOOKUP($A189,'Data shares'!$C:$FA,26)*100</f>
        <v>0.38999999999999996</v>
      </c>
      <c r="F189" s="144">
        <f>VLOOKUP($A189,'Data shares'!$C:$FA,24)</f>
        <v>96</v>
      </c>
      <c r="G189" s="144">
        <f>VLOOKUP($A189,'Data shares'!$C:$FA,25)</f>
        <v>-35</v>
      </c>
    </row>
    <row r="190" spans="1:7" x14ac:dyDescent="0.25">
      <c r="A190" s="101" t="str">
        <f>'Data shares'!C186</f>
        <v>SONACOMS</v>
      </c>
      <c r="B190" s="144">
        <f>VLOOKUP($A190,'Data shares'!$C:$FA,7)</f>
        <v>575.45000000000005</v>
      </c>
      <c r="C190" s="144">
        <f>VLOOKUP($A190,'Data shares'!$C:$FA,3)</f>
        <v>577</v>
      </c>
      <c r="D190" s="144">
        <f>VLOOKUP($A190,'Data shares'!$C:$FA,23)</f>
        <v>1.55</v>
      </c>
      <c r="E190" s="145">
        <f>VLOOKUP($A190,'Data shares'!$C:$FA,26)*100</f>
        <v>0.27</v>
      </c>
      <c r="F190" s="144">
        <f>VLOOKUP($A190,'Data shares'!$C:$FA,24)</f>
        <v>2</v>
      </c>
      <c r="G190" s="144">
        <f>VLOOKUP($A190,'Data shares'!$C:$FA,25)</f>
        <v>-0.45</v>
      </c>
    </row>
    <row r="191" spans="1:7" x14ac:dyDescent="0.25">
      <c r="A191" s="101" t="str">
        <f>'Data shares'!C187</f>
        <v>SRF</v>
      </c>
      <c r="B191" s="144">
        <f>VLOOKUP($A191,'Data shares'!$C:$FA,7)</f>
        <v>2551.4</v>
      </c>
      <c r="C191" s="144">
        <f>VLOOKUP($A191,'Data shares'!$C:$FA,3)</f>
        <v>2564.6999999999998</v>
      </c>
      <c r="D191" s="144">
        <f>VLOOKUP($A191,'Data shares'!$C:$FA,23)</f>
        <v>13.3</v>
      </c>
      <c r="E191" s="145">
        <f>VLOOKUP($A191,'Data shares'!$C:$FA,26)*100</f>
        <v>0.52</v>
      </c>
      <c r="F191" s="144">
        <f>VLOOKUP($A191,'Data shares'!$C:$FA,24)</f>
        <v>15.2</v>
      </c>
      <c r="G191" s="144">
        <f>VLOOKUP($A191,'Data shares'!$C:$FA,25)</f>
        <v>-1.9</v>
      </c>
    </row>
    <row r="192" spans="1:7" x14ac:dyDescent="0.25">
      <c r="A192" s="101" t="str">
        <f>'Data shares'!C188</f>
        <v>SUNPHARMA</v>
      </c>
      <c r="B192" s="144">
        <f>VLOOKUP($A192,'Data shares'!$C:$FA,7)</f>
        <v>1823.5</v>
      </c>
      <c r="C192" s="144">
        <f>VLOOKUP($A192,'Data shares'!$C:$FA,3)</f>
        <v>1828.1</v>
      </c>
      <c r="D192" s="144">
        <f>VLOOKUP($A192,'Data shares'!$C:$FA,23)</f>
        <v>4.5999999999999996</v>
      </c>
      <c r="E192" s="145">
        <f>VLOOKUP($A192,'Data shares'!$C:$FA,26)*100</f>
        <v>0.25</v>
      </c>
      <c r="F192" s="144">
        <f>VLOOKUP($A192,'Data shares'!$C:$FA,24)</f>
        <v>6.7</v>
      </c>
      <c r="G192" s="144">
        <f>VLOOKUP($A192,'Data shares'!$C:$FA,25)</f>
        <v>-2.1</v>
      </c>
    </row>
    <row r="193" spans="1:7" x14ac:dyDescent="0.25">
      <c r="A193" s="101" t="str">
        <f>'Data shares'!C189</f>
        <v>SUPREMEIND</v>
      </c>
      <c r="B193" s="144">
        <f>VLOOKUP($A193,'Data shares'!$C:$FA,7)</f>
        <v>3620.1</v>
      </c>
      <c r="C193" s="144">
        <f>VLOOKUP($A193,'Data shares'!$C:$FA,3)</f>
        <v>3638</v>
      </c>
      <c r="D193" s="144">
        <f>VLOOKUP($A193,'Data shares'!$C:$FA,23)</f>
        <v>17.899999999999999</v>
      </c>
      <c r="E193" s="145">
        <f>VLOOKUP($A193,'Data shares'!$C:$FA,26)*100</f>
        <v>0.49</v>
      </c>
      <c r="F193" s="144">
        <f>VLOOKUP($A193,'Data shares'!$C:$FA,24)</f>
        <v>9.5</v>
      </c>
      <c r="G193" s="144">
        <f>VLOOKUP($A193,'Data shares'!$C:$FA,25)</f>
        <v>8.4</v>
      </c>
    </row>
    <row r="194" spans="1:7" x14ac:dyDescent="0.25">
      <c r="A194" s="101" t="str">
        <f>'Data shares'!C190</f>
        <v>SUZLON</v>
      </c>
      <c r="B194" s="144">
        <f>VLOOKUP($A194,'Data shares'!$C:$FA,7)</f>
        <v>54.96</v>
      </c>
      <c r="C194" s="144">
        <f>VLOOKUP($A194,'Data shares'!$C:$FA,3)</f>
        <v>55.06</v>
      </c>
      <c r="D194" s="144">
        <f>VLOOKUP($A194,'Data shares'!$C:$FA,23)</f>
        <v>0.1</v>
      </c>
      <c r="E194" s="145">
        <f>VLOOKUP($A194,'Data shares'!$C:$FA,26)*100</f>
        <v>0.18</v>
      </c>
      <c r="F194" s="144">
        <f>VLOOKUP($A194,'Data shares'!$C:$FA,24)</f>
        <v>0.21</v>
      </c>
      <c r="G194" s="144">
        <f>VLOOKUP($A194,'Data shares'!$C:$FA,25)</f>
        <v>-0.11</v>
      </c>
    </row>
    <row r="195" spans="1:7" x14ac:dyDescent="0.25">
      <c r="A195" s="101" t="str">
        <f>'Data shares'!C191</f>
        <v>SWIGGY</v>
      </c>
      <c r="B195" s="144">
        <f>VLOOKUP($A195,'Data shares'!$C:$FA,7)</f>
        <v>278.8</v>
      </c>
      <c r="C195" s="144">
        <f>VLOOKUP($A195,'Data shares'!$C:$FA,3)</f>
        <v>277.8</v>
      </c>
      <c r="D195" s="144">
        <f>VLOOKUP($A195,'Data shares'!$C:$FA,23)</f>
        <v>-1</v>
      </c>
      <c r="E195" s="145">
        <f>VLOOKUP($A195,'Data shares'!$C:$FA,26)*100</f>
        <v>-0.36</v>
      </c>
      <c r="F195" s="144">
        <f>VLOOKUP($A195,'Data shares'!$C:$FA,24)</f>
        <v>0.7</v>
      </c>
      <c r="G195" s="144">
        <f>VLOOKUP($A195,'Data shares'!$C:$FA,25)</f>
        <v>-1.7</v>
      </c>
    </row>
    <row r="196" spans="1:7" x14ac:dyDescent="0.25">
      <c r="A196" s="101" t="str">
        <f>'Data shares'!C192</f>
        <v>TATACONSUM</v>
      </c>
      <c r="B196" s="144">
        <f>VLOOKUP($A196,'Data shares'!$C:$FA,7)</f>
        <v>1160.4000000000001</v>
      </c>
      <c r="C196" s="144">
        <f>VLOOKUP($A196,'Data shares'!$C:$FA,3)</f>
        <v>1163.4000000000001</v>
      </c>
      <c r="D196" s="144">
        <f>VLOOKUP($A196,'Data shares'!$C:$FA,23)</f>
        <v>3</v>
      </c>
      <c r="E196" s="145">
        <f>VLOOKUP($A196,'Data shares'!$C:$FA,26)*100</f>
        <v>0.26</v>
      </c>
      <c r="F196" s="144">
        <f>VLOOKUP($A196,'Data shares'!$C:$FA,24)</f>
        <v>5.5</v>
      </c>
      <c r="G196" s="144">
        <f>VLOOKUP($A196,'Data shares'!$C:$FA,25)</f>
        <v>-2.5</v>
      </c>
    </row>
    <row r="197" spans="1:7" x14ac:dyDescent="0.25">
      <c r="A197" s="101" t="str">
        <f>'Data shares'!C193</f>
        <v>TATAELXSI</v>
      </c>
      <c r="B197" s="144">
        <f>VLOOKUP($A197,'Data shares'!$C:$FA,7)</f>
        <v>4178.7</v>
      </c>
      <c r="C197" s="144">
        <f>VLOOKUP($A197,'Data shares'!$C:$FA,3)</f>
        <v>4171.1000000000004</v>
      </c>
      <c r="D197" s="144">
        <f>VLOOKUP($A197,'Data shares'!$C:$FA,23)</f>
        <v>-7.6</v>
      </c>
      <c r="E197" s="145">
        <f>VLOOKUP($A197,'Data shares'!$C:$FA,26)*100</f>
        <v>-0.18</v>
      </c>
      <c r="F197" s="144">
        <f>VLOOKUP($A197,'Data shares'!$C:$FA,24)</f>
        <v>19.5</v>
      </c>
      <c r="G197" s="144">
        <f>VLOOKUP($A197,'Data shares'!$C:$FA,25)</f>
        <v>-27.1</v>
      </c>
    </row>
    <row r="198" spans="1:7" x14ac:dyDescent="0.25">
      <c r="A198" s="101" t="str">
        <f>'Data shares'!C194</f>
        <v>TATAPOWER</v>
      </c>
      <c r="B198" s="144">
        <f>VLOOKUP($A198,'Data shares'!$C:$FA,7)</f>
        <v>441.4</v>
      </c>
      <c r="C198" s="144">
        <f>VLOOKUP($A198,'Data shares'!$C:$FA,3)</f>
        <v>443.9</v>
      </c>
      <c r="D198" s="144">
        <f>VLOOKUP($A198,'Data shares'!$C:$FA,23)</f>
        <v>2.5</v>
      </c>
      <c r="E198" s="145">
        <f>VLOOKUP($A198,'Data shares'!$C:$FA,26)*100</f>
        <v>0.57000000000000006</v>
      </c>
      <c r="F198" s="144">
        <f>VLOOKUP($A198,'Data shares'!$C:$FA,24)</f>
        <v>2.5</v>
      </c>
      <c r="G198" s="144">
        <f>VLOOKUP($A198,'Data shares'!$C:$FA,25)</f>
        <v>0</v>
      </c>
    </row>
    <row r="199" spans="1:7" x14ac:dyDescent="0.25">
      <c r="A199" s="101" t="str">
        <f>'Data shares'!C195</f>
        <v>TATASTEEL</v>
      </c>
      <c r="B199" s="144">
        <f>VLOOKUP($A199,'Data shares'!$C:$FA,7)</f>
        <v>212.24</v>
      </c>
      <c r="C199" s="144">
        <f>VLOOKUP($A199,'Data shares'!$C:$FA,3)</f>
        <v>212.87</v>
      </c>
      <c r="D199" s="144">
        <f>VLOOKUP($A199,'Data shares'!$C:$FA,23)</f>
        <v>0.63</v>
      </c>
      <c r="E199" s="145">
        <f>VLOOKUP($A199,'Data shares'!$C:$FA,26)*100</f>
        <v>0.3</v>
      </c>
      <c r="F199" s="144">
        <f>VLOOKUP($A199,'Data shares'!$C:$FA,24)</f>
        <v>0.7</v>
      </c>
      <c r="G199" s="144">
        <f>VLOOKUP($A199,'Data shares'!$C:$FA,25)</f>
        <v>-7.0000000000000007E-2</v>
      </c>
    </row>
    <row r="200" spans="1:7" x14ac:dyDescent="0.25">
      <c r="A200" s="101" t="str">
        <f>'Data shares'!C196</f>
        <v>TCS</v>
      </c>
      <c r="B200" s="144">
        <f>VLOOKUP($A200,'Data shares'!$C:$FA,7)</f>
        <v>2431.3000000000002</v>
      </c>
      <c r="C200" s="144">
        <f>VLOOKUP($A200,'Data shares'!$C:$FA,3)</f>
        <v>2421.8000000000002</v>
      </c>
      <c r="D200" s="144">
        <f>VLOOKUP($A200,'Data shares'!$C:$FA,23)</f>
        <v>-9.5</v>
      </c>
      <c r="E200" s="145">
        <f>VLOOKUP($A200,'Data shares'!$C:$FA,26)*100</f>
        <v>-0.38999999999999996</v>
      </c>
      <c r="F200" s="144">
        <f>VLOOKUP($A200,'Data shares'!$C:$FA,24)</f>
        <v>-33.299999999999997</v>
      </c>
      <c r="G200" s="144">
        <f>VLOOKUP($A200,'Data shares'!$C:$FA,25)</f>
        <v>23.8</v>
      </c>
    </row>
    <row r="201" spans="1:7" x14ac:dyDescent="0.25">
      <c r="A201" s="101" t="str">
        <f>'Data shares'!C197</f>
        <v>TECHM</v>
      </c>
      <c r="B201" s="144">
        <f>VLOOKUP($A201,'Data shares'!$C:$FA,7)</f>
        <v>1471.6</v>
      </c>
      <c r="C201" s="144">
        <f>VLOOKUP($A201,'Data shares'!$C:$FA,3)</f>
        <v>1467.3</v>
      </c>
      <c r="D201" s="144">
        <f>VLOOKUP($A201,'Data shares'!$C:$FA,23)</f>
        <v>-4.3</v>
      </c>
      <c r="E201" s="145">
        <f>VLOOKUP($A201,'Data shares'!$C:$FA,26)*100</f>
        <v>-0.28999999999999998</v>
      </c>
      <c r="F201" s="144">
        <f>VLOOKUP($A201,'Data shares'!$C:$FA,24)</f>
        <v>1.3</v>
      </c>
      <c r="G201" s="144">
        <f>VLOOKUP($A201,'Data shares'!$C:$FA,25)</f>
        <v>-5.6</v>
      </c>
    </row>
    <row r="202" spans="1:7" x14ac:dyDescent="0.25">
      <c r="A202" s="101" t="str">
        <f>'Data shares'!C198</f>
        <v>TIINDIA</v>
      </c>
      <c r="B202" s="144">
        <f>VLOOKUP($A202,'Data shares'!$C:$FA,7)</f>
        <v>2906</v>
      </c>
      <c r="C202" s="144">
        <f>VLOOKUP($A202,'Data shares'!$C:$FA,3)</f>
        <v>2910.9</v>
      </c>
      <c r="D202" s="144">
        <f>VLOOKUP($A202,'Data shares'!$C:$FA,23)</f>
        <v>4.9000000000000004</v>
      </c>
      <c r="E202" s="145">
        <f>VLOOKUP($A202,'Data shares'!$C:$FA,26)*100</f>
        <v>0.16999999999999998</v>
      </c>
      <c r="F202" s="144">
        <f>VLOOKUP($A202,'Data shares'!$C:$FA,24)</f>
        <v>17.5</v>
      </c>
      <c r="G202" s="144">
        <f>VLOOKUP($A202,'Data shares'!$C:$FA,25)</f>
        <v>-12.6</v>
      </c>
    </row>
    <row r="203" spans="1:7" x14ac:dyDescent="0.25">
      <c r="A203" s="101" t="str">
        <f>'Data shares'!C199</f>
        <v>TITAN</v>
      </c>
      <c r="B203" s="144">
        <f>VLOOKUP($A203,'Data shares'!$C:$FA,7)</f>
        <v>4363</v>
      </c>
      <c r="C203" s="144">
        <f>VLOOKUP($A203,'Data shares'!$C:$FA,3)</f>
        <v>4382.3</v>
      </c>
      <c r="D203" s="144">
        <f>VLOOKUP($A203,'Data shares'!$C:$FA,23)</f>
        <v>19.3</v>
      </c>
      <c r="E203" s="145">
        <f>VLOOKUP($A203,'Data shares'!$C:$FA,26)*100</f>
        <v>0.44</v>
      </c>
      <c r="F203" s="144">
        <f>VLOOKUP($A203,'Data shares'!$C:$FA,24)</f>
        <v>17</v>
      </c>
      <c r="G203" s="144">
        <f>VLOOKUP($A203,'Data shares'!$C:$FA,25)</f>
        <v>2.2999999999999998</v>
      </c>
    </row>
    <row r="204" spans="1:7" x14ac:dyDescent="0.25">
      <c r="A204" s="101" t="str">
        <f>'Data shares'!C200</f>
        <v>TMPV</v>
      </c>
      <c r="B204" s="144">
        <f>VLOOKUP($A204,'Data shares'!$C:$FA,7)</f>
        <v>343.05</v>
      </c>
      <c r="C204" s="144">
        <f>VLOOKUP($A204,'Data shares'!$C:$FA,3)</f>
        <v>345.2</v>
      </c>
      <c r="D204" s="144">
        <f>VLOOKUP($A204,'Data shares'!$C:$FA,23)</f>
        <v>2.15</v>
      </c>
      <c r="E204" s="145">
        <f>VLOOKUP($A204,'Data shares'!$C:$FA,26)*100</f>
        <v>0.63</v>
      </c>
      <c r="F204" s="144">
        <f>VLOOKUP($A204,'Data shares'!$C:$FA,24)</f>
        <v>1.6</v>
      </c>
      <c r="G204" s="144">
        <f>VLOOKUP($A204,'Data shares'!$C:$FA,25)</f>
        <v>0.55000000000000004</v>
      </c>
    </row>
    <row r="205" spans="1:7" x14ac:dyDescent="0.25">
      <c r="A205" s="101" t="str">
        <f>'Data shares'!C201</f>
        <v>TORNTPHARM</v>
      </c>
      <c r="B205" s="144">
        <f>VLOOKUP($A205,'Data shares'!$C:$FA,7)</f>
        <v>4251.8</v>
      </c>
      <c r="C205" s="144">
        <f>VLOOKUP($A205,'Data shares'!$C:$FA,3)</f>
        <v>4276.8999999999996</v>
      </c>
      <c r="D205" s="144">
        <f>VLOOKUP($A205,'Data shares'!$C:$FA,23)</f>
        <v>25.1</v>
      </c>
      <c r="E205" s="145">
        <f>VLOOKUP($A205,'Data shares'!$C:$FA,26)*100</f>
        <v>0.59</v>
      </c>
      <c r="F205" s="144">
        <f>VLOOKUP($A205,'Data shares'!$C:$FA,24)</f>
        <v>18.399999999999999</v>
      </c>
      <c r="G205" s="144">
        <f>VLOOKUP($A205,'Data shares'!$C:$FA,25)</f>
        <v>6.7</v>
      </c>
    </row>
    <row r="206" spans="1:7" x14ac:dyDescent="0.25">
      <c r="A206" s="101" t="str">
        <f>'Data shares'!C202</f>
        <v>TRENT</v>
      </c>
      <c r="B206" s="144">
        <f>VLOOKUP($A206,'Data shares'!$C:$FA,7)</f>
        <v>4158.5</v>
      </c>
      <c r="C206" s="144">
        <f>VLOOKUP($A206,'Data shares'!$C:$FA,3)</f>
        <v>4181.8</v>
      </c>
      <c r="D206" s="144">
        <f>VLOOKUP($A206,'Data shares'!$C:$FA,23)</f>
        <v>23.3</v>
      </c>
      <c r="E206" s="145">
        <f>VLOOKUP($A206,'Data shares'!$C:$FA,26)*100</f>
        <v>0.55999999999999994</v>
      </c>
      <c r="F206" s="144">
        <f>VLOOKUP($A206,'Data shares'!$C:$FA,24)</f>
        <v>21.8</v>
      </c>
      <c r="G206" s="144">
        <f>VLOOKUP($A206,'Data shares'!$C:$FA,25)</f>
        <v>1.5</v>
      </c>
    </row>
    <row r="207" spans="1:7" x14ac:dyDescent="0.25">
      <c r="A207" s="101" t="str">
        <f>'Data shares'!C203</f>
        <v>TVSMOTOR</v>
      </c>
      <c r="B207" s="144">
        <f>VLOOKUP($A207,'Data shares'!$C:$FA,7)</f>
        <v>3495.5</v>
      </c>
      <c r="C207" s="144">
        <f>VLOOKUP($A207,'Data shares'!$C:$FA,3)</f>
        <v>3507.7</v>
      </c>
      <c r="D207" s="144">
        <f>VLOOKUP($A207,'Data shares'!$C:$FA,23)</f>
        <v>12.2</v>
      </c>
      <c r="E207" s="145">
        <f>VLOOKUP($A207,'Data shares'!$C:$FA,26)*100</f>
        <v>0.35000000000000003</v>
      </c>
      <c r="F207" s="144">
        <f>VLOOKUP($A207,'Data shares'!$C:$FA,24)</f>
        <v>21.5</v>
      </c>
      <c r="G207" s="144">
        <f>VLOOKUP($A207,'Data shares'!$C:$FA,25)</f>
        <v>-9.3000000000000007</v>
      </c>
    </row>
    <row r="208" spans="1:7" x14ac:dyDescent="0.25">
      <c r="A208" s="101" t="str">
        <f>'Data shares'!C204</f>
        <v>ULTRACEMCO</v>
      </c>
      <c r="B208" s="144">
        <f>VLOOKUP($A208,'Data shares'!$C:$FA,7)</f>
        <v>11758</v>
      </c>
      <c r="C208" s="144">
        <f>VLOOKUP($A208,'Data shares'!$C:$FA,3)</f>
        <v>11820</v>
      </c>
      <c r="D208" s="144">
        <f>VLOOKUP($A208,'Data shares'!$C:$FA,23)</f>
        <v>62</v>
      </c>
      <c r="E208" s="145">
        <f>VLOOKUP($A208,'Data shares'!$C:$FA,26)*100</f>
        <v>0.53</v>
      </c>
      <c r="F208" s="144">
        <f>VLOOKUP($A208,'Data shares'!$C:$FA,24)</f>
        <v>69</v>
      </c>
      <c r="G208" s="144">
        <f>VLOOKUP($A208,'Data shares'!$C:$FA,25)</f>
        <v>-7</v>
      </c>
    </row>
    <row r="209" spans="1:7" x14ac:dyDescent="0.25">
      <c r="A209" s="101" t="str">
        <f>'Data shares'!C205</f>
        <v>UNIONBANK</v>
      </c>
      <c r="B209" s="144">
        <f>VLOOKUP($A209,'Data shares'!$C:$FA,7)</f>
        <v>163.77000000000001</v>
      </c>
      <c r="C209" s="144">
        <f>VLOOKUP($A209,'Data shares'!$C:$FA,3)</f>
        <v>164.7</v>
      </c>
      <c r="D209" s="144">
        <f>VLOOKUP($A209,'Data shares'!$C:$FA,23)</f>
        <v>0.93</v>
      </c>
      <c r="E209" s="145">
        <f>VLOOKUP($A209,'Data shares'!$C:$FA,26)*100</f>
        <v>0.57000000000000006</v>
      </c>
      <c r="F209" s="144">
        <f>VLOOKUP($A209,'Data shares'!$C:$FA,24)</f>
        <v>1.03</v>
      </c>
      <c r="G209" s="144">
        <f>VLOOKUP($A209,'Data shares'!$C:$FA,25)</f>
        <v>-0.1</v>
      </c>
    </row>
    <row r="210" spans="1:7" x14ac:dyDescent="0.25">
      <c r="A210" s="101" t="str">
        <f>'Data shares'!C206</f>
        <v>UNITDSPR</v>
      </c>
      <c r="B210" s="144">
        <f>VLOOKUP($A210,'Data shares'!$C:$FA,7)</f>
        <v>1321.7</v>
      </c>
      <c r="C210" s="144">
        <f>VLOOKUP($A210,'Data shares'!$C:$FA,3)</f>
        <v>1328.9</v>
      </c>
      <c r="D210" s="144">
        <f>VLOOKUP($A210,'Data shares'!$C:$FA,23)</f>
        <v>7.2</v>
      </c>
      <c r="E210" s="145">
        <f>VLOOKUP($A210,'Data shares'!$C:$FA,26)*100</f>
        <v>0.54</v>
      </c>
      <c r="F210" s="144">
        <f>VLOOKUP($A210,'Data shares'!$C:$FA,24)</f>
        <v>8</v>
      </c>
      <c r="G210" s="144">
        <f>VLOOKUP($A210,'Data shares'!$C:$FA,25)</f>
        <v>-0.8</v>
      </c>
    </row>
    <row r="211" spans="1:7" x14ac:dyDescent="0.25">
      <c r="A211" s="101" t="str">
        <f>'Data shares'!C207</f>
        <v>UNOMINDA</v>
      </c>
      <c r="B211" s="144">
        <f>VLOOKUP($A211,'Data shares'!$C:$FA,7)</f>
        <v>1109.8</v>
      </c>
      <c r="C211" s="144">
        <f>VLOOKUP($A211,'Data shares'!$C:$FA,3)</f>
        <v>1116.0999999999999</v>
      </c>
      <c r="D211" s="144">
        <f>VLOOKUP($A211,'Data shares'!$C:$FA,23)</f>
        <v>6.3</v>
      </c>
      <c r="E211" s="145">
        <f>VLOOKUP($A211,'Data shares'!$C:$FA,26)*100</f>
        <v>0.57000000000000006</v>
      </c>
      <c r="F211" s="144">
        <f>VLOOKUP($A211,'Data shares'!$C:$FA,24)</f>
        <v>7.4</v>
      </c>
      <c r="G211" s="144">
        <f>VLOOKUP($A211,'Data shares'!$C:$FA,25)</f>
        <v>-1.1000000000000001</v>
      </c>
    </row>
    <row r="212" spans="1:7" x14ac:dyDescent="0.25">
      <c r="A212" s="101" t="str">
        <f>'Data shares'!C208</f>
        <v>UPL</v>
      </c>
      <c r="B212" s="144">
        <f>VLOOKUP($A212,'Data shares'!$C:$FA,7)</f>
        <v>643.35</v>
      </c>
      <c r="C212" s="144">
        <f>VLOOKUP($A212,'Data shares'!$C:$FA,3)</f>
        <v>647.54999999999995</v>
      </c>
      <c r="D212" s="144">
        <f>VLOOKUP($A212,'Data shares'!$C:$FA,23)</f>
        <v>4.2</v>
      </c>
      <c r="E212" s="145">
        <f>VLOOKUP($A212,'Data shares'!$C:$FA,26)*100</f>
        <v>0.65</v>
      </c>
      <c r="F212" s="144">
        <f>VLOOKUP($A212,'Data shares'!$C:$FA,24)</f>
        <v>4.1500000000000004</v>
      </c>
      <c r="G212" s="144">
        <f>VLOOKUP($A212,'Data shares'!$C:$FA,25)</f>
        <v>0.05</v>
      </c>
    </row>
    <row r="213" spans="1:7" x14ac:dyDescent="0.25">
      <c r="A213" s="101" t="str">
        <f>'Data shares'!C209</f>
        <v>VBL</v>
      </c>
      <c r="B213" s="144">
        <f>VLOOKUP($A213,'Data shares'!$C:$FA,7)</f>
        <v>506.75</v>
      </c>
      <c r="C213" s="144">
        <f>VLOOKUP($A213,'Data shares'!$C:$FA,3)</f>
        <v>509.65</v>
      </c>
      <c r="D213" s="144">
        <f>VLOOKUP($A213,'Data shares'!$C:$FA,23)</f>
        <v>2.9</v>
      </c>
      <c r="E213" s="145">
        <f>VLOOKUP($A213,'Data shares'!$C:$FA,26)*100</f>
        <v>0.57000000000000006</v>
      </c>
      <c r="F213" s="144">
        <f>VLOOKUP($A213,'Data shares'!$C:$FA,24)</f>
        <v>3.1</v>
      </c>
      <c r="G213" s="144">
        <f>VLOOKUP($A213,'Data shares'!$C:$FA,25)</f>
        <v>-0.2</v>
      </c>
    </row>
    <row r="214" spans="1:7" x14ac:dyDescent="0.25">
      <c r="A214" s="101" t="str">
        <f>'Data shares'!C210</f>
        <v>VEDL</v>
      </c>
      <c r="B214" s="144">
        <f>VLOOKUP($A214,'Data shares'!$C:$FA,7)</f>
        <v>294.64999999999998</v>
      </c>
      <c r="C214" s="144">
        <f>VLOOKUP($A214,'Data shares'!$C:$FA,3)</f>
        <v>296</v>
      </c>
      <c r="D214" s="144">
        <f>VLOOKUP($A214,'Data shares'!$C:$FA,23)</f>
        <v>1.35</v>
      </c>
      <c r="E214" s="145">
        <f>VLOOKUP($A214,'Data shares'!$C:$FA,26)*100</f>
        <v>0.45999999999999996</v>
      </c>
      <c r="F214" s="144">
        <f>VLOOKUP($A214,'Data shares'!$C:$FA,24)</f>
        <v>1.65</v>
      </c>
      <c r="G214" s="144">
        <f>VLOOKUP($A214,'Data shares'!$C:$FA,25)</f>
        <v>-0.3</v>
      </c>
    </row>
    <row r="215" spans="1:7" x14ac:dyDescent="0.25">
      <c r="A215" s="101" t="str">
        <f>'Data shares'!C211</f>
        <v>VMM</v>
      </c>
      <c r="B215" s="144">
        <f>VLOOKUP($A215,'Data shares'!$C:$FA,7)</f>
        <v>125.29</v>
      </c>
      <c r="C215" s="144">
        <f>VLOOKUP($A215,'Data shares'!$C:$FA,3)</f>
        <v>126.2</v>
      </c>
      <c r="D215" s="144">
        <f>VLOOKUP($A215,'Data shares'!$C:$FA,23)</f>
        <v>0.91</v>
      </c>
      <c r="E215" s="145">
        <f>VLOOKUP($A215,'Data shares'!$C:$FA,26)*100</f>
        <v>0.73</v>
      </c>
      <c r="F215" s="144">
        <f>VLOOKUP($A215,'Data shares'!$C:$FA,24)</f>
        <v>0.74</v>
      </c>
      <c r="G215" s="144">
        <f>VLOOKUP($A215,'Data shares'!$C:$FA,25)</f>
        <v>0.17</v>
      </c>
    </row>
    <row r="216" spans="1:7" x14ac:dyDescent="0.25">
      <c r="A216" s="101" t="str">
        <f>'Data shares'!C212</f>
        <v>VOLTAS</v>
      </c>
      <c r="B216" s="144">
        <f>VLOOKUP($A216,'Data shares'!$C:$FA,7)</f>
        <v>1454.2</v>
      </c>
      <c r="C216" s="144">
        <f>VLOOKUP($A216,'Data shares'!$C:$FA,3)</f>
        <v>1455.3</v>
      </c>
      <c r="D216" s="144">
        <f>VLOOKUP($A216,'Data shares'!$C:$FA,23)</f>
        <v>1.1000000000000001</v>
      </c>
      <c r="E216" s="145">
        <f>VLOOKUP($A216,'Data shares'!$C:$FA,26)*100</f>
        <v>0.08</v>
      </c>
      <c r="F216" s="144">
        <f>VLOOKUP($A216,'Data shares'!$C:$FA,24)</f>
        <v>3.6</v>
      </c>
      <c r="G216" s="144">
        <f>VLOOKUP($A216,'Data shares'!$C:$FA,25)</f>
        <v>-2.5</v>
      </c>
    </row>
    <row r="217" spans="1:7" x14ac:dyDescent="0.25">
      <c r="A217" s="101" t="str">
        <f>'Data shares'!C213</f>
        <v>WAAREEENER</v>
      </c>
      <c r="B217" s="144">
        <f>VLOOKUP($A217,'Data shares'!$C:$FA,7)</f>
        <v>3136.3</v>
      </c>
      <c r="C217" s="144">
        <f>VLOOKUP($A217,'Data shares'!$C:$FA,3)</f>
        <v>3145</v>
      </c>
      <c r="D217" s="144">
        <f>VLOOKUP($A217,'Data shares'!$C:$FA,23)</f>
        <v>8.6999999999999993</v>
      </c>
      <c r="E217" s="145">
        <f>VLOOKUP($A217,'Data shares'!$C:$FA,26)*100</f>
        <v>0.27999999999999997</v>
      </c>
      <c r="F217" s="144">
        <f>VLOOKUP($A217,'Data shares'!$C:$FA,24)</f>
        <v>14.6</v>
      </c>
      <c r="G217" s="144">
        <f>VLOOKUP($A217,'Data shares'!$C:$FA,25)</f>
        <v>-5.9</v>
      </c>
    </row>
    <row r="218" spans="1:7" x14ac:dyDescent="0.25">
      <c r="A218" s="101" t="str">
        <f>'Data shares'!C214</f>
        <v>WIPRO</v>
      </c>
      <c r="B218" s="144">
        <f>VLOOKUP($A218,'Data shares'!$C:$FA,7)</f>
        <v>200.75</v>
      </c>
      <c r="C218" s="144">
        <f>VLOOKUP($A218,'Data shares'!$C:$FA,3)</f>
        <v>195.91</v>
      </c>
      <c r="D218" s="144">
        <f>VLOOKUP($A218,'Data shares'!$C:$FA,23)</f>
        <v>-4.84</v>
      </c>
      <c r="E218" s="145">
        <f>VLOOKUP($A218,'Data shares'!$C:$FA,26)*100</f>
        <v>-2.41</v>
      </c>
      <c r="F218" s="144">
        <f>VLOOKUP($A218,'Data shares'!$C:$FA,24)</f>
        <v>-3.9</v>
      </c>
      <c r="G218" s="144">
        <f>VLOOKUP($A218,'Data shares'!$C:$FA,25)</f>
        <v>-0.94</v>
      </c>
    </row>
    <row r="219" spans="1:7" x14ac:dyDescent="0.25">
      <c r="A219" s="101" t="str">
        <f>'Data shares'!C215</f>
        <v>YESBANK</v>
      </c>
      <c r="B219" s="144">
        <f>VLOOKUP($A219,'Data shares'!$C:$FA,7)</f>
        <v>19.96</v>
      </c>
      <c r="C219" s="144">
        <f>VLOOKUP($A219,'Data shares'!$C:$FA,3)</f>
        <v>20.07</v>
      </c>
      <c r="D219" s="144">
        <f>VLOOKUP($A219,'Data shares'!$C:$FA,23)</f>
        <v>0.11</v>
      </c>
      <c r="E219" s="145">
        <f>VLOOKUP($A219,'Data shares'!$C:$FA,26)*100</f>
        <v>0.54999999999999993</v>
      </c>
      <c r="F219" s="144">
        <f>VLOOKUP($A219,'Data shares'!$C:$FA,24)</f>
        <v>0.12</v>
      </c>
      <c r="G219" s="144">
        <f>VLOOKUP($A219,'Data shares'!$C:$FA,25)</f>
        <v>-0.01</v>
      </c>
    </row>
    <row r="220" spans="1:7" x14ac:dyDescent="0.25">
      <c r="A220" s="101" t="str">
        <f>'Data shares'!C216</f>
        <v>ZYDUSLIFE</v>
      </c>
      <c r="B220" s="144">
        <f>VLOOKUP($A220,'Data shares'!$C:$FA,7)</f>
        <v>902.35</v>
      </c>
      <c r="C220" s="144">
        <f>VLOOKUP($A220,'Data shares'!$C:$FA,3)</f>
        <v>906.7</v>
      </c>
      <c r="D220" s="144">
        <f>VLOOKUP($A220,'Data shares'!$C:$FA,23)</f>
        <v>4.3499999999999996</v>
      </c>
      <c r="E220" s="145">
        <f>VLOOKUP($A220,'Data shares'!$C:$FA,26)*100</f>
        <v>0.48</v>
      </c>
      <c r="F220" s="144">
        <f>VLOOKUP($A220,'Data shares'!$C:$FA,24)</f>
        <v>5.7</v>
      </c>
      <c r="G220" s="144">
        <f>VLOOKUP($A220,'Data shares'!$C:$FA,25)</f>
        <v>-1.35</v>
      </c>
    </row>
    <row r="221" spans="1:7" x14ac:dyDescent="0.25">
      <c r="A221" s="101"/>
      <c r="B221" s="144"/>
      <c r="C221" s="144"/>
      <c r="D221" s="144"/>
      <c r="E221" s="145"/>
      <c r="F221" s="144"/>
      <c r="G221" s="144"/>
    </row>
    <row r="222" spans="1:7" x14ac:dyDescent="0.25">
      <c r="A222" s="101"/>
      <c r="B222" s="144"/>
      <c r="C222" s="144"/>
      <c r="D222" s="144"/>
      <c r="E222" s="145"/>
      <c r="F222" s="144"/>
      <c r="G222" s="144"/>
    </row>
    <row r="223" spans="1:7" x14ac:dyDescent="0.25">
      <c r="A223" s="101"/>
      <c r="B223" s="144"/>
      <c r="C223" s="144"/>
      <c r="D223" s="144"/>
      <c r="E223" s="145"/>
      <c r="F223" s="144"/>
      <c r="G223" s="144"/>
    </row>
    <row r="224" spans="1:7" x14ac:dyDescent="0.25">
      <c r="A224" s="101"/>
      <c r="B224" s="144"/>
      <c r="C224" s="144"/>
      <c r="D224" s="144"/>
      <c r="E224" s="145"/>
      <c r="F224" s="144"/>
      <c r="G224" s="144"/>
    </row>
    <row r="225" spans="1:7" x14ac:dyDescent="0.25">
      <c r="A225" s="101"/>
      <c r="B225" s="144"/>
      <c r="C225" s="144"/>
      <c r="D225" s="144"/>
      <c r="E225" s="145"/>
      <c r="F225" s="144"/>
      <c r="G225" s="144"/>
    </row>
    <row r="226" spans="1:7" x14ac:dyDescent="0.25">
      <c r="A226" s="101"/>
      <c r="B226" s="144"/>
      <c r="C226" s="144"/>
      <c r="D226" s="144"/>
      <c r="E226" s="145"/>
      <c r="F226" s="144"/>
      <c r="G226"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9"/>
  <sheetViews>
    <sheetView workbookViewId="0">
      <pane ySplit="6" topLeftCell="A195" activePane="bottomLeft" state="frozen"/>
      <selection pane="bottomLeft" activeCell="N233" sqref="N23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3" t="s">
        <v>370</v>
      </c>
      <c r="B3" s="314"/>
      <c r="C3" s="314"/>
      <c r="D3" s="314"/>
      <c r="E3" s="314"/>
      <c r="F3" s="314"/>
      <c r="G3" s="315"/>
    </row>
    <row r="4" spans="1:7" x14ac:dyDescent="0.25">
      <c r="A4" s="317" t="s">
        <v>318</v>
      </c>
      <c r="B4" s="241" t="s">
        <v>371</v>
      </c>
      <c r="C4" s="241"/>
      <c r="D4" s="241"/>
      <c r="E4" s="241"/>
      <c r="F4" s="241"/>
      <c r="G4" s="241"/>
    </row>
    <row r="5" spans="1:7" x14ac:dyDescent="0.25">
      <c r="A5" s="318"/>
      <c r="B5" s="316" t="s">
        <v>372</v>
      </c>
      <c r="C5" s="316"/>
      <c r="D5" s="316"/>
      <c r="E5" s="316" t="s">
        <v>373</v>
      </c>
      <c r="F5" s="316"/>
      <c r="G5" s="316"/>
    </row>
    <row r="6" spans="1:7" x14ac:dyDescent="0.25">
      <c r="A6" s="241"/>
      <c r="B6" s="2" t="s">
        <v>374</v>
      </c>
      <c r="C6" s="2" t="s">
        <v>375</v>
      </c>
      <c r="D6" s="2" t="s">
        <v>376</v>
      </c>
      <c r="E6" s="2" t="s">
        <v>377</v>
      </c>
      <c r="F6" s="2" t="s">
        <v>378</v>
      </c>
      <c r="G6" s="2" t="s">
        <v>379</v>
      </c>
    </row>
    <row r="7" spans="1:7" x14ac:dyDescent="0.25">
      <c r="A7" s="49" t="str">
        <f>'Data Vlaue (Cr)'!C2</f>
        <v>360ONE</v>
      </c>
      <c r="B7" s="50">
        <f>VLOOKUP($A7,'Data shares'!$C:$FM,102)</f>
        <v>37.35</v>
      </c>
      <c r="C7" s="50">
        <f>VLOOKUP($A7,'Data shares'!$C:$FM,110)</f>
        <v>37.4</v>
      </c>
      <c r="D7" s="50">
        <f>VLOOKUP($A7,'Data shares'!$C:$FM,114)</f>
        <v>37.28</v>
      </c>
      <c r="E7" s="50">
        <f>VLOOKUP($A7,'Data shares'!$C:$FM,106)</f>
        <v>41.98</v>
      </c>
      <c r="F7" s="50">
        <f>VLOOKUP($A7,'Data shares'!$C:$FM,108)</f>
        <v>-4.63</v>
      </c>
      <c r="G7" s="50">
        <f t="shared" ref="G7:G38" si="0">B7/E7</f>
        <v>0.88970938542162947</v>
      </c>
    </row>
    <row r="8" spans="1:7" x14ac:dyDescent="0.25">
      <c r="A8" s="49" t="str">
        <f>'Data Vlaue (Cr)'!C3</f>
        <v>ABB</v>
      </c>
      <c r="B8" s="50">
        <f>VLOOKUP($A8,'Data shares'!$C:$FM,102)</f>
        <v>40.42</v>
      </c>
      <c r="C8" s="50">
        <f>VLOOKUP($A8,'Data shares'!$C:$FM,110)</f>
        <v>40.57</v>
      </c>
      <c r="D8" s="50">
        <f>VLOOKUP($A8,'Data shares'!$C:$FM,114)</f>
        <v>39.89</v>
      </c>
      <c r="E8" s="50">
        <f>VLOOKUP($A8,'Data shares'!$C:$FM,106)</f>
        <v>37.200000000000003</v>
      </c>
      <c r="F8" s="50">
        <f>VLOOKUP($A8,'Data shares'!$C:$FM,108)</f>
        <v>3.22</v>
      </c>
      <c r="G8" s="50">
        <f t="shared" si="0"/>
        <v>1.0865591397849461</v>
      </c>
    </row>
    <row r="9" spans="1:7" x14ac:dyDescent="0.25">
      <c r="A9" s="49" t="str">
        <f>'Data Vlaue (Cr)'!C4</f>
        <v>ABCAPITAL</v>
      </c>
      <c r="B9" s="50">
        <f>VLOOKUP($A9,'Data shares'!$C:$FM,102)</f>
        <v>41.19</v>
      </c>
      <c r="C9" s="50">
        <f>VLOOKUP($A9,'Data shares'!$C:$FM,110)</f>
        <v>41.18</v>
      </c>
      <c r="D9" s="50">
        <f>VLOOKUP($A9,'Data shares'!$C:$FM,114)</f>
        <v>41.23</v>
      </c>
      <c r="E9" s="50">
        <f>VLOOKUP($A9,'Data shares'!$C:$FM,106)</f>
        <v>40.93</v>
      </c>
      <c r="F9" s="50">
        <f>VLOOKUP($A9,'Data shares'!$C:$FM,108)</f>
        <v>0.26</v>
      </c>
      <c r="G9" s="50">
        <f t="shared" si="0"/>
        <v>1.0063523088199364</v>
      </c>
    </row>
    <row r="10" spans="1:7" x14ac:dyDescent="0.25">
      <c r="A10" s="49" t="str">
        <f>'Data Vlaue (Cr)'!C5</f>
        <v>ADANIENSOL</v>
      </c>
      <c r="B10" s="50">
        <f>VLOOKUP($A10,'Data shares'!$C:$FM,102)</f>
        <v>53.11</v>
      </c>
      <c r="C10" s="50">
        <f>VLOOKUP($A10,'Data shares'!$C:$FM,110)</f>
        <v>52.61</v>
      </c>
      <c r="D10" s="50">
        <f>VLOOKUP($A10,'Data shares'!$C:$FM,114)</f>
        <v>54.06</v>
      </c>
      <c r="E10" s="50">
        <f>VLOOKUP($A10,'Data shares'!$C:$FM,106)</f>
        <v>56.38</v>
      </c>
      <c r="F10" s="50">
        <f>VLOOKUP($A10,'Data shares'!$C:$FM,108)</f>
        <v>-3.27</v>
      </c>
      <c r="G10" s="50">
        <f t="shared" si="0"/>
        <v>0.94200070947144376</v>
      </c>
    </row>
    <row r="11" spans="1:7" x14ac:dyDescent="0.25">
      <c r="A11" s="49" t="str">
        <f>'Data Vlaue (Cr)'!C6</f>
        <v>ADANIENT</v>
      </c>
      <c r="B11" s="50">
        <f>VLOOKUP($A11,'Data shares'!$C:$FM,102)</f>
        <v>40.020000000000003</v>
      </c>
      <c r="C11" s="50">
        <f>VLOOKUP($A11,'Data shares'!$C:$FM,110)</f>
        <v>39.28</v>
      </c>
      <c r="D11" s="50">
        <f>VLOOKUP($A11,'Data shares'!$C:$FM,114)</f>
        <v>41.25</v>
      </c>
      <c r="E11" s="50">
        <f>VLOOKUP($A11,'Data shares'!$C:$FM,106)</f>
        <v>48.97</v>
      </c>
      <c r="F11" s="50">
        <f>VLOOKUP($A11,'Data shares'!$C:$FM,108)</f>
        <v>-8.9499999999999993</v>
      </c>
      <c r="G11" s="50">
        <f t="shared" si="0"/>
        <v>0.81723504186236484</v>
      </c>
    </row>
    <row r="12" spans="1:7" x14ac:dyDescent="0.25">
      <c r="A12" s="49" t="str">
        <f>'Data Vlaue (Cr)'!C7</f>
        <v>ADANIGREEN</v>
      </c>
      <c r="B12" s="50">
        <f>VLOOKUP($A12,'Data shares'!$C:$FM,102)</f>
        <v>49.76</v>
      </c>
      <c r="C12" s="50">
        <f>VLOOKUP($A12,'Data shares'!$C:$FM,110)</f>
        <v>49.53</v>
      </c>
      <c r="D12" s="50">
        <f>VLOOKUP($A12,'Data shares'!$C:$FM,114)</f>
        <v>50.31</v>
      </c>
      <c r="E12" s="50">
        <f>VLOOKUP($A12,'Data shares'!$C:$FM,106)</f>
        <v>58.66</v>
      </c>
      <c r="F12" s="50">
        <f>VLOOKUP($A12,'Data shares'!$C:$FM,108)</f>
        <v>-8.9</v>
      </c>
      <c r="G12" s="50">
        <f t="shared" si="0"/>
        <v>0.84827821343334475</v>
      </c>
    </row>
    <row r="13" spans="1:7" x14ac:dyDescent="0.25">
      <c r="A13" s="49" t="str">
        <f>'Data Vlaue (Cr)'!C8</f>
        <v>ADANIPORTS</v>
      </c>
      <c r="B13" s="50">
        <f>VLOOKUP($A13,'Data shares'!$C:$FM,102)</f>
        <v>33.01</v>
      </c>
      <c r="C13" s="50">
        <f>VLOOKUP($A13,'Data shares'!$C:$FM,110)</f>
        <v>31.86</v>
      </c>
      <c r="D13" s="50">
        <f>VLOOKUP($A13,'Data shares'!$C:$FM,114)</f>
        <v>35.340000000000003</v>
      </c>
      <c r="E13" s="50">
        <f>VLOOKUP($A13,'Data shares'!$C:$FM,106)</f>
        <v>40.17</v>
      </c>
      <c r="F13" s="50">
        <f>VLOOKUP($A13,'Data shares'!$C:$FM,108)</f>
        <v>-7.16</v>
      </c>
      <c r="G13" s="50">
        <f t="shared" si="0"/>
        <v>0.82175753049539446</v>
      </c>
    </row>
    <row r="14" spans="1:7" x14ac:dyDescent="0.25">
      <c r="A14" s="49" t="str">
        <f>'Data Vlaue (Cr)'!C9</f>
        <v>ADANIPOWER</v>
      </c>
      <c r="B14" s="50">
        <f>VLOOKUP($A14,'Data shares'!$C:$FM,102)</f>
        <v>52.77</v>
      </c>
      <c r="C14" s="50">
        <f>VLOOKUP($A14,'Data shares'!$C:$FM,110)</f>
        <v>52.65</v>
      </c>
      <c r="D14" s="50">
        <f>VLOOKUP($A14,'Data shares'!$C:$FM,114)</f>
        <v>53.07</v>
      </c>
      <c r="E14" s="50">
        <f>VLOOKUP($A14,'Data shares'!$C:$FM,106)</f>
        <v>52.43</v>
      </c>
      <c r="F14" s="50">
        <f>VLOOKUP($A14,'Data shares'!$C:$FM,108)</f>
        <v>0.34</v>
      </c>
      <c r="G14" s="50">
        <f t="shared" si="0"/>
        <v>1.0064848369254245</v>
      </c>
    </row>
    <row r="15" spans="1:7" x14ac:dyDescent="0.25">
      <c r="A15" s="49" t="str">
        <f>'Data Vlaue (Cr)'!C10</f>
        <v>ALKEM</v>
      </c>
      <c r="B15" s="50">
        <f>VLOOKUP($A15,'Data shares'!$C:$FM,102)</f>
        <v>31.15</v>
      </c>
      <c r="C15" s="50">
        <f>VLOOKUP($A15,'Data shares'!$C:$FM,110)</f>
        <v>30.89</v>
      </c>
      <c r="D15" s="50">
        <f>VLOOKUP($A15,'Data shares'!$C:$FM,114)</f>
        <v>31.84</v>
      </c>
      <c r="E15" s="50">
        <f>VLOOKUP($A15,'Data shares'!$C:$FM,106)</f>
        <v>29.09</v>
      </c>
      <c r="F15" s="50">
        <f>VLOOKUP($A15,'Data shares'!$C:$FM,108)</f>
        <v>2.06</v>
      </c>
      <c r="G15" s="50">
        <f t="shared" si="0"/>
        <v>1.07081471295978</v>
      </c>
    </row>
    <row r="16" spans="1:7" x14ac:dyDescent="0.25">
      <c r="A16" s="49" t="str">
        <f>'Data Vlaue (Cr)'!C11</f>
        <v>AMBER</v>
      </c>
      <c r="B16" s="50">
        <f>VLOOKUP($A16,'Data shares'!$C:$FM,102)</f>
        <v>46.08</v>
      </c>
      <c r="C16" s="50">
        <f>VLOOKUP($A16,'Data shares'!$C:$FM,110)</f>
        <v>45.97</v>
      </c>
      <c r="D16" s="50">
        <f>VLOOKUP($A16,'Data shares'!$C:$FM,114)</f>
        <v>46.32</v>
      </c>
      <c r="E16" s="50">
        <f>VLOOKUP($A16,'Data shares'!$C:$FM,106)</f>
        <v>53.54</v>
      </c>
      <c r="F16" s="50">
        <f>VLOOKUP($A16,'Data shares'!$C:$FM,108)</f>
        <v>-7.46</v>
      </c>
      <c r="G16" s="50">
        <f t="shared" si="0"/>
        <v>0.86066492342174072</v>
      </c>
    </row>
    <row r="17" spans="1:7" x14ac:dyDescent="0.25">
      <c r="A17" s="49" t="str">
        <f>'Data Vlaue (Cr)'!C12</f>
        <v>AMBUJACEM</v>
      </c>
      <c r="B17" s="50">
        <f>VLOOKUP($A17,'Data shares'!$C:$FM,102)</f>
        <v>35.94</v>
      </c>
      <c r="C17" s="50">
        <f>VLOOKUP($A17,'Data shares'!$C:$FM,110)</f>
        <v>36.21</v>
      </c>
      <c r="D17" s="50">
        <f>VLOOKUP($A17,'Data shares'!$C:$FM,114)</f>
        <v>35.33</v>
      </c>
      <c r="E17" s="50">
        <f>VLOOKUP($A17,'Data shares'!$C:$FM,106)</f>
        <v>36.36</v>
      </c>
      <c r="F17" s="50">
        <f>VLOOKUP($A17,'Data shares'!$C:$FM,108)</f>
        <v>-0.42</v>
      </c>
      <c r="G17" s="50">
        <f t="shared" si="0"/>
        <v>0.98844884488448836</v>
      </c>
    </row>
    <row r="18" spans="1:7" x14ac:dyDescent="0.25">
      <c r="A18" s="49" t="str">
        <f>'Data Vlaue (Cr)'!C13</f>
        <v>ANGELONE</v>
      </c>
      <c r="B18" s="50">
        <f>VLOOKUP($A18,'Data shares'!$C:$FM,102)</f>
        <v>42.46</v>
      </c>
      <c r="C18" s="50">
        <f>VLOOKUP($A18,'Data shares'!$C:$FM,110)</f>
        <v>42.12</v>
      </c>
      <c r="D18" s="50">
        <f>VLOOKUP($A18,'Data shares'!$C:$FM,114)</f>
        <v>43.06</v>
      </c>
      <c r="E18" s="50">
        <f>VLOOKUP($A18,'Data shares'!$C:$FM,106)</f>
        <v>56.41</v>
      </c>
      <c r="F18" s="50">
        <f>VLOOKUP($A18,'Data shares'!$C:$FM,108)</f>
        <v>-13.95</v>
      </c>
      <c r="G18" s="50">
        <f t="shared" si="0"/>
        <v>0.75270342137918811</v>
      </c>
    </row>
    <row r="19" spans="1:7" x14ac:dyDescent="0.25">
      <c r="A19" s="49" t="str">
        <f>'Data Vlaue (Cr)'!C14</f>
        <v>APLAPOLLO</v>
      </c>
      <c r="B19" s="50">
        <f>VLOOKUP($A19,'Data shares'!$C:$FM,102)</f>
        <v>31.3</v>
      </c>
      <c r="C19" s="50">
        <f>VLOOKUP($A19,'Data shares'!$C:$FM,110)</f>
        <v>31.46</v>
      </c>
      <c r="D19" s="50">
        <f>VLOOKUP($A19,'Data shares'!$C:$FM,114)</f>
        <v>30.95</v>
      </c>
      <c r="E19" s="50">
        <f>VLOOKUP($A19,'Data shares'!$C:$FM,106)</f>
        <v>36.270000000000003</v>
      </c>
      <c r="F19" s="50">
        <f>VLOOKUP($A19,'Data shares'!$C:$FM,108)</f>
        <v>-4.97</v>
      </c>
      <c r="G19" s="50">
        <f t="shared" si="0"/>
        <v>0.86297215329473387</v>
      </c>
    </row>
    <row r="20" spans="1:7" x14ac:dyDescent="0.25">
      <c r="A20" s="49" t="str">
        <f>'Data Vlaue (Cr)'!C15</f>
        <v>APOLLOHOSP</v>
      </c>
      <c r="B20" s="50">
        <f>VLOOKUP($A20,'Data shares'!$C:$FM,102)</f>
        <v>26.86</v>
      </c>
      <c r="C20" s="50">
        <f>VLOOKUP($A20,'Data shares'!$C:$FM,110)</f>
        <v>26.67</v>
      </c>
      <c r="D20" s="50">
        <f>VLOOKUP($A20,'Data shares'!$C:$FM,114)</f>
        <v>27.18</v>
      </c>
      <c r="E20" s="50">
        <f>VLOOKUP($A20,'Data shares'!$C:$FM,106)</f>
        <v>24.99</v>
      </c>
      <c r="F20" s="50">
        <f>VLOOKUP($A20,'Data shares'!$C:$FM,108)</f>
        <v>1.87</v>
      </c>
      <c r="G20" s="50">
        <f t="shared" si="0"/>
        <v>1.0748299319727892</v>
      </c>
    </row>
    <row r="21" spans="1:7" x14ac:dyDescent="0.25">
      <c r="A21" s="49" t="str">
        <f>'Data Vlaue (Cr)'!C16</f>
        <v>ASHOKLEY</v>
      </c>
      <c r="B21" s="50">
        <f>VLOOKUP($A21,'Data shares'!$C:$FM,102)</f>
        <v>44.1</v>
      </c>
      <c r="C21" s="50">
        <f>VLOOKUP($A21,'Data shares'!$C:$FM,110)</f>
        <v>44.7</v>
      </c>
      <c r="D21" s="50">
        <f>VLOOKUP($A21,'Data shares'!$C:$FM,114)</f>
        <v>42.7</v>
      </c>
      <c r="E21" s="50">
        <f>VLOOKUP($A21,'Data shares'!$C:$FM,106)</f>
        <v>42.25</v>
      </c>
      <c r="F21" s="50">
        <f>VLOOKUP($A21,'Data shares'!$C:$FM,108)</f>
        <v>1.85</v>
      </c>
      <c r="G21" s="50">
        <f t="shared" si="0"/>
        <v>1.0437869822485208</v>
      </c>
    </row>
    <row r="22" spans="1:7" x14ac:dyDescent="0.25">
      <c r="A22" s="49" t="str">
        <f>'Data Vlaue (Cr)'!C17</f>
        <v>ASIANPAINT</v>
      </c>
      <c r="B22" s="50">
        <f>VLOOKUP($A22,'Data shares'!$C:$FM,102)</f>
        <v>27.52</v>
      </c>
      <c r="C22" s="50">
        <f>VLOOKUP($A22,'Data shares'!$C:$FM,110)</f>
        <v>26.28</v>
      </c>
      <c r="D22" s="50">
        <f>VLOOKUP($A22,'Data shares'!$C:$FM,114)</f>
        <v>29.46</v>
      </c>
      <c r="E22" s="50">
        <f>VLOOKUP($A22,'Data shares'!$C:$FM,106)</f>
        <v>28.84</v>
      </c>
      <c r="F22" s="50">
        <f>VLOOKUP($A22,'Data shares'!$C:$FM,108)</f>
        <v>-1.32</v>
      </c>
      <c r="G22" s="50">
        <f t="shared" si="0"/>
        <v>0.95423023578363386</v>
      </c>
    </row>
    <row r="23" spans="1:7" x14ac:dyDescent="0.25">
      <c r="A23" s="49" t="str">
        <f>'Data Vlaue (Cr)'!C18</f>
        <v>ASTRAL</v>
      </c>
      <c r="B23" s="50">
        <f>VLOOKUP($A23,'Data shares'!$C:$FM,102)</f>
        <v>34.78</v>
      </c>
      <c r="C23" s="50">
        <f>VLOOKUP($A23,'Data shares'!$C:$FM,110)</f>
        <v>34.68</v>
      </c>
      <c r="D23" s="50">
        <f>VLOOKUP($A23,'Data shares'!$C:$FM,114)</f>
        <v>35</v>
      </c>
      <c r="E23" s="50">
        <f>VLOOKUP($A23,'Data shares'!$C:$FM,106)</f>
        <v>35.44</v>
      </c>
      <c r="F23" s="50">
        <f>VLOOKUP($A23,'Data shares'!$C:$FM,108)</f>
        <v>-0.66</v>
      </c>
      <c r="G23" s="50">
        <f t="shared" si="0"/>
        <v>0.98137697516930034</v>
      </c>
    </row>
    <row r="24" spans="1:7" x14ac:dyDescent="0.25">
      <c r="A24" s="49" t="str">
        <f>'Data Vlaue (Cr)'!C19</f>
        <v>AUBANK</v>
      </c>
      <c r="B24" s="50">
        <f>VLOOKUP($A24,'Data shares'!$C:$FM,102)</f>
        <v>32.57</v>
      </c>
      <c r="C24" s="50">
        <f>VLOOKUP($A24,'Data shares'!$C:$FM,110)</f>
        <v>32.51</v>
      </c>
      <c r="D24" s="50">
        <f>VLOOKUP($A24,'Data shares'!$C:$FM,114)</f>
        <v>32.67</v>
      </c>
      <c r="E24" s="50">
        <f>VLOOKUP($A24,'Data shares'!$C:$FM,106)</f>
        <v>38</v>
      </c>
      <c r="F24" s="50">
        <f>VLOOKUP($A24,'Data shares'!$C:$FM,108)</f>
        <v>-5.43</v>
      </c>
      <c r="G24" s="50">
        <f t="shared" si="0"/>
        <v>0.8571052631578947</v>
      </c>
    </row>
    <row r="25" spans="1:7" x14ac:dyDescent="0.25">
      <c r="A25" s="49" t="str">
        <f>'Data Vlaue (Cr)'!C20</f>
        <v>AUROPHARMA</v>
      </c>
      <c r="B25" s="50">
        <f>VLOOKUP($A25,'Data shares'!$C:$FM,102)</f>
        <v>30.81</v>
      </c>
      <c r="C25" s="50">
        <f>VLOOKUP($A25,'Data shares'!$C:$FM,110)</f>
        <v>31.23</v>
      </c>
      <c r="D25" s="50">
        <f>VLOOKUP($A25,'Data shares'!$C:$FM,114)</f>
        <v>30</v>
      </c>
      <c r="E25" s="50">
        <f>VLOOKUP($A25,'Data shares'!$C:$FM,106)</f>
        <v>32.97</v>
      </c>
      <c r="F25" s="50">
        <f>VLOOKUP($A25,'Data shares'!$C:$FM,108)</f>
        <v>-2.16</v>
      </c>
      <c r="G25" s="50">
        <f t="shared" si="0"/>
        <v>0.93448589626933576</v>
      </c>
    </row>
    <row r="26" spans="1:7" x14ac:dyDescent="0.25">
      <c r="A26" s="49" t="str">
        <f>'Data Vlaue (Cr)'!C21</f>
        <v>AXISBANK</v>
      </c>
      <c r="B26" s="50">
        <f>VLOOKUP($A26,'Data shares'!$C:$FM,102)</f>
        <v>26.04</v>
      </c>
      <c r="C26" s="50">
        <f>VLOOKUP($A26,'Data shares'!$C:$FM,110)</f>
        <v>25.8</v>
      </c>
      <c r="D26" s="50">
        <f>VLOOKUP($A26,'Data shares'!$C:$FM,114)</f>
        <v>26.53</v>
      </c>
      <c r="E26" s="50">
        <f>VLOOKUP($A26,'Data shares'!$C:$FM,106)</f>
        <v>30.1</v>
      </c>
      <c r="F26" s="50">
        <f>VLOOKUP($A26,'Data shares'!$C:$FM,108)</f>
        <v>-4.0599999999999996</v>
      </c>
      <c r="G26" s="50">
        <f t="shared" si="0"/>
        <v>0.8651162790697674</v>
      </c>
    </row>
    <row r="27" spans="1:7" x14ac:dyDescent="0.25">
      <c r="A27" s="49" t="str">
        <f>'Data Vlaue (Cr)'!C22</f>
        <v>BAJAJ-AUTO</v>
      </c>
      <c r="B27" s="50">
        <f>VLOOKUP($A27,'Data shares'!$C:$FM,102)</f>
        <v>32.159999999999997</v>
      </c>
      <c r="C27" s="50">
        <f>VLOOKUP($A27,'Data shares'!$C:$FM,110)</f>
        <v>31.95</v>
      </c>
      <c r="D27" s="50">
        <f>VLOOKUP($A27,'Data shares'!$C:$FM,114)</f>
        <v>32.54</v>
      </c>
      <c r="E27" s="50">
        <f>VLOOKUP($A27,'Data shares'!$C:$FM,106)</f>
        <v>29.96</v>
      </c>
      <c r="F27" s="50">
        <f>VLOOKUP($A27,'Data shares'!$C:$FM,108)</f>
        <v>2.2000000000000002</v>
      </c>
      <c r="G27" s="50">
        <f t="shared" si="0"/>
        <v>1.0734312416555405</v>
      </c>
    </row>
    <row r="28" spans="1:7" x14ac:dyDescent="0.25">
      <c r="A28" s="49" t="str">
        <f>'Data Vlaue (Cr)'!C23</f>
        <v>BAJAJFINSV</v>
      </c>
      <c r="B28" s="50">
        <f>VLOOKUP($A28,'Data shares'!$C:$FM,102)</f>
        <v>28.1</v>
      </c>
      <c r="C28" s="50">
        <f>VLOOKUP($A28,'Data shares'!$C:$FM,110)</f>
        <v>27</v>
      </c>
      <c r="D28" s="50">
        <f>VLOOKUP($A28,'Data shares'!$C:$FM,114)</f>
        <v>29.77</v>
      </c>
      <c r="E28" s="50">
        <f>VLOOKUP($A28,'Data shares'!$C:$FM,106)</f>
        <v>30.37</v>
      </c>
      <c r="F28" s="50">
        <f>VLOOKUP($A28,'Data shares'!$C:$FM,108)</f>
        <v>-2.27</v>
      </c>
      <c r="G28" s="50">
        <f t="shared" si="0"/>
        <v>0.92525518603885415</v>
      </c>
    </row>
    <row r="29" spans="1:7" x14ac:dyDescent="0.25">
      <c r="A29" s="49" t="str">
        <f>'Data Vlaue (Cr)'!C24</f>
        <v>BAJAJHLDNG</v>
      </c>
      <c r="B29" s="50">
        <f>VLOOKUP($A29,'Data shares'!$C:$FM,102)</f>
        <v>38.5</v>
      </c>
      <c r="C29" s="50">
        <f>VLOOKUP($A29,'Data shares'!$C:$FM,110)</f>
        <v>38.6</v>
      </c>
      <c r="D29" s="50">
        <f>VLOOKUP($A29,'Data shares'!$C:$FM,114)</f>
        <v>37.78</v>
      </c>
      <c r="E29" s="50">
        <f>VLOOKUP($A29,'Data shares'!$C:$FM,106)</f>
        <v>38.130000000000003</v>
      </c>
      <c r="F29" s="50">
        <f>VLOOKUP($A29,'Data shares'!$C:$FM,108)</f>
        <v>0.37</v>
      </c>
      <c r="G29" s="50">
        <f t="shared" si="0"/>
        <v>1.0097036454235508</v>
      </c>
    </row>
    <row r="30" spans="1:7" x14ac:dyDescent="0.25">
      <c r="A30" s="49" t="str">
        <f>'Data Vlaue (Cr)'!C25</f>
        <v>BAJFINANCE</v>
      </c>
      <c r="B30" s="50">
        <f>VLOOKUP($A30,'Data shares'!$C:$FM,102)</f>
        <v>31.48</v>
      </c>
      <c r="C30" s="50">
        <f>VLOOKUP($A30,'Data shares'!$C:$FM,110)</f>
        <v>30.89</v>
      </c>
      <c r="D30" s="50">
        <f>VLOOKUP($A30,'Data shares'!$C:$FM,114)</f>
        <v>32.43</v>
      </c>
      <c r="E30" s="50">
        <f>VLOOKUP($A30,'Data shares'!$C:$FM,106)</f>
        <v>35.43</v>
      </c>
      <c r="F30" s="50">
        <f>VLOOKUP($A30,'Data shares'!$C:$FM,108)</f>
        <v>-3.95</v>
      </c>
      <c r="G30" s="50">
        <f t="shared" si="0"/>
        <v>0.88851255997742029</v>
      </c>
    </row>
    <row r="31" spans="1:7" x14ac:dyDescent="0.25">
      <c r="A31" s="49" t="str">
        <f>'Data Vlaue (Cr)'!C26</f>
        <v>BANDHANBNK</v>
      </c>
      <c r="B31" s="50">
        <f>VLOOKUP($A31,'Data shares'!$C:$FM,102)</f>
        <v>43.61</v>
      </c>
      <c r="C31" s="50">
        <f>VLOOKUP($A31,'Data shares'!$C:$FM,110)</f>
        <v>43.45</v>
      </c>
      <c r="D31" s="50">
        <f>VLOOKUP($A31,'Data shares'!$C:$FM,114)</f>
        <v>43.96</v>
      </c>
      <c r="E31" s="50">
        <f>VLOOKUP($A31,'Data shares'!$C:$FM,106)</f>
        <v>47.69</v>
      </c>
      <c r="F31" s="50">
        <f>VLOOKUP($A31,'Data shares'!$C:$FM,108)</f>
        <v>-4.08</v>
      </c>
      <c r="G31" s="50">
        <f t="shared" si="0"/>
        <v>0.91444747326483544</v>
      </c>
    </row>
    <row r="32" spans="1:7" x14ac:dyDescent="0.25">
      <c r="A32" s="49" t="str">
        <f>'Data Vlaue (Cr)'!C27</f>
        <v>BANKBARODA</v>
      </c>
      <c r="B32" s="50">
        <f>VLOOKUP($A32,'Data shares'!$C:$FM,102)</f>
        <v>35.93</v>
      </c>
      <c r="C32" s="50">
        <f>VLOOKUP($A32,'Data shares'!$C:$FM,110)</f>
        <v>36.18</v>
      </c>
      <c r="D32" s="50">
        <f>VLOOKUP($A32,'Data shares'!$C:$FM,114)</f>
        <v>35.42</v>
      </c>
      <c r="E32" s="50">
        <f>VLOOKUP($A32,'Data shares'!$C:$FM,106)</f>
        <v>36.46</v>
      </c>
      <c r="F32" s="50">
        <f>VLOOKUP($A32,'Data shares'!$C:$FM,108)</f>
        <v>-0.53</v>
      </c>
      <c r="G32" s="50">
        <f t="shared" si="0"/>
        <v>0.98546352166758089</v>
      </c>
    </row>
    <row r="33" spans="1:7" x14ac:dyDescent="0.25">
      <c r="A33" s="49" t="str">
        <f>'Data Vlaue (Cr)'!C28</f>
        <v>BANKINDIA</v>
      </c>
      <c r="B33" s="50">
        <f>VLOOKUP($A33,'Data shares'!$C:$FM,102)</f>
        <v>42.41</v>
      </c>
      <c r="C33" s="50">
        <f>VLOOKUP($A33,'Data shares'!$C:$FM,110)</f>
        <v>42.42</v>
      </c>
      <c r="D33" s="50">
        <f>VLOOKUP($A33,'Data shares'!$C:$FM,114)</f>
        <v>42.4</v>
      </c>
      <c r="E33" s="50">
        <f>VLOOKUP($A33,'Data shares'!$C:$FM,106)</f>
        <v>42.43</v>
      </c>
      <c r="F33" s="50">
        <f>VLOOKUP($A33,'Data shares'!$C:$FM,108)</f>
        <v>-0.02</v>
      </c>
      <c r="G33" s="50">
        <f t="shared" si="0"/>
        <v>0.99952863539948145</v>
      </c>
    </row>
    <row r="34" spans="1:7" x14ac:dyDescent="0.25">
      <c r="A34" s="49" t="str">
        <f>'Data Vlaue (Cr)'!C29</f>
        <v>BANKNIFTY</v>
      </c>
      <c r="B34" s="50">
        <f>VLOOKUP($A34,'Data shares'!$C:$FM,102)</f>
        <v>20.84</v>
      </c>
      <c r="C34" s="50">
        <f>VLOOKUP($A34,'Data shares'!$C:$FM,110)</f>
        <v>20.059999999999999</v>
      </c>
      <c r="D34" s="50">
        <f>VLOOKUP($A34,'Data shares'!$C:$FM,114)</f>
        <v>21.89</v>
      </c>
      <c r="E34" s="50">
        <f>VLOOKUP($A34,'Data shares'!$C:$FM,106)</f>
        <v>21.17</v>
      </c>
      <c r="F34" s="50">
        <f>VLOOKUP($A34,'Data shares'!$C:$FM,108)</f>
        <v>-0.33</v>
      </c>
      <c r="G34" s="50">
        <f t="shared" si="0"/>
        <v>0.98441190363722242</v>
      </c>
    </row>
    <row r="35" spans="1:7" x14ac:dyDescent="0.25">
      <c r="A35" s="49" t="str">
        <f>'Data Vlaue (Cr)'!C30</f>
        <v>BDL</v>
      </c>
      <c r="B35" s="50">
        <f>VLOOKUP($A35,'Data shares'!$C:$FM,102)</f>
        <v>43.8</v>
      </c>
      <c r="C35" s="50">
        <f>VLOOKUP($A35,'Data shares'!$C:$FM,110)</f>
        <v>43.63</v>
      </c>
      <c r="D35" s="50">
        <f>VLOOKUP($A35,'Data shares'!$C:$FM,114)</f>
        <v>44.32</v>
      </c>
      <c r="E35" s="50">
        <f>VLOOKUP($A35,'Data shares'!$C:$FM,106)</f>
        <v>52.47</v>
      </c>
      <c r="F35" s="50">
        <f>VLOOKUP($A35,'Data shares'!$C:$FM,108)</f>
        <v>-8.67</v>
      </c>
      <c r="G35" s="50">
        <f t="shared" si="0"/>
        <v>0.83476272155517439</v>
      </c>
    </row>
    <row r="36" spans="1:7" x14ac:dyDescent="0.25">
      <c r="A36" s="49" t="str">
        <f>'Data Vlaue (Cr)'!C31</f>
        <v>BEL</v>
      </c>
      <c r="B36" s="50">
        <f>VLOOKUP($A36,'Data shares'!$C:$FM,102)</f>
        <v>34.32</v>
      </c>
      <c r="C36" s="50">
        <f>VLOOKUP($A36,'Data shares'!$C:$FM,110)</f>
        <v>34.409999999999997</v>
      </c>
      <c r="D36" s="50">
        <f>VLOOKUP($A36,'Data shares'!$C:$FM,114)</f>
        <v>34.130000000000003</v>
      </c>
      <c r="E36" s="50">
        <f>VLOOKUP($A36,'Data shares'!$C:$FM,106)</f>
        <v>36.6</v>
      </c>
      <c r="F36" s="50">
        <f>VLOOKUP($A36,'Data shares'!$C:$FM,108)</f>
        <v>-2.2799999999999998</v>
      </c>
      <c r="G36" s="50">
        <f t="shared" si="0"/>
        <v>0.93770491803278688</v>
      </c>
    </row>
    <row r="37" spans="1:7" x14ac:dyDescent="0.25">
      <c r="A37" s="49" t="str">
        <f>'Data Vlaue (Cr)'!C32</f>
        <v>BHARATFORG</v>
      </c>
      <c r="B37" s="50">
        <f>VLOOKUP($A37,'Data shares'!$C:$FM,102)</f>
        <v>40.97</v>
      </c>
      <c r="C37" s="50">
        <f>VLOOKUP($A37,'Data shares'!$C:$FM,110)</f>
        <v>40.869999999999997</v>
      </c>
      <c r="D37" s="50">
        <f>VLOOKUP($A37,'Data shares'!$C:$FM,114)</f>
        <v>41.1</v>
      </c>
      <c r="E37" s="50">
        <f>VLOOKUP($A37,'Data shares'!$C:$FM,106)</f>
        <v>39.29</v>
      </c>
      <c r="F37" s="50">
        <f>VLOOKUP($A37,'Data shares'!$C:$FM,108)</f>
        <v>1.68</v>
      </c>
      <c r="G37" s="50">
        <f t="shared" si="0"/>
        <v>1.0427589717485366</v>
      </c>
    </row>
    <row r="38" spans="1:7" x14ac:dyDescent="0.25">
      <c r="A38" s="49" t="str">
        <f>'Data Vlaue (Cr)'!C33</f>
        <v>BHARTIARTL</v>
      </c>
      <c r="B38" s="50">
        <f>VLOOKUP($A38,'Data shares'!$C:$FM,102)</f>
        <v>25.09</v>
      </c>
      <c r="C38" s="50">
        <f>VLOOKUP($A38,'Data shares'!$C:$FM,110)</f>
        <v>25.25</v>
      </c>
      <c r="D38" s="50">
        <f>VLOOKUP($A38,'Data shares'!$C:$FM,114)</f>
        <v>24.79</v>
      </c>
      <c r="E38" s="50">
        <f>VLOOKUP($A38,'Data shares'!$C:$FM,106)</f>
        <v>24.46</v>
      </c>
      <c r="F38" s="50">
        <f>VLOOKUP($A38,'Data shares'!$C:$FM,108)</f>
        <v>0.63</v>
      </c>
      <c r="G38" s="50">
        <f t="shared" si="0"/>
        <v>1.025756336876533</v>
      </c>
    </row>
    <row r="39" spans="1:7" x14ac:dyDescent="0.25">
      <c r="A39" s="49" t="str">
        <f>'Data Vlaue (Cr)'!C34</f>
        <v>BHEL</v>
      </c>
      <c r="B39" s="50">
        <f>VLOOKUP($A39,'Data shares'!$C:$FM,102)</f>
        <v>41.16</v>
      </c>
      <c r="C39" s="50">
        <f>VLOOKUP($A39,'Data shares'!$C:$FM,110)</f>
        <v>39.93</v>
      </c>
      <c r="D39" s="50">
        <f>VLOOKUP($A39,'Data shares'!$C:$FM,114)</f>
        <v>43.03</v>
      </c>
      <c r="E39" s="50">
        <f>VLOOKUP($A39,'Data shares'!$C:$FM,106)</f>
        <v>47.83</v>
      </c>
      <c r="F39" s="50">
        <f>VLOOKUP($A39,'Data shares'!$C:$FM,108)</f>
        <v>-6.67</v>
      </c>
      <c r="G39" s="50">
        <f t="shared" ref="G39:G70" si="1">B39/E39</f>
        <v>0.86054777336399746</v>
      </c>
    </row>
    <row r="40" spans="1:7" x14ac:dyDescent="0.25">
      <c r="A40" s="49" t="str">
        <f>'Data Vlaue (Cr)'!C35</f>
        <v>BIOCON</v>
      </c>
      <c r="B40" s="50">
        <f>VLOOKUP($A40,'Data shares'!$C:$FM,102)</f>
        <v>37.15</v>
      </c>
      <c r="C40" s="50">
        <f>VLOOKUP($A40,'Data shares'!$C:$FM,110)</f>
        <v>37.18</v>
      </c>
      <c r="D40" s="50">
        <f>VLOOKUP($A40,'Data shares'!$C:$FM,114)</f>
        <v>37.08</v>
      </c>
      <c r="E40" s="50">
        <f>VLOOKUP($A40,'Data shares'!$C:$FM,106)</f>
        <v>35.93</v>
      </c>
      <c r="F40" s="50">
        <f>VLOOKUP($A40,'Data shares'!$C:$FM,108)</f>
        <v>1.22</v>
      </c>
      <c r="G40" s="50">
        <f t="shared" si="1"/>
        <v>1.0339549123295295</v>
      </c>
    </row>
    <row r="41" spans="1:7" x14ac:dyDescent="0.25">
      <c r="A41" s="49" t="str">
        <f>'Data Vlaue (Cr)'!C36</f>
        <v>BLUESTARCO</v>
      </c>
      <c r="B41" s="50">
        <f>VLOOKUP($A41,'Data shares'!$C:$FM,102)</f>
        <v>49.58</v>
      </c>
      <c r="C41" s="50">
        <f>VLOOKUP($A41,'Data shares'!$C:$FM,110)</f>
        <v>48.66</v>
      </c>
      <c r="D41" s="50">
        <f>VLOOKUP($A41,'Data shares'!$C:$FM,114)</f>
        <v>51.42</v>
      </c>
      <c r="E41" s="50">
        <f>VLOOKUP($A41,'Data shares'!$C:$FM,106)</f>
        <v>43.03</v>
      </c>
      <c r="F41" s="50">
        <f>VLOOKUP($A41,'Data shares'!$C:$FM,108)</f>
        <v>6.55</v>
      </c>
      <c r="G41" s="50">
        <f t="shared" si="1"/>
        <v>1.1522193818266324</v>
      </c>
    </row>
    <row r="42" spans="1:7" x14ac:dyDescent="0.25">
      <c r="A42" s="49" t="str">
        <f>'Data Vlaue (Cr)'!C37</f>
        <v>BOSCHLTD</v>
      </c>
      <c r="B42" s="50">
        <f>VLOOKUP($A42,'Data shares'!$C:$FM,102)</f>
        <v>35.15</v>
      </c>
      <c r="C42" s="50">
        <f>VLOOKUP($A42,'Data shares'!$C:$FM,110)</f>
        <v>35.54</v>
      </c>
      <c r="D42" s="50">
        <f>VLOOKUP($A42,'Data shares'!$C:$FM,114)</f>
        <v>34.590000000000003</v>
      </c>
      <c r="E42" s="50">
        <f>VLOOKUP($A42,'Data shares'!$C:$FM,106)</f>
        <v>34.590000000000003</v>
      </c>
      <c r="F42" s="50">
        <f>VLOOKUP($A42,'Data shares'!$C:$FM,108)</f>
        <v>0.56000000000000005</v>
      </c>
      <c r="G42" s="50">
        <f t="shared" si="1"/>
        <v>1.0161896501879155</v>
      </c>
    </row>
    <row r="43" spans="1:7" x14ac:dyDescent="0.25">
      <c r="A43" s="49" t="str">
        <f>'Data Vlaue (Cr)'!C38</f>
        <v>BPCL</v>
      </c>
      <c r="B43" s="50">
        <f>VLOOKUP($A43,'Data shares'!$C:$FM,102)</f>
        <v>43.52</v>
      </c>
      <c r="C43" s="50">
        <f>VLOOKUP($A43,'Data shares'!$C:$FM,110)</f>
        <v>43.7</v>
      </c>
      <c r="D43" s="50">
        <f>VLOOKUP($A43,'Data shares'!$C:$FM,114)</f>
        <v>43.28</v>
      </c>
      <c r="E43" s="50">
        <f>VLOOKUP($A43,'Data shares'!$C:$FM,106)</f>
        <v>36.729999999999997</v>
      </c>
      <c r="F43" s="50">
        <f>VLOOKUP($A43,'Data shares'!$C:$FM,108)</f>
        <v>6.79</v>
      </c>
      <c r="G43" s="50">
        <f t="shared" si="1"/>
        <v>1.1848625102096382</v>
      </c>
    </row>
    <row r="44" spans="1:7" x14ac:dyDescent="0.25">
      <c r="A44" s="49" t="str">
        <f>'Data Vlaue (Cr)'!C39</f>
        <v>BRITANNIA</v>
      </c>
      <c r="B44" s="50">
        <f>VLOOKUP($A44,'Data shares'!$C:$FM,102)</f>
        <v>27.93</v>
      </c>
      <c r="C44" s="50">
        <f>VLOOKUP($A44,'Data shares'!$C:$FM,110)</f>
        <v>27.69</v>
      </c>
      <c r="D44" s="50">
        <f>VLOOKUP($A44,'Data shares'!$C:$FM,114)</f>
        <v>28.55</v>
      </c>
      <c r="E44" s="50">
        <f>VLOOKUP($A44,'Data shares'!$C:$FM,106)</f>
        <v>24.71</v>
      </c>
      <c r="F44" s="50">
        <f>VLOOKUP($A44,'Data shares'!$C:$FM,108)</f>
        <v>3.22</v>
      </c>
      <c r="G44" s="50">
        <f t="shared" si="1"/>
        <v>1.130311614730878</v>
      </c>
    </row>
    <row r="45" spans="1:7" x14ac:dyDescent="0.25">
      <c r="A45" s="49" t="str">
        <f>'Data Vlaue (Cr)'!C40</f>
        <v>BSE</v>
      </c>
      <c r="B45" s="50">
        <f>VLOOKUP($A45,'Data shares'!$C:$FM,102)</f>
        <v>43.69</v>
      </c>
      <c r="C45" s="50">
        <f>VLOOKUP($A45,'Data shares'!$C:$FM,110)</f>
        <v>42.84</v>
      </c>
      <c r="D45" s="50">
        <f>VLOOKUP($A45,'Data shares'!$C:$FM,114)</f>
        <v>45.06</v>
      </c>
      <c r="E45" s="50">
        <f>VLOOKUP($A45,'Data shares'!$C:$FM,106)</f>
        <v>58.11</v>
      </c>
      <c r="F45" s="50">
        <f>VLOOKUP($A45,'Data shares'!$C:$FM,108)</f>
        <v>-14.42</v>
      </c>
      <c r="G45" s="50">
        <f t="shared" si="1"/>
        <v>0.75184993976940284</v>
      </c>
    </row>
    <row r="46" spans="1:7" x14ac:dyDescent="0.25">
      <c r="A46" s="49" t="str">
        <f>'Data Vlaue (Cr)'!C41</f>
        <v>CAMS</v>
      </c>
      <c r="B46" s="50">
        <f>VLOOKUP($A46,'Data shares'!$C:$FM,102)</f>
        <v>38.08</v>
      </c>
      <c r="C46" s="50">
        <f>VLOOKUP($A46,'Data shares'!$C:$FM,110)</f>
        <v>38.26</v>
      </c>
      <c r="D46" s="50">
        <f>VLOOKUP($A46,'Data shares'!$C:$FM,114)</f>
        <v>37.85</v>
      </c>
      <c r="E46" s="50">
        <f>VLOOKUP($A46,'Data shares'!$C:$FM,106)</f>
        <v>40.44</v>
      </c>
      <c r="F46" s="50">
        <f>VLOOKUP($A46,'Data shares'!$C:$FM,108)</f>
        <v>-2.36</v>
      </c>
      <c r="G46" s="50">
        <f t="shared" si="1"/>
        <v>0.94164193867457968</v>
      </c>
    </row>
    <row r="47" spans="1:7" x14ac:dyDescent="0.25">
      <c r="A47" s="49" t="str">
        <f>'Data Vlaue (Cr)'!C42</f>
        <v>CANBK</v>
      </c>
      <c r="B47" s="50">
        <f>VLOOKUP($A47,'Data shares'!$C:$FM,102)</f>
        <v>37.979999999999997</v>
      </c>
      <c r="C47" s="50">
        <f>VLOOKUP($A47,'Data shares'!$C:$FM,110)</f>
        <v>37.590000000000003</v>
      </c>
      <c r="D47" s="50">
        <f>VLOOKUP($A47,'Data shares'!$C:$FM,114)</f>
        <v>38.630000000000003</v>
      </c>
      <c r="E47" s="50">
        <f>VLOOKUP($A47,'Data shares'!$C:$FM,106)</f>
        <v>38.630000000000003</v>
      </c>
      <c r="F47" s="50">
        <f>VLOOKUP($A47,'Data shares'!$C:$FM,108)</f>
        <v>-0.65</v>
      </c>
      <c r="G47" s="50">
        <f t="shared" si="1"/>
        <v>0.98317369919751474</v>
      </c>
    </row>
    <row r="48" spans="1:7" x14ac:dyDescent="0.25">
      <c r="A48" s="49" t="str">
        <f>'Data Vlaue (Cr)'!C43</f>
        <v>CDSL</v>
      </c>
      <c r="B48" s="50">
        <f>VLOOKUP($A48,'Data shares'!$C:$FM,102)</f>
        <v>36.89</v>
      </c>
      <c r="C48" s="50">
        <f>VLOOKUP($A48,'Data shares'!$C:$FM,110)</f>
        <v>36.99</v>
      </c>
      <c r="D48" s="50">
        <f>VLOOKUP($A48,'Data shares'!$C:$FM,114)</f>
        <v>36.770000000000003</v>
      </c>
      <c r="E48" s="50">
        <f>VLOOKUP($A48,'Data shares'!$C:$FM,106)</f>
        <v>46.21</v>
      </c>
      <c r="F48" s="50">
        <f>VLOOKUP($A48,'Data shares'!$C:$FM,108)</f>
        <v>-9.32</v>
      </c>
      <c r="G48" s="50">
        <f t="shared" si="1"/>
        <v>0.79831205366803726</v>
      </c>
    </row>
    <row r="49" spans="1:7" x14ac:dyDescent="0.25">
      <c r="A49" s="49" t="str">
        <f>'Data Vlaue (Cr)'!C44</f>
        <v>CGPOWER</v>
      </c>
      <c r="B49" s="50">
        <f>VLOOKUP($A49,'Data shares'!$C:$FM,102)</f>
        <v>42.81</v>
      </c>
      <c r="C49" s="50">
        <f>VLOOKUP($A49,'Data shares'!$C:$FM,110)</f>
        <v>42.73</v>
      </c>
      <c r="D49" s="50">
        <f>VLOOKUP($A49,'Data shares'!$C:$FM,114)</f>
        <v>43.02</v>
      </c>
      <c r="E49" s="50">
        <f>VLOOKUP($A49,'Data shares'!$C:$FM,106)</f>
        <v>41.92</v>
      </c>
      <c r="F49" s="50">
        <f>VLOOKUP($A49,'Data shares'!$C:$FM,108)</f>
        <v>0.89</v>
      </c>
      <c r="G49" s="50">
        <f t="shared" si="1"/>
        <v>1.0212309160305344</v>
      </c>
    </row>
    <row r="50" spans="1:7" x14ac:dyDescent="0.25">
      <c r="A50" s="49" t="str">
        <f>'Data Vlaue (Cr)'!C45</f>
        <v>CHOLAFIN</v>
      </c>
      <c r="B50" s="50">
        <f>VLOOKUP($A50,'Data shares'!$C:$FM,102)</f>
        <v>34.42</v>
      </c>
      <c r="C50" s="50">
        <f>VLOOKUP($A50,'Data shares'!$C:$FM,110)</f>
        <v>33.700000000000003</v>
      </c>
      <c r="D50" s="50">
        <f>VLOOKUP($A50,'Data shares'!$C:$FM,114)</f>
        <v>35.93</v>
      </c>
      <c r="E50" s="50">
        <f>VLOOKUP($A50,'Data shares'!$C:$FM,106)</f>
        <v>40.81</v>
      </c>
      <c r="F50" s="50">
        <f>VLOOKUP($A50,'Data shares'!$C:$FM,108)</f>
        <v>-6.39</v>
      </c>
      <c r="G50" s="50">
        <f t="shared" si="1"/>
        <v>0.84342073021318309</v>
      </c>
    </row>
    <row r="51" spans="1:7" x14ac:dyDescent="0.25">
      <c r="A51" s="49" t="str">
        <f>'Data Vlaue (Cr)'!C46</f>
        <v>CIPLA</v>
      </c>
      <c r="B51" s="50">
        <f>VLOOKUP($A51,'Data shares'!$C:$FM,102)</f>
        <v>27.32</v>
      </c>
      <c r="C51" s="50">
        <f>VLOOKUP($A51,'Data shares'!$C:$FM,110)</f>
        <v>26.88</v>
      </c>
      <c r="D51" s="50">
        <f>VLOOKUP($A51,'Data shares'!$C:$FM,114)</f>
        <v>28.5</v>
      </c>
      <c r="E51" s="50">
        <f>VLOOKUP($A51,'Data shares'!$C:$FM,106)</f>
        <v>25.78</v>
      </c>
      <c r="F51" s="50">
        <f>VLOOKUP($A51,'Data shares'!$C:$FM,108)</f>
        <v>1.54</v>
      </c>
      <c r="G51" s="50">
        <f t="shared" si="1"/>
        <v>1.0597362296353763</v>
      </c>
    </row>
    <row r="52" spans="1:7" x14ac:dyDescent="0.25">
      <c r="A52" s="49" t="str">
        <f>'Data Vlaue (Cr)'!C47</f>
        <v>COALINDIA</v>
      </c>
      <c r="B52" s="50">
        <f>VLOOKUP($A52,'Data shares'!$C:$FM,102)</f>
        <v>27.44</v>
      </c>
      <c r="C52" s="50">
        <f>VLOOKUP($A52,'Data shares'!$C:$FM,110)</f>
        <v>27.03</v>
      </c>
      <c r="D52" s="50">
        <f>VLOOKUP($A52,'Data shares'!$C:$FM,114)</f>
        <v>28.03</v>
      </c>
      <c r="E52" s="50">
        <f>VLOOKUP($A52,'Data shares'!$C:$FM,106)</f>
        <v>31.12</v>
      </c>
      <c r="F52" s="50">
        <f>VLOOKUP($A52,'Data shares'!$C:$FM,108)</f>
        <v>-3.68</v>
      </c>
      <c r="G52" s="50">
        <f t="shared" si="1"/>
        <v>0.8817480719794345</v>
      </c>
    </row>
    <row r="53" spans="1:7" x14ac:dyDescent="0.25">
      <c r="A53" s="49" t="str">
        <f>'Data Vlaue (Cr)'!C48</f>
        <v>COCHINSHIP</v>
      </c>
      <c r="B53" s="50">
        <f>VLOOKUP($A53,'Data shares'!$C:$FM,102)</f>
        <v>51.76</v>
      </c>
      <c r="C53" s="50">
        <f>VLOOKUP($A53,'Data shares'!$C:$FM,110)</f>
        <v>51.75</v>
      </c>
      <c r="D53" s="50">
        <f>VLOOKUP($A53,'Data shares'!$C:$FM,114)</f>
        <v>51.8</v>
      </c>
      <c r="E53" s="50">
        <f>VLOOKUP($A53,'Data shares'!$C:$FM,106)</f>
        <v>54.43</v>
      </c>
      <c r="F53" s="50">
        <f>VLOOKUP($A53,'Data shares'!$C:$FM,108)</f>
        <v>-2.67</v>
      </c>
      <c r="G53" s="50">
        <f t="shared" si="1"/>
        <v>0.95094616939187948</v>
      </c>
    </row>
    <row r="54" spans="1:7" x14ac:dyDescent="0.25">
      <c r="A54" s="49" t="str">
        <f>'Data Vlaue (Cr)'!C49</f>
        <v>COFORGE</v>
      </c>
      <c r="B54" s="50">
        <f>VLOOKUP($A54,'Data shares'!$C:$FM,102)</f>
        <v>49.06</v>
      </c>
      <c r="C54" s="50">
        <f>VLOOKUP($A54,'Data shares'!$C:$FM,110)</f>
        <v>48.86</v>
      </c>
      <c r="D54" s="50">
        <f>VLOOKUP($A54,'Data shares'!$C:$FM,114)</f>
        <v>49.41</v>
      </c>
      <c r="E54" s="50">
        <f>VLOOKUP($A54,'Data shares'!$C:$FM,106)</f>
        <v>44.1</v>
      </c>
      <c r="F54" s="50">
        <f>VLOOKUP($A54,'Data shares'!$C:$FM,108)</f>
        <v>4.96</v>
      </c>
      <c r="G54" s="50">
        <f t="shared" si="1"/>
        <v>1.1124716553287981</v>
      </c>
    </row>
    <row r="55" spans="1:7" x14ac:dyDescent="0.25">
      <c r="A55" s="49" t="str">
        <f>'Data Vlaue (Cr)'!C50</f>
        <v>COLPAL</v>
      </c>
      <c r="B55" s="50">
        <f>VLOOKUP($A55,'Data shares'!$C:$FM,102)</f>
        <v>31.39</v>
      </c>
      <c r="C55" s="50">
        <f>VLOOKUP($A55,'Data shares'!$C:$FM,110)</f>
        <v>31.18</v>
      </c>
      <c r="D55" s="50">
        <f>VLOOKUP($A55,'Data shares'!$C:$FM,114)</f>
        <v>32.049999999999997</v>
      </c>
      <c r="E55" s="50">
        <f>VLOOKUP($A55,'Data shares'!$C:$FM,106)</f>
        <v>30.67</v>
      </c>
      <c r="F55" s="50">
        <f>VLOOKUP($A55,'Data shares'!$C:$FM,108)</f>
        <v>0.72</v>
      </c>
      <c r="G55" s="50">
        <f t="shared" si="1"/>
        <v>1.0234757091620477</v>
      </c>
    </row>
    <row r="56" spans="1:7" x14ac:dyDescent="0.25">
      <c r="A56" s="49" t="str">
        <f>'Data Vlaue (Cr)'!C51</f>
        <v>CONCOR</v>
      </c>
      <c r="B56" s="50">
        <f>VLOOKUP($A56,'Data shares'!$C:$FM,102)</f>
        <v>33.57</v>
      </c>
      <c r="C56" s="50">
        <f>VLOOKUP($A56,'Data shares'!$C:$FM,110)</f>
        <v>33.01</v>
      </c>
      <c r="D56" s="50">
        <f>VLOOKUP($A56,'Data shares'!$C:$FM,114)</f>
        <v>35.22</v>
      </c>
      <c r="E56" s="50">
        <f>VLOOKUP($A56,'Data shares'!$C:$FM,106)</f>
        <v>34.659999999999997</v>
      </c>
      <c r="F56" s="50">
        <f>VLOOKUP($A56,'Data shares'!$C:$FM,108)</f>
        <v>-1.0900000000000001</v>
      </c>
      <c r="G56" s="50">
        <f t="shared" si="1"/>
        <v>0.96855164454702836</v>
      </c>
    </row>
    <row r="57" spans="1:7" x14ac:dyDescent="0.25">
      <c r="A57" s="49" t="str">
        <f>'Data Vlaue (Cr)'!C52</f>
        <v>CROMPTON</v>
      </c>
      <c r="B57" s="50">
        <f>VLOOKUP($A57,'Data shares'!$C:$FM,102)</f>
        <v>43.06</v>
      </c>
      <c r="C57" s="50">
        <f>VLOOKUP($A57,'Data shares'!$C:$FM,110)</f>
        <v>42.9</v>
      </c>
      <c r="D57" s="50">
        <f>VLOOKUP($A57,'Data shares'!$C:$FM,114)</f>
        <v>43.44</v>
      </c>
      <c r="E57" s="50">
        <f>VLOOKUP($A57,'Data shares'!$C:$FM,106)</f>
        <v>35.86</v>
      </c>
      <c r="F57" s="50">
        <f>VLOOKUP($A57,'Data shares'!$C:$FM,108)</f>
        <v>7.2</v>
      </c>
      <c r="G57" s="50">
        <f t="shared" si="1"/>
        <v>1.200780814277747</v>
      </c>
    </row>
    <row r="58" spans="1:7" x14ac:dyDescent="0.25">
      <c r="A58" s="49" t="str">
        <f>'Data Vlaue (Cr)'!C53</f>
        <v>CUMMINSIND</v>
      </c>
      <c r="B58" s="50">
        <f>VLOOKUP($A58,'Data shares'!$C:$FM,102)</f>
        <v>33.1</v>
      </c>
      <c r="C58" s="50">
        <f>VLOOKUP($A58,'Data shares'!$C:$FM,110)</f>
        <v>32.72</v>
      </c>
      <c r="D58" s="50">
        <f>VLOOKUP($A58,'Data shares'!$C:$FM,114)</f>
        <v>34.130000000000003</v>
      </c>
      <c r="E58" s="50">
        <f>VLOOKUP($A58,'Data shares'!$C:$FM,106)</f>
        <v>35.549999999999997</v>
      </c>
      <c r="F58" s="50">
        <f>VLOOKUP($A58,'Data shares'!$C:$FM,108)</f>
        <v>-2.4500000000000002</v>
      </c>
      <c r="G58" s="50">
        <f t="shared" si="1"/>
        <v>0.93108298171589321</v>
      </c>
    </row>
    <row r="59" spans="1:7" x14ac:dyDescent="0.25">
      <c r="A59" s="49" t="str">
        <f>'Data Vlaue (Cr)'!C54</f>
        <v>DABUR</v>
      </c>
      <c r="B59" s="50">
        <f>VLOOKUP($A59,'Data shares'!$C:$FM,102)</f>
        <v>30.82</v>
      </c>
      <c r="C59" s="50">
        <f>VLOOKUP($A59,'Data shares'!$C:$FM,110)</f>
        <v>30.79</v>
      </c>
      <c r="D59" s="50">
        <f>VLOOKUP($A59,'Data shares'!$C:$FM,114)</f>
        <v>30.89</v>
      </c>
      <c r="E59" s="50">
        <f>VLOOKUP($A59,'Data shares'!$C:$FM,106)</f>
        <v>27.35</v>
      </c>
      <c r="F59" s="50">
        <f>VLOOKUP($A59,'Data shares'!$C:$FM,108)</f>
        <v>3.47</v>
      </c>
      <c r="G59" s="50">
        <f t="shared" si="1"/>
        <v>1.1268738574040218</v>
      </c>
    </row>
    <row r="60" spans="1:7" x14ac:dyDescent="0.25">
      <c r="A60" s="49" t="str">
        <f>'Data Vlaue (Cr)'!C55</f>
        <v>DALBHARAT</v>
      </c>
      <c r="B60" s="50">
        <f>VLOOKUP($A60,'Data shares'!$C:$FM,102)</f>
        <v>32.21</v>
      </c>
      <c r="C60" s="50">
        <f>VLOOKUP($A60,'Data shares'!$C:$FM,110)</f>
        <v>31.71</v>
      </c>
      <c r="D60" s="50">
        <f>VLOOKUP($A60,'Data shares'!$C:$FM,114)</f>
        <v>33.18</v>
      </c>
      <c r="E60" s="50">
        <f>VLOOKUP($A60,'Data shares'!$C:$FM,106)</f>
        <v>34.11</v>
      </c>
      <c r="F60" s="50">
        <f>VLOOKUP($A60,'Data shares'!$C:$FM,108)</f>
        <v>-1.9</v>
      </c>
      <c r="G60" s="50">
        <f t="shared" si="1"/>
        <v>0.94429785986514225</v>
      </c>
    </row>
    <row r="61" spans="1:7" x14ac:dyDescent="0.25">
      <c r="A61" s="49" t="str">
        <f>'Data Vlaue (Cr)'!C56</f>
        <v>DELHIVERY</v>
      </c>
      <c r="B61" s="50">
        <f>VLOOKUP($A61,'Data shares'!$C:$FM,102)</f>
        <v>37.08</v>
      </c>
      <c r="C61" s="50">
        <f>VLOOKUP($A61,'Data shares'!$C:$FM,110)</f>
        <v>36.68</v>
      </c>
      <c r="D61" s="50">
        <f>VLOOKUP($A61,'Data shares'!$C:$FM,114)</f>
        <v>38.299999999999997</v>
      </c>
      <c r="E61" s="50">
        <f>VLOOKUP($A61,'Data shares'!$C:$FM,106)</f>
        <v>38.96</v>
      </c>
      <c r="F61" s="50">
        <f>VLOOKUP($A61,'Data shares'!$C:$FM,108)</f>
        <v>-1.88</v>
      </c>
      <c r="G61" s="50">
        <f t="shared" si="1"/>
        <v>0.95174537987679664</v>
      </c>
    </row>
    <row r="62" spans="1:7" x14ac:dyDescent="0.25">
      <c r="A62" s="49" t="str">
        <f>'Data Vlaue (Cr)'!C57</f>
        <v>DIVISLAB</v>
      </c>
      <c r="B62" s="50">
        <f>VLOOKUP($A62,'Data shares'!$C:$FM,102)</f>
        <v>29.07</v>
      </c>
      <c r="C62" s="50">
        <f>VLOOKUP($A62,'Data shares'!$C:$FM,110)</f>
        <v>28.9</v>
      </c>
      <c r="D62" s="50">
        <f>VLOOKUP($A62,'Data shares'!$C:$FM,114)</f>
        <v>29.56</v>
      </c>
      <c r="E62" s="50">
        <f>VLOOKUP($A62,'Data shares'!$C:$FM,106)</f>
        <v>29.39</v>
      </c>
      <c r="F62" s="50">
        <f>VLOOKUP($A62,'Data shares'!$C:$FM,108)</f>
        <v>-0.32</v>
      </c>
      <c r="G62" s="50">
        <f t="shared" si="1"/>
        <v>0.98911194283769988</v>
      </c>
    </row>
    <row r="63" spans="1:7" x14ac:dyDescent="0.25">
      <c r="A63" s="49" t="str">
        <f>'Data Vlaue (Cr)'!C58</f>
        <v>DIXON</v>
      </c>
      <c r="B63" s="50">
        <f>VLOOKUP($A63,'Data shares'!$C:$FM,102)</f>
        <v>49.27</v>
      </c>
      <c r="C63" s="50">
        <f>VLOOKUP($A63,'Data shares'!$C:$FM,110)</f>
        <v>48.44</v>
      </c>
      <c r="D63" s="50">
        <f>VLOOKUP($A63,'Data shares'!$C:$FM,114)</f>
        <v>50.39</v>
      </c>
      <c r="E63" s="50">
        <f>VLOOKUP($A63,'Data shares'!$C:$FM,106)</f>
        <v>48.89</v>
      </c>
      <c r="F63" s="50">
        <f>VLOOKUP($A63,'Data shares'!$C:$FM,108)</f>
        <v>0.38</v>
      </c>
      <c r="G63" s="50">
        <f t="shared" si="1"/>
        <v>1.0077725506238495</v>
      </c>
    </row>
    <row r="64" spans="1:7" x14ac:dyDescent="0.25">
      <c r="A64" s="49" t="str">
        <f>'Data Vlaue (Cr)'!C59</f>
        <v>DLF</v>
      </c>
      <c r="B64" s="50">
        <f>VLOOKUP($A64,'Data shares'!$C:$FM,102)</f>
        <v>36.81</v>
      </c>
      <c r="C64" s="50">
        <f>VLOOKUP($A64,'Data shares'!$C:$FM,110)</f>
        <v>36.58</v>
      </c>
      <c r="D64" s="50">
        <f>VLOOKUP($A64,'Data shares'!$C:$FM,114)</f>
        <v>37.35</v>
      </c>
      <c r="E64" s="50">
        <f>VLOOKUP($A64,'Data shares'!$C:$FM,106)</f>
        <v>37.83</v>
      </c>
      <c r="F64" s="50">
        <f>VLOOKUP($A64,'Data shares'!$C:$FM,108)</f>
        <v>-1.02</v>
      </c>
      <c r="G64" s="50">
        <f t="shared" si="1"/>
        <v>0.97303727200634427</v>
      </c>
    </row>
    <row r="65" spans="1:7" x14ac:dyDescent="0.25">
      <c r="A65" s="49" t="str">
        <f>'Data Vlaue (Cr)'!C60</f>
        <v>DMART</v>
      </c>
      <c r="B65" s="50">
        <f>VLOOKUP($A65,'Data shares'!$C:$FM,102)</f>
        <v>30.51</v>
      </c>
      <c r="C65" s="50">
        <f>VLOOKUP($A65,'Data shares'!$C:$FM,110)</f>
        <v>30.58</v>
      </c>
      <c r="D65" s="50">
        <f>VLOOKUP($A65,'Data shares'!$C:$FM,114)</f>
        <v>30.39</v>
      </c>
      <c r="E65" s="50">
        <f>VLOOKUP($A65,'Data shares'!$C:$FM,106)</f>
        <v>33.53</v>
      </c>
      <c r="F65" s="50">
        <f>VLOOKUP($A65,'Data shares'!$C:$FM,108)</f>
        <v>-3.02</v>
      </c>
      <c r="G65" s="50">
        <f t="shared" si="1"/>
        <v>0.90993140471219802</v>
      </c>
    </row>
    <row r="66" spans="1:7" x14ac:dyDescent="0.25">
      <c r="A66" s="49" t="str">
        <f>'Data Vlaue (Cr)'!C61</f>
        <v>DRREDDY</v>
      </c>
      <c r="B66" s="50">
        <f>VLOOKUP($A66,'Data shares'!$C:$FM,102)</f>
        <v>32.1</v>
      </c>
      <c r="C66" s="50">
        <f>VLOOKUP($A66,'Data shares'!$C:$FM,110)</f>
        <v>32.33</v>
      </c>
      <c r="D66" s="50">
        <f>VLOOKUP($A66,'Data shares'!$C:$FM,114)</f>
        <v>31.7</v>
      </c>
      <c r="E66" s="50">
        <f>VLOOKUP($A66,'Data shares'!$C:$FM,106)</f>
        <v>28.62</v>
      </c>
      <c r="F66" s="50">
        <f>VLOOKUP($A66,'Data shares'!$C:$FM,108)</f>
        <v>3.48</v>
      </c>
      <c r="G66" s="50">
        <f t="shared" si="1"/>
        <v>1.1215932914046123</v>
      </c>
    </row>
    <row r="67" spans="1:7" x14ac:dyDescent="0.25">
      <c r="A67" s="49" t="str">
        <f>'Data Vlaue (Cr)'!C62</f>
        <v>EICHERMOT</v>
      </c>
      <c r="B67" s="50">
        <f>VLOOKUP($A67,'Data shares'!$C:$FM,102)</f>
        <v>33.17</v>
      </c>
      <c r="C67" s="50">
        <f>VLOOKUP($A67,'Data shares'!$C:$FM,110)</f>
        <v>32.89</v>
      </c>
      <c r="D67" s="50">
        <f>VLOOKUP($A67,'Data shares'!$C:$FM,114)</f>
        <v>34.020000000000003</v>
      </c>
      <c r="E67" s="50">
        <f>VLOOKUP($A67,'Data shares'!$C:$FM,106)</f>
        <v>33.58</v>
      </c>
      <c r="F67" s="50">
        <f>VLOOKUP($A67,'Data shares'!$C:$FM,108)</f>
        <v>-0.41</v>
      </c>
      <c r="G67" s="50">
        <f t="shared" si="1"/>
        <v>0.98779035139964277</v>
      </c>
    </row>
    <row r="68" spans="1:7" x14ac:dyDescent="0.25">
      <c r="A68" s="49" t="str">
        <f>'Data Vlaue (Cr)'!C63</f>
        <v>ETERNAL</v>
      </c>
      <c r="B68" s="50">
        <f>VLOOKUP($A68,'Data shares'!$C:$FM,102)</f>
        <v>39.43</v>
      </c>
      <c r="C68" s="50">
        <f>VLOOKUP($A68,'Data shares'!$C:$FM,110)</f>
        <v>39.49</v>
      </c>
      <c r="D68" s="50">
        <f>VLOOKUP($A68,'Data shares'!$C:$FM,114)</f>
        <v>39.31</v>
      </c>
      <c r="E68" s="50">
        <f>VLOOKUP($A68,'Data shares'!$C:$FM,106)</f>
        <v>45.53</v>
      </c>
      <c r="F68" s="50">
        <f>VLOOKUP($A68,'Data shares'!$C:$FM,108)</f>
        <v>-6.1</v>
      </c>
      <c r="G68" s="50">
        <f t="shared" si="1"/>
        <v>0.86602240281133314</v>
      </c>
    </row>
    <row r="69" spans="1:7" x14ac:dyDescent="0.25">
      <c r="A69" s="49" t="str">
        <f>'Data Vlaue (Cr)'!C64</f>
        <v>EXIDEIND</v>
      </c>
      <c r="B69" s="50">
        <f>VLOOKUP($A69,'Data shares'!$C:$FM,102)</f>
        <v>36.770000000000003</v>
      </c>
      <c r="C69" s="50">
        <f>VLOOKUP($A69,'Data shares'!$C:$FM,110)</f>
        <v>36.69</v>
      </c>
      <c r="D69" s="50">
        <f>VLOOKUP($A69,'Data shares'!$C:$FM,114)</f>
        <v>36.93</v>
      </c>
      <c r="E69" s="50">
        <f>VLOOKUP($A69,'Data shares'!$C:$FM,106)</f>
        <v>36.06</v>
      </c>
      <c r="F69" s="50">
        <f>VLOOKUP($A69,'Data shares'!$C:$FM,108)</f>
        <v>0.71</v>
      </c>
      <c r="G69" s="50">
        <f t="shared" si="1"/>
        <v>1.0196894065446478</v>
      </c>
    </row>
    <row r="70" spans="1:7" x14ac:dyDescent="0.25">
      <c r="A70" s="49" t="str">
        <f>'Data Vlaue (Cr)'!C65</f>
        <v>FEDERALBNK</v>
      </c>
      <c r="B70" s="50">
        <f>VLOOKUP($A70,'Data shares'!$C:$FM,102)</f>
        <v>29.6</v>
      </c>
      <c r="C70" s="50">
        <f>VLOOKUP($A70,'Data shares'!$C:$FM,110)</f>
        <v>29.56</v>
      </c>
      <c r="D70" s="50">
        <f>VLOOKUP($A70,'Data shares'!$C:$FM,114)</f>
        <v>29.69</v>
      </c>
      <c r="E70" s="50">
        <f>VLOOKUP($A70,'Data shares'!$C:$FM,106)</f>
        <v>31.83</v>
      </c>
      <c r="F70" s="50">
        <f>VLOOKUP($A70,'Data shares'!$C:$FM,108)</f>
        <v>-2.23</v>
      </c>
      <c r="G70" s="50">
        <f t="shared" si="1"/>
        <v>0.92994030788564253</v>
      </c>
    </row>
    <row r="71" spans="1:7" x14ac:dyDescent="0.25">
      <c r="A71" s="49" t="str">
        <f>'Data Vlaue (Cr)'!C66</f>
        <v>FINNIFTY</v>
      </c>
      <c r="B71" s="50">
        <f>VLOOKUP($A71,'Data shares'!$C:$FM,102)</f>
        <v>21.6</v>
      </c>
      <c r="C71" s="50">
        <f>VLOOKUP($A71,'Data shares'!$C:$FM,110)</f>
        <v>20.239999999999998</v>
      </c>
      <c r="D71" s="50">
        <f>VLOOKUP($A71,'Data shares'!$C:$FM,114)</f>
        <v>23.8</v>
      </c>
      <c r="E71" s="50">
        <f>VLOOKUP($A71,'Data shares'!$C:$FM,106)</f>
        <v>21.49</v>
      </c>
      <c r="F71" s="50">
        <f>VLOOKUP($A71,'Data shares'!$C:$FM,108)</f>
        <v>0.11</v>
      </c>
      <c r="G71" s="50">
        <f t="shared" ref="G71:G102" si="2">B71/E71</f>
        <v>1.0051186598417869</v>
      </c>
    </row>
    <row r="72" spans="1:7" x14ac:dyDescent="0.25">
      <c r="A72" s="49" t="str">
        <f>'Data Vlaue (Cr)'!C67</f>
        <v>FORCEMOT</v>
      </c>
      <c r="B72" s="50">
        <f>VLOOKUP($A72,'Data shares'!$C:$FM,102)</f>
        <v>55.97</v>
      </c>
      <c r="C72" s="50">
        <f>VLOOKUP($A72,'Data shares'!$C:$FM,110)</f>
        <v>56.52</v>
      </c>
      <c r="D72" s="50">
        <f>VLOOKUP($A72,'Data shares'!$C:$FM,114)</f>
        <v>53.88</v>
      </c>
      <c r="E72" s="50">
        <f>VLOOKUP($A72,'Data shares'!$C:$FM,106)</f>
        <v>65.52</v>
      </c>
      <c r="F72" s="50">
        <f>VLOOKUP($A72,'Data shares'!$C:$FM,108)</f>
        <v>-9.5500000000000007</v>
      </c>
      <c r="G72" s="50">
        <f t="shared" si="2"/>
        <v>0.85424297924297932</v>
      </c>
    </row>
    <row r="73" spans="1:7" x14ac:dyDescent="0.25">
      <c r="A73" s="49" t="str">
        <f>'Data Vlaue (Cr)'!C68</f>
        <v>FORTIS</v>
      </c>
      <c r="B73" s="50">
        <f>VLOOKUP($A73,'Data shares'!$C:$FM,102)</f>
        <v>31.32</v>
      </c>
      <c r="C73" s="50">
        <f>VLOOKUP($A73,'Data shares'!$C:$FM,110)</f>
        <v>31.29</v>
      </c>
      <c r="D73" s="50">
        <f>VLOOKUP($A73,'Data shares'!$C:$FM,114)</f>
        <v>31.39</v>
      </c>
      <c r="E73" s="50">
        <f>VLOOKUP($A73,'Data shares'!$C:$FM,106)</f>
        <v>35.31</v>
      </c>
      <c r="F73" s="50">
        <f>VLOOKUP($A73,'Data shares'!$C:$FM,108)</f>
        <v>-3.99</v>
      </c>
      <c r="G73" s="50">
        <f t="shared" si="2"/>
        <v>0.887000849617672</v>
      </c>
    </row>
    <row r="74" spans="1:7" x14ac:dyDescent="0.25">
      <c r="A74" s="49" t="str">
        <f>'Data Vlaue (Cr)'!C69</f>
        <v>GAIL</v>
      </c>
      <c r="B74" s="50">
        <f>VLOOKUP($A74,'Data shares'!$C:$FM,102)</f>
        <v>31.2</v>
      </c>
      <c r="C74" s="50">
        <f>VLOOKUP($A74,'Data shares'!$C:$FM,110)</f>
        <v>30.97</v>
      </c>
      <c r="D74" s="50">
        <f>VLOOKUP($A74,'Data shares'!$C:$FM,114)</f>
        <v>31.71</v>
      </c>
      <c r="E74" s="50">
        <f>VLOOKUP($A74,'Data shares'!$C:$FM,106)</f>
        <v>35.17</v>
      </c>
      <c r="F74" s="50">
        <f>VLOOKUP($A74,'Data shares'!$C:$FM,108)</f>
        <v>-3.97</v>
      </c>
      <c r="G74" s="50">
        <f t="shared" si="2"/>
        <v>0.88711970429343179</v>
      </c>
    </row>
    <row r="75" spans="1:7" x14ac:dyDescent="0.25">
      <c r="A75" s="49" t="str">
        <f>'Data Vlaue (Cr)'!C70</f>
        <v>GLENMARK</v>
      </c>
      <c r="B75" s="50">
        <f>VLOOKUP($A75,'Data shares'!$C:$FM,102)</f>
        <v>37.89</v>
      </c>
      <c r="C75" s="50">
        <f>VLOOKUP($A75,'Data shares'!$C:$FM,110)</f>
        <v>37.58</v>
      </c>
      <c r="D75" s="50">
        <f>VLOOKUP($A75,'Data shares'!$C:$FM,114)</f>
        <v>38.450000000000003</v>
      </c>
      <c r="E75" s="50">
        <f>VLOOKUP($A75,'Data shares'!$C:$FM,106)</f>
        <v>36</v>
      </c>
      <c r="F75" s="50">
        <f>VLOOKUP($A75,'Data shares'!$C:$FM,108)</f>
        <v>1.89</v>
      </c>
      <c r="G75" s="50">
        <f t="shared" si="2"/>
        <v>1.0525</v>
      </c>
    </row>
    <row r="76" spans="1:7" x14ac:dyDescent="0.25">
      <c r="A76" s="49" t="str">
        <f>'Data Vlaue (Cr)'!C71</f>
        <v>GMRAIRPORT</v>
      </c>
      <c r="B76" s="50">
        <f>VLOOKUP($A76,'Data shares'!$C:$FM,102)</f>
        <v>40.33</v>
      </c>
      <c r="C76" s="50">
        <f>VLOOKUP($A76,'Data shares'!$C:$FM,110)</f>
        <v>40.200000000000003</v>
      </c>
      <c r="D76" s="50">
        <f>VLOOKUP($A76,'Data shares'!$C:$FM,114)</f>
        <v>40.64</v>
      </c>
      <c r="E76" s="50">
        <f>VLOOKUP($A76,'Data shares'!$C:$FM,106)</f>
        <v>40.869999999999997</v>
      </c>
      <c r="F76" s="50">
        <f>VLOOKUP($A76,'Data shares'!$C:$FM,108)</f>
        <v>-0.54</v>
      </c>
      <c r="G76" s="50">
        <f t="shared" si="2"/>
        <v>0.98678737460239785</v>
      </c>
    </row>
    <row r="77" spans="1:7" x14ac:dyDescent="0.25">
      <c r="A77" s="49" t="str">
        <f>'Data Vlaue (Cr)'!C72</f>
        <v>GODFRYPHLP</v>
      </c>
      <c r="B77" s="50">
        <f>VLOOKUP($A77,'Data shares'!$C:$FM,102)</f>
        <v>54.96</v>
      </c>
      <c r="C77" s="50">
        <f>VLOOKUP($A77,'Data shares'!$C:$FM,110)</f>
        <v>54.35</v>
      </c>
      <c r="D77" s="50">
        <f>VLOOKUP($A77,'Data shares'!$C:$FM,114)</f>
        <v>57.13</v>
      </c>
      <c r="E77" s="50">
        <f>VLOOKUP($A77,'Data shares'!$C:$FM,106)</f>
        <v>70.52</v>
      </c>
      <c r="F77" s="50">
        <f>VLOOKUP($A77,'Data shares'!$C:$FM,108)</f>
        <v>-15.56</v>
      </c>
      <c r="G77" s="50">
        <f t="shared" si="2"/>
        <v>0.77935337492909817</v>
      </c>
    </row>
    <row r="78" spans="1:7" x14ac:dyDescent="0.25">
      <c r="A78" s="49" t="str">
        <f>'Data Vlaue (Cr)'!C73</f>
        <v>GODREJCP</v>
      </c>
      <c r="B78" s="50">
        <f>VLOOKUP($A78,'Data shares'!$C:$FM,102)</f>
        <v>34.369999999999997</v>
      </c>
      <c r="C78" s="50">
        <f>VLOOKUP($A78,'Data shares'!$C:$FM,110)</f>
        <v>34.4</v>
      </c>
      <c r="D78" s="50">
        <f>VLOOKUP($A78,'Data shares'!$C:$FM,114)</f>
        <v>34.26</v>
      </c>
      <c r="E78" s="50">
        <f>VLOOKUP($A78,'Data shares'!$C:$FM,106)</f>
        <v>30.61</v>
      </c>
      <c r="F78" s="50">
        <f>VLOOKUP($A78,'Data shares'!$C:$FM,108)</f>
        <v>3.76</v>
      </c>
      <c r="G78" s="50">
        <f t="shared" si="2"/>
        <v>1.1228356746161385</v>
      </c>
    </row>
    <row r="79" spans="1:7" x14ac:dyDescent="0.25">
      <c r="A79" s="49" t="str">
        <f>'Data Vlaue (Cr)'!C74</f>
        <v>GODREJPROP</v>
      </c>
      <c r="B79" s="50">
        <f>VLOOKUP($A79,'Data shares'!$C:$FM,102)</f>
        <v>38.520000000000003</v>
      </c>
      <c r="C79" s="50">
        <f>VLOOKUP($A79,'Data shares'!$C:$FM,110)</f>
        <v>37.54</v>
      </c>
      <c r="D79" s="50">
        <f>VLOOKUP($A79,'Data shares'!$C:$FM,114)</f>
        <v>41.34</v>
      </c>
      <c r="E79" s="50">
        <f>VLOOKUP($A79,'Data shares'!$C:$FM,106)</f>
        <v>45.52</v>
      </c>
      <c r="F79" s="50">
        <f>VLOOKUP($A79,'Data shares'!$C:$FM,108)</f>
        <v>-7</v>
      </c>
      <c r="G79" s="50">
        <f t="shared" si="2"/>
        <v>0.84622144112478037</v>
      </c>
    </row>
    <row r="80" spans="1:7" x14ac:dyDescent="0.25">
      <c r="A80" s="49" t="str">
        <f>'Data Vlaue (Cr)'!C75</f>
        <v>GRASIM</v>
      </c>
      <c r="B80" s="50">
        <f>VLOOKUP($A80,'Data shares'!$C:$FM,102)</f>
        <v>27.46</v>
      </c>
      <c r="C80" s="50">
        <f>VLOOKUP($A80,'Data shares'!$C:$FM,110)</f>
        <v>27.06</v>
      </c>
      <c r="D80" s="50">
        <f>VLOOKUP($A80,'Data shares'!$C:$FM,114)</f>
        <v>28.78</v>
      </c>
      <c r="E80" s="50">
        <f>VLOOKUP($A80,'Data shares'!$C:$FM,106)</f>
        <v>28.08</v>
      </c>
      <c r="F80" s="50">
        <f>VLOOKUP($A80,'Data shares'!$C:$FM,108)</f>
        <v>-0.62</v>
      </c>
      <c r="G80" s="50">
        <f t="shared" si="2"/>
        <v>0.97792022792022804</v>
      </c>
    </row>
    <row r="81" spans="1:7" x14ac:dyDescent="0.25">
      <c r="A81" s="49" t="str">
        <f>'Data Vlaue (Cr)'!C76</f>
        <v>HAL</v>
      </c>
      <c r="B81" s="50">
        <f>VLOOKUP($A81,'Data shares'!$C:$FM,102)</f>
        <v>34.520000000000003</v>
      </c>
      <c r="C81" s="50">
        <f>VLOOKUP($A81,'Data shares'!$C:$FM,110)</f>
        <v>33.840000000000003</v>
      </c>
      <c r="D81" s="50">
        <f>VLOOKUP($A81,'Data shares'!$C:$FM,114)</f>
        <v>36.28</v>
      </c>
      <c r="E81" s="50">
        <f>VLOOKUP($A81,'Data shares'!$C:$FM,106)</f>
        <v>38.979999999999997</v>
      </c>
      <c r="F81" s="50">
        <f>VLOOKUP($A81,'Data shares'!$C:$FM,108)</f>
        <v>-4.46</v>
      </c>
      <c r="G81" s="50">
        <f t="shared" si="2"/>
        <v>0.88558234992303764</v>
      </c>
    </row>
    <row r="82" spans="1:7" x14ac:dyDescent="0.25">
      <c r="A82" s="49" t="str">
        <f>'Data Vlaue (Cr)'!C77</f>
        <v>HAVELLS</v>
      </c>
      <c r="B82" s="50">
        <f>VLOOKUP($A82,'Data shares'!$C:$FM,102)</f>
        <v>31.31</v>
      </c>
      <c r="C82" s="50">
        <f>VLOOKUP($A82,'Data shares'!$C:$FM,110)</f>
        <v>31.57</v>
      </c>
      <c r="D82" s="50">
        <f>VLOOKUP($A82,'Data shares'!$C:$FM,114)</f>
        <v>30.54</v>
      </c>
      <c r="E82" s="50">
        <f>VLOOKUP($A82,'Data shares'!$C:$FM,106)</f>
        <v>31.19</v>
      </c>
      <c r="F82" s="50">
        <f>VLOOKUP($A82,'Data shares'!$C:$FM,108)</f>
        <v>0.12</v>
      </c>
      <c r="G82" s="50">
        <f t="shared" si="2"/>
        <v>1.0038473869830074</v>
      </c>
    </row>
    <row r="83" spans="1:7" x14ac:dyDescent="0.25">
      <c r="A83" s="49" t="str">
        <f>'Data Vlaue (Cr)'!C78</f>
        <v>HCLTECH</v>
      </c>
      <c r="B83" s="50">
        <f>VLOOKUP($A83,'Data shares'!$C:$FM,102)</f>
        <v>30.38</v>
      </c>
      <c r="C83" s="50">
        <f>VLOOKUP($A83,'Data shares'!$C:$FM,110)</f>
        <v>30.91</v>
      </c>
      <c r="D83" s="50">
        <f>VLOOKUP($A83,'Data shares'!$C:$FM,114)</f>
        <v>29.22</v>
      </c>
      <c r="E83" s="50">
        <f>VLOOKUP($A83,'Data shares'!$C:$FM,106)</f>
        <v>33.22</v>
      </c>
      <c r="F83" s="50">
        <f>VLOOKUP($A83,'Data shares'!$C:$FM,108)</f>
        <v>-2.84</v>
      </c>
      <c r="G83" s="50">
        <f t="shared" si="2"/>
        <v>0.91450933172787474</v>
      </c>
    </row>
    <row r="84" spans="1:7" x14ac:dyDescent="0.25">
      <c r="A84" s="49" t="str">
        <f>'Data Vlaue (Cr)'!C79</f>
        <v>HDFCAMC</v>
      </c>
      <c r="B84" s="50">
        <f>VLOOKUP($A84,'Data shares'!$C:$FM,102)</f>
        <v>32.159999999999997</v>
      </c>
      <c r="C84" s="50">
        <f>VLOOKUP($A84,'Data shares'!$C:$FM,110)</f>
        <v>31.55</v>
      </c>
      <c r="D84" s="50">
        <f>VLOOKUP($A84,'Data shares'!$C:$FM,114)</f>
        <v>33.26</v>
      </c>
      <c r="E84" s="50">
        <f>VLOOKUP($A84,'Data shares'!$C:$FM,106)</f>
        <v>38.89</v>
      </c>
      <c r="F84" s="50">
        <f>VLOOKUP($A84,'Data shares'!$C:$FM,108)</f>
        <v>-6.73</v>
      </c>
      <c r="G84" s="50">
        <f t="shared" si="2"/>
        <v>0.82694780149138591</v>
      </c>
    </row>
    <row r="85" spans="1:7" x14ac:dyDescent="0.25">
      <c r="A85" s="49" t="str">
        <f>'Data Vlaue (Cr)'!C80</f>
        <v>HDFCBANK</v>
      </c>
      <c r="B85" s="50">
        <f>VLOOKUP($A85,'Data shares'!$C:$FM,102)</f>
        <v>26.02</v>
      </c>
      <c r="C85" s="50">
        <f>VLOOKUP($A85,'Data shares'!$C:$FM,110)</f>
        <v>25.72</v>
      </c>
      <c r="D85" s="50">
        <f>VLOOKUP($A85,'Data shares'!$C:$FM,114)</f>
        <v>26.53</v>
      </c>
      <c r="E85" s="50">
        <f>VLOOKUP($A85,'Data shares'!$C:$FM,106)</f>
        <v>25.21</v>
      </c>
      <c r="F85" s="50">
        <f>VLOOKUP($A85,'Data shares'!$C:$FM,108)</f>
        <v>0.81</v>
      </c>
      <c r="G85" s="50">
        <f t="shared" si="2"/>
        <v>1.032130107100357</v>
      </c>
    </row>
    <row r="86" spans="1:7" x14ac:dyDescent="0.25">
      <c r="A86" s="49" t="str">
        <f>'Data Vlaue (Cr)'!C81</f>
        <v>HDFCLIFE</v>
      </c>
      <c r="B86" s="50">
        <f>VLOOKUP($A86,'Data shares'!$C:$FM,102)</f>
        <v>27.55</v>
      </c>
      <c r="C86" s="50">
        <f>VLOOKUP($A86,'Data shares'!$C:$FM,110)</f>
        <v>27</v>
      </c>
      <c r="D86" s="50">
        <f>VLOOKUP($A86,'Data shares'!$C:$FM,114)</f>
        <v>28.59</v>
      </c>
      <c r="E86" s="50">
        <f>VLOOKUP($A86,'Data shares'!$C:$FM,106)</f>
        <v>27.56</v>
      </c>
      <c r="F86" s="50">
        <f>VLOOKUP($A86,'Data shares'!$C:$FM,108)</f>
        <v>-0.01</v>
      </c>
      <c r="G86" s="50">
        <f t="shared" si="2"/>
        <v>0.99963715529753272</v>
      </c>
    </row>
    <row r="87" spans="1:7" x14ac:dyDescent="0.25">
      <c r="A87" s="49" t="str">
        <f>'Data Vlaue (Cr)'!C82</f>
        <v>HEROMOTOCO</v>
      </c>
      <c r="B87" s="50">
        <f>VLOOKUP($A87,'Data shares'!$C:$FM,102)</f>
        <v>36.42</v>
      </c>
      <c r="C87" s="50">
        <f>VLOOKUP($A87,'Data shares'!$C:$FM,110)</f>
        <v>36.619999999999997</v>
      </c>
      <c r="D87" s="50">
        <f>VLOOKUP($A87,'Data shares'!$C:$FM,114)</f>
        <v>35.83</v>
      </c>
      <c r="E87" s="50">
        <f>VLOOKUP($A87,'Data shares'!$C:$FM,106)</f>
        <v>33.25</v>
      </c>
      <c r="F87" s="50">
        <f>VLOOKUP($A87,'Data shares'!$C:$FM,108)</f>
        <v>3.17</v>
      </c>
      <c r="G87" s="50">
        <f t="shared" si="2"/>
        <v>1.0953383458646617</v>
      </c>
    </row>
    <row r="88" spans="1:7" x14ac:dyDescent="0.25">
      <c r="A88" s="49" t="str">
        <f>'Data Vlaue (Cr)'!C83</f>
        <v>HINDALCO</v>
      </c>
      <c r="B88" s="50">
        <f>VLOOKUP($A88,'Data shares'!$C:$FM,102)</f>
        <v>34.78</v>
      </c>
      <c r="C88" s="50">
        <f>VLOOKUP($A88,'Data shares'!$C:$FM,110)</f>
        <v>34.49</v>
      </c>
      <c r="D88" s="50">
        <f>VLOOKUP($A88,'Data shares'!$C:$FM,114)</f>
        <v>35.26</v>
      </c>
      <c r="E88" s="50">
        <f>VLOOKUP($A88,'Data shares'!$C:$FM,106)</f>
        <v>36.19</v>
      </c>
      <c r="F88" s="50">
        <f>VLOOKUP($A88,'Data shares'!$C:$FM,108)</f>
        <v>-1.41</v>
      </c>
      <c r="G88" s="50">
        <f t="shared" si="2"/>
        <v>0.96103896103896114</v>
      </c>
    </row>
    <row r="89" spans="1:7" x14ac:dyDescent="0.25">
      <c r="A89" s="49" t="str">
        <f>'Data Vlaue (Cr)'!C84</f>
        <v>HINDPETRO</v>
      </c>
      <c r="B89" s="50">
        <f>VLOOKUP($A89,'Data shares'!$C:$FM,102)</f>
        <v>45.47</v>
      </c>
      <c r="C89" s="50">
        <f>VLOOKUP($A89,'Data shares'!$C:$FM,110)</f>
        <v>44.7</v>
      </c>
      <c r="D89" s="50">
        <f>VLOOKUP($A89,'Data shares'!$C:$FM,114)</f>
        <v>46.28</v>
      </c>
      <c r="E89" s="50">
        <f>VLOOKUP($A89,'Data shares'!$C:$FM,106)</f>
        <v>43.53</v>
      </c>
      <c r="F89" s="50">
        <f>VLOOKUP($A89,'Data shares'!$C:$FM,108)</f>
        <v>1.94</v>
      </c>
      <c r="G89" s="50">
        <f t="shared" si="2"/>
        <v>1.0445669653112795</v>
      </c>
    </row>
    <row r="90" spans="1:7" x14ac:dyDescent="0.25">
      <c r="A90" s="49" t="str">
        <f>'Data Vlaue (Cr)'!C85</f>
        <v>HINDUNILVR</v>
      </c>
      <c r="B90" s="50">
        <f>VLOOKUP($A90,'Data shares'!$C:$FM,102)</f>
        <v>23.55</v>
      </c>
      <c r="C90" s="50">
        <f>VLOOKUP($A90,'Data shares'!$C:$FM,110)</f>
        <v>23.47</v>
      </c>
      <c r="D90" s="50">
        <f>VLOOKUP($A90,'Data shares'!$C:$FM,114)</f>
        <v>23.71</v>
      </c>
      <c r="E90" s="50">
        <f>VLOOKUP($A90,'Data shares'!$C:$FM,106)</f>
        <v>24.8</v>
      </c>
      <c r="F90" s="50">
        <f>VLOOKUP($A90,'Data shares'!$C:$FM,108)</f>
        <v>-1.25</v>
      </c>
      <c r="G90" s="50">
        <f t="shared" si="2"/>
        <v>0.94959677419354838</v>
      </c>
    </row>
    <row r="91" spans="1:7" x14ac:dyDescent="0.25">
      <c r="A91" s="49" t="str">
        <f>'Data Vlaue (Cr)'!C86</f>
        <v>HINDZINC</v>
      </c>
      <c r="B91" s="50">
        <f>VLOOKUP($A91,'Data shares'!$C:$FM,102)</f>
        <v>36.380000000000003</v>
      </c>
      <c r="C91" s="50">
        <f>VLOOKUP($A91,'Data shares'!$C:$FM,110)</f>
        <v>36.24</v>
      </c>
      <c r="D91" s="50">
        <f>VLOOKUP($A91,'Data shares'!$C:$FM,114)</f>
        <v>36.64</v>
      </c>
      <c r="E91" s="50">
        <f>VLOOKUP($A91,'Data shares'!$C:$FM,106)</f>
        <v>50.35</v>
      </c>
      <c r="F91" s="50">
        <f>VLOOKUP($A91,'Data shares'!$C:$FM,108)</f>
        <v>-13.97</v>
      </c>
      <c r="G91" s="50">
        <f t="shared" si="2"/>
        <v>0.72254220456802387</v>
      </c>
    </row>
    <row r="92" spans="1:7" x14ac:dyDescent="0.25">
      <c r="A92" s="49" t="str">
        <f>'Data Vlaue (Cr)'!C87</f>
        <v>HYUNDAI</v>
      </c>
      <c r="B92" s="50">
        <f>VLOOKUP($A92,'Data shares'!$C:$FM,102)</f>
        <v>39.29</v>
      </c>
      <c r="C92" s="50">
        <f>VLOOKUP($A92,'Data shares'!$C:$FM,110)</f>
        <v>39.200000000000003</v>
      </c>
      <c r="D92" s="50">
        <f>VLOOKUP($A92,'Data shares'!$C:$FM,114)</f>
        <v>39.6</v>
      </c>
      <c r="E92" s="50">
        <f>VLOOKUP($A92,'Data shares'!$C:$FM,106)</f>
        <v>33.65</v>
      </c>
      <c r="F92" s="50">
        <f>VLOOKUP($A92,'Data shares'!$C:$FM,108)</f>
        <v>5.64</v>
      </c>
      <c r="G92" s="50">
        <f t="shared" si="2"/>
        <v>1.1676077265973255</v>
      </c>
    </row>
    <row r="93" spans="1:7" x14ac:dyDescent="0.25">
      <c r="A93" s="49" t="str">
        <f>'Data Vlaue (Cr)'!C88</f>
        <v>ICICIBANK</v>
      </c>
      <c r="B93" s="50">
        <f>VLOOKUP($A93,'Data shares'!$C:$FM,102)</f>
        <v>22.57</v>
      </c>
      <c r="C93" s="50">
        <f>VLOOKUP($A93,'Data shares'!$C:$FM,110)</f>
        <v>22.39</v>
      </c>
      <c r="D93" s="50">
        <f>VLOOKUP($A93,'Data shares'!$C:$FM,114)</f>
        <v>22.88</v>
      </c>
      <c r="E93" s="50">
        <f>VLOOKUP($A93,'Data shares'!$C:$FM,106)</f>
        <v>24.04</v>
      </c>
      <c r="F93" s="50">
        <f>VLOOKUP($A93,'Data shares'!$C:$FM,108)</f>
        <v>-1.47</v>
      </c>
      <c r="G93" s="50">
        <f t="shared" si="2"/>
        <v>0.93885191347753749</v>
      </c>
    </row>
    <row r="94" spans="1:7" x14ac:dyDescent="0.25">
      <c r="A94" s="49" t="str">
        <f>'Data Vlaue (Cr)'!C89</f>
        <v>ICICIGI</v>
      </c>
      <c r="B94" s="50">
        <f>VLOOKUP($A94,'Data shares'!$C:$FM,102)</f>
        <v>24.2</v>
      </c>
      <c r="C94" s="50">
        <f>VLOOKUP($A94,'Data shares'!$C:$FM,110)</f>
        <v>24.32</v>
      </c>
      <c r="D94" s="50">
        <f>VLOOKUP($A94,'Data shares'!$C:$FM,114)</f>
        <v>23.99</v>
      </c>
      <c r="E94" s="50">
        <f>VLOOKUP($A94,'Data shares'!$C:$FM,106)</f>
        <v>26.86</v>
      </c>
      <c r="F94" s="50">
        <f>VLOOKUP($A94,'Data shares'!$C:$FM,108)</f>
        <v>-2.66</v>
      </c>
      <c r="G94" s="50">
        <f t="shared" si="2"/>
        <v>0.90096798212956064</v>
      </c>
    </row>
    <row r="95" spans="1:7" x14ac:dyDescent="0.25">
      <c r="A95" s="49" t="str">
        <f>'Data Vlaue (Cr)'!C90</f>
        <v>ICICIPRULI</v>
      </c>
      <c r="B95" s="50">
        <f>VLOOKUP($A95,'Data shares'!$C:$FM,102)</f>
        <v>31.5</v>
      </c>
      <c r="C95" s="50">
        <f>VLOOKUP($A95,'Data shares'!$C:$FM,110)</f>
        <v>31.12</v>
      </c>
      <c r="D95" s="50">
        <f>VLOOKUP($A95,'Data shares'!$C:$FM,114)</f>
        <v>32.450000000000003</v>
      </c>
      <c r="E95" s="50">
        <f>VLOOKUP($A95,'Data shares'!$C:$FM,106)</f>
        <v>29.64</v>
      </c>
      <c r="F95" s="50">
        <f>VLOOKUP($A95,'Data shares'!$C:$FM,108)</f>
        <v>1.86</v>
      </c>
      <c r="G95" s="50">
        <f t="shared" si="2"/>
        <v>1.0627530364372468</v>
      </c>
    </row>
    <row r="96" spans="1:7" x14ac:dyDescent="0.25">
      <c r="A96" s="49" t="str">
        <f>'Data Vlaue (Cr)'!C91</f>
        <v>IDEA</v>
      </c>
      <c r="B96" s="50">
        <f>VLOOKUP($A96,'Data shares'!$C:$FM,102)</f>
        <v>53.39</v>
      </c>
      <c r="C96" s="50">
        <f>VLOOKUP($A96,'Data shares'!$C:$FM,110)</f>
        <v>54.28</v>
      </c>
      <c r="D96" s="50">
        <f>VLOOKUP($A96,'Data shares'!$C:$FM,114)</f>
        <v>49.7</v>
      </c>
      <c r="E96" s="50">
        <f>VLOOKUP($A96,'Data shares'!$C:$FM,106)</f>
        <v>63.52</v>
      </c>
      <c r="F96" s="50">
        <f>VLOOKUP($A96,'Data shares'!$C:$FM,108)</f>
        <v>-10.130000000000001</v>
      </c>
      <c r="G96" s="50">
        <f t="shared" si="2"/>
        <v>0.84052267002518888</v>
      </c>
    </row>
    <row r="97" spans="1:7" x14ac:dyDescent="0.25">
      <c r="A97" s="49" t="str">
        <f>'Data Vlaue (Cr)'!C92</f>
        <v>IDFCFIRSTB</v>
      </c>
      <c r="B97" s="50">
        <f>VLOOKUP($A97,'Data shares'!$C:$FM,102)</f>
        <v>31.98</v>
      </c>
      <c r="C97" s="50">
        <f>VLOOKUP($A97,'Data shares'!$C:$FM,110)</f>
        <v>31.31</v>
      </c>
      <c r="D97" s="50">
        <f>VLOOKUP($A97,'Data shares'!$C:$FM,114)</f>
        <v>32.729999999999997</v>
      </c>
      <c r="E97" s="50">
        <f>VLOOKUP($A97,'Data shares'!$C:$FM,106)</f>
        <v>41.25</v>
      </c>
      <c r="F97" s="50">
        <f>VLOOKUP($A97,'Data shares'!$C:$FM,108)</f>
        <v>-9.27</v>
      </c>
      <c r="G97" s="50">
        <f t="shared" si="2"/>
        <v>0.77527272727272734</v>
      </c>
    </row>
    <row r="98" spans="1:7" x14ac:dyDescent="0.25">
      <c r="A98" s="49" t="str">
        <f>'Data Vlaue (Cr)'!C93</f>
        <v>IEX</v>
      </c>
      <c r="B98" s="50">
        <f>VLOOKUP($A98,'Data shares'!$C:$FM,102)</f>
        <v>39.94</v>
      </c>
      <c r="C98" s="50">
        <f>VLOOKUP($A98,'Data shares'!$C:$FM,110)</f>
        <v>40.380000000000003</v>
      </c>
      <c r="D98" s="50">
        <f>VLOOKUP($A98,'Data shares'!$C:$FM,114)</f>
        <v>38.97</v>
      </c>
      <c r="E98" s="50">
        <f>VLOOKUP($A98,'Data shares'!$C:$FM,106)</f>
        <v>51.96</v>
      </c>
      <c r="F98" s="50">
        <f>VLOOKUP($A98,'Data shares'!$C:$FM,108)</f>
        <v>-12.02</v>
      </c>
      <c r="G98" s="50">
        <f t="shared" si="2"/>
        <v>0.76866820631254806</v>
      </c>
    </row>
    <row r="99" spans="1:7" x14ac:dyDescent="0.25">
      <c r="A99" s="49" t="str">
        <f>'Data Vlaue (Cr)'!C94</f>
        <v>INDHOTEL</v>
      </c>
      <c r="B99" s="50">
        <f>VLOOKUP($A99,'Data shares'!$C:$FM,102)</f>
        <v>30.9</v>
      </c>
      <c r="C99" s="50">
        <f>VLOOKUP($A99,'Data shares'!$C:$FM,110)</f>
        <v>30.27</v>
      </c>
      <c r="D99" s="50">
        <f>VLOOKUP($A99,'Data shares'!$C:$FM,114)</f>
        <v>31.77</v>
      </c>
      <c r="E99" s="50">
        <f>VLOOKUP($A99,'Data shares'!$C:$FM,106)</f>
        <v>34.85</v>
      </c>
      <c r="F99" s="50">
        <f>VLOOKUP($A99,'Data shares'!$C:$FM,108)</f>
        <v>-3.95</v>
      </c>
      <c r="G99" s="50">
        <f t="shared" si="2"/>
        <v>0.88665710186513624</v>
      </c>
    </row>
    <row r="100" spans="1:7" x14ac:dyDescent="0.25">
      <c r="A100" s="49" t="str">
        <f>'Data Vlaue (Cr)'!C95</f>
        <v>INDIANB</v>
      </c>
      <c r="B100" s="50">
        <f>VLOOKUP($A100,'Data shares'!$C:$FM,102)</f>
        <v>36.6</v>
      </c>
      <c r="C100" s="50">
        <f>VLOOKUP($A100,'Data shares'!$C:$FM,110)</f>
        <v>37.03</v>
      </c>
      <c r="D100" s="50">
        <f>VLOOKUP($A100,'Data shares'!$C:$FM,114)</f>
        <v>35.51</v>
      </c>
      <c r="E100" s="50">
        <f>VLOOKUP($A100,'Data shares'!$C:$FM,106)</f>
        <v>41.36</v>
      </c>
      <c r="F100" s="50">
        <f>VLOOKUP($A100,'Data shares'!$C:$FM,108)</f>
        <v>-4.76</v>
      </c>
      <c r="G100" s="50">
        <f t="shared" si="2"/>
        <v>0.88491295938104453</v>
      </c>
    </row>
    <row r="101" spans="1:7" x14ac:dyDescent="0.25">
      <c r="A101" s="49" t="str">
        <f>'Data Vlaue (Cr)'!C96</f>
        <v>INDIAVIX</v>
      </c>
      <c r="B101" s="50">
        <f>VLOOKUP($A101,'Data shares'!$C:$FM,102)</f>
        <v>0</v>
      </c>
      <c r="C101" s="50">
        <f>VLOOKUP($A101,'Data shares'!$C:$FM,110)</f>
        <v>0</v>
      </c>
      <c r="D101" s="50">
        <f>VLOOKUP($A101,'Data shares'!$C:$FM,114)</f>
        <v>0</v>
      </c>
      <c r="E101" s="50">
        <f>VLOOKUP($A101,'Data shares'!$C:$FM,106)</f>
        <v>0</v>
      </c>
      <c r="F101" s="50">
        <f>VLOOKUP($A101,'Data shares'!$C:$FM,108)</f>
        <v>0</v>
      </c>
      <c r="G101" s="50" t="e">
        <f t="shared" si="2"/>
        <v>#DIV/0!</v>
      </c>
    </row>
    <row r="102" spans="1:7" x14ac:dyDescent="0.25">
      <c r="A102" s="49" t="str">
        <f>'Data Vlaue (Cr)'!C97</f>
        <v>INDIGO</v>
      </c>
      <c r="B102" s="50">
        <f>VLOOKUP($A102,'Data shares'!$C:$FM,102)</f>
        <v>39.799999999999997</v>
      </c>
      <c r="C102" s="50">
        <f>VLOOKUP($A102,'Data shares'!$C:$FM,110)</f>
        <v>38.92</v>
      </c>
      <c r="D102" s="50">
        <f>VLOOKUP($A102,'Data shares'!$C:$FM,114)</f>
        <v>40.99</v>
      </c>
      <c r="E102" s="50">
        <f>VLOOKUP($A102,'Data shares'!$C:$FM,106)</f>
        <v>39.71</v>
      </c>
      <c r="F102" s="50">
        <f>VLOOKUP($A102,'Data shares'!$C:$FM,108)</f>
        <v>0.09</v>
      </c>
      <c r="G102" s="50">
        <f t="shared" si="2"/>
        <v>1.0022664316293124</v>
      </c>
    </row>
    <row r="103" spans="1:7" x14ac:dyDescent="0.25">
      <c r="A103" s="49" t="str">
        <f>'Data Vlaue (Cr)'!C98</f>
        <v>INDUSINDBK</v>
      </c>
      <c r="B103" s="50">
        <f>VLOOKUP($A103,'Data shares'!$C:$FM,102)</f>
        <v>32.92</v>
      </c>
      <c r="C103" s="50">
        <f>VLOOKUP($A103,'Data shares'!$C:$FM,110)</f>
        <v>32.6</v>
      </c>
      <c r="D103" s="50">
        <f>VLOOKUP($A103,'Data shares'!$C:$FM,114)</f>
        <v>33.299999999999997</v>
      </c>
      <c r="E103" s="50">
        <f>VLOOKUP($A103,'Data shares'!$C:$FM,106)</f>
        <v>43.43</v>
      </c>
      <c r="F103" s="50">
        <f>VLOOKUP($A103,'Data shares'!$C:$FM,108)</f>
        <v>-10.51</v>
      </c>
      <c r="G103" s="50">
        <f t="shared" ref="G103:G134" si="3">B103/E103</f>
        <v>0.75800138153350227</v>
      </c>
    </row>
    <row r="104" spans="1:7" x14ac:dyDescent="0.25">
      <c r="A104" s="49" t="str">
        <f>'Data Vlaue (Cr)'!C99</f>
        <v>INDUSTOWER</v>
      </c>
      <c r="B104" s="50">
        <f>VLOOKUP($A104,'Data shares'!$C:$FM,102)</f>
        <v>30.27</v>
      </c>
      <c r="C104" s="50">
        <f>VLOOKUP($A104,'Data shares'!$C:$FM,110)</f>
        <v>30.73</v>
      </c>
      <c r="D104" s="50">
        <f>VLOOKUP($A104,'Data shares'!$C:$FM,114)</f>
        <v>29.3</v>
      </c>
      <c r="E104" s="50">
        <f>VLOOKUP($A104,'Data shares'!$C:$FM,106)</f>
        <v>37.43</v>
      </c>
      <c r="F104" s="50">
        <f>VLOOKUP($A104,'Data shares'!$C:$FM,108)</f>
        <v>-7.16</v>
      </c>
      <c r="G104" s="50">
        <f t="shared" si="3"/>
        <v>0.80870959123697572</v>
      </c>
    </row>
    <row r="105" spans="1:7" x14ac:dyDescent="0.25">
      <c r="A105" s="49" t="str">
        <f>'Data Vlaue (Cr)'!C100</f>
        <v>INFY</v>
      </c>
      <c r="B105" s="50">
        <f>VLOOKUP($A105,'Data shares'!$C:$FM,102)</f>
        <v>31.22</v>
      </c>
      <c r="C105" s="50">
        <f>VLOOKUP($A105,'Data shares'!$C:$FM,110)</f>
        <v>31.65</v>
      </c>
      <c r="D105" s="50">
        <f>VLOOKUP($A105,'Data shares'!$C:$FM,114)</f>
        <v>30.4</v>
      </c>
      <c r="E105" s="50">
        <f>VLOOKUP($A105,'Data shares'!$C:$FM,106)</f>
        <v>32.4</v>
      </c>
      <c r="F105" s="50">
        <f>VLOOKUP($A105,'Data shares'!$C:$FM,108)</f>
        <v>-1.18</v>
      </c>
      <c r="G105" s="50">
        <f t="shared" si="3"/>
        <v>0.96358024691358024</v>
      </c>
    </row>
    <row r="106" spans="1:7" x14ac:dyDescent="0.25">
      <c r="A106" s="49" t="str">
        <f>'Data Vlaue (Cr)'!C101</f>
        <v>INOXWIND</v>
      </c>
      <c r="B106" s="50">
        <f>VLOOKUP($A106,'Data shares'!$C:$FM,102)</f>
        <v>52.55</v>
      </c>
      <c r="C106" s="50">
        <f>VLOOKUP($A106,'Data shares'!$C:$FM,110)</f>
        <v>52.66</v>
      </c>
      <c r="D106" s="50">
        <f>VLOOKUP($A106,'Data shares'!$C:$FM,114)</f>
        <v>52.27</v>
      </c>
      <c r="E106" s="50">
        <f>VLOOKUP($A106,'Data shares'!$C:$FM,106)</f>
        <v>53.82</v>
      </c>
      <c r="F106" s="50">
        <f>VLOOKUP($A106,'Data shares'!$C:$FM,108)</f>
        <v>-1.27</v>
      </c>
      <c r="G106" s="50">
        <f t="shared" si="3"/>
        <v>0.97640282422891111</v>
      </c>
    </row>
    <row r="107" spans="1:7" x14ac:dyDescent="0.25">
      <c r="A107" s="49" t="str">
        <f>'Data Vlaue (Cr)'!C102</f>
        <v>IOC</v>
      </c>
      <c r="B107" s="50">
        <f>VLOOKUP($A107,'Data shares'!$C:$FM,102)</f>
        <v>35.94</v>
      </c>
      <c r="C107" s="50">
        <f>VLOOKUP($A107,'Data shares'!$C:$FM,110)</f>
        <v>36.15</v>
      </c>
      <c r="D107" s="50">
        <f>VLOOKUP($A107,'Data shares'!$C:$FM,114)</f>
        <v>35.549999999999997</v>
      </c>
      <c r="E107" s="50">
        <f>VLOOKUP($A107,'Data shares'!$C:$FM,106)</f>
        <v>33.56</v>
      </c>
      <c r="F107" s="50">
        <f>VLOOKUP($A107,'Data shares'!$C:$FM,108)</f>
        <v>2.38</v>
      </c>
      <c r="G107" s="50">
        <f t="shared" si="3"/>
        <v>1.070917759237187</v>
      </c>
    </row>
    <row r="108" spans="1:7" x14ac:dyDescent="0.25">
      <c r="A108" s="49" t="str">
        <f>'Data Vlaue (Cr)'!C103</f>
        <v>IREDA</v>
      </c>
      <c r="B108" s="50">
        <f>VLOOKUP($A108,'Data shares'!$C:$FM,102)</f>
        <v>42.96</v>
      </c>
      <c r="C108" s="50">
        <f>VLOOKUP($A108,'Data shares'!$C:$FM,110)</f>
        <v>42.56</v>
      </c>
      <c r="D108" s="50">
        <f>VLOOKUP($A108,'Data shares'!$C:$FM,114)</f>
        <v>43.93</v>
      </c>
      <c r="E108" s="50">
        <f>VLOOKUP($A108,'Data shares'!$C:$FM,106)</f>
        <v>49.19</v>
      </c>
      <c r="F108" s="50">
        <f>VLOOKUP($A108,'Data shares'!$C:$FM,108)</f>
        <v>-6.23</v>
      </c>
      <c r="G108" s="50">
        <f t="shared" si="3"/>
        <v>0.87334824151250257</v>
      </c>
    </row>
    <row r="109" spans="1:7" x14ac:dyDescent="0.25">
      <c r="A109" s="49" t="str">
        <f>'Data Vlaue (Cr)'!C104</f>
        <v>IRFC</v>
      </c>
      <c r="B109" s="50">
        <f>VLOOKUP($A109,'Data shares'!$C:$FM,102)</f>
        <v>40.630000000000003</v>
      </c>
      <c r="C109" s="50">
        <f>VLOOKUP($A109,'Data shares'!$C:$FM,110)</f>
        <v>40.18</v>
      </c>
      <c r="D109" s="50">
        <f>VLOOKUP($A109,'Data shares'!$C:$FM,114)</f>
        <v>41.5</v>
      </c>
      <c r="E109" s="50">
        <f>VLOOKUP($A109,'Data shares'!$C:$FM,106)</f>
        <v>44.95</v>
      </c>
      <c r="F109" s="50">
        <f>VLOOKUP($A109,'Data shares'!$C:$FM,108)</f>
        <v>-4.32</v>
      </c>
      <c r="G109" s="50">
        <f t="shared" si="3"/>
        <v>0.90389321468298112</v>
      </c>
    </row>
    <row r="110" spans="1:7" x14ac:dyDescent="0.25">
      <c r="A110" s="49" t="str">
        <f>'Data Vlaue (Cr)'!C105</f>
        <v>ITC</v>
      </c>
      <c r="B110" s="50">
        <f>VLOOKUP($A110,'Data shares'!$C:$FM,102)</f>
        <v>22.31</v>
      </c>
      <c r="C110" s="50">
        <f>VLOOKUP($A110,'Data shares'!$C:$FM,110)</f>
        <v>22.34</v>
      </c>
      <c r="D110" s="50">
        <f>VLOOKUP($A110,'Data shares'!$C:$FM,114)</f>
        <v>22.21</v>
      </c>
      <c r="E110" s="50">
        <f>VLOOKUP($A110,'Data shares'!$C:$FM,106)</f>
        <v>24.7</v>
      </c>
      <c r="F110" s="50">
        <f>VLOOKUP($A110,'Data shares'!$C:$FM,108)</f>
        <v>-2.39</v>
      </c>
      <c r="G110" s="50">
        <f t="shared" si="3"/>
        <v>0.9032388663967611</v>
      </c>
    </row>
    <row r="111" spans="1:7" x14ac:dyDescent="0.25">
      <c r="A111" s="49" t="str">
        <f>'Data Vlaue (Cr)'!C106</f>
        <v>JINDALSTEL</v>
      </c>
      <c r="B111" s="50">
        <f>VLOOKUP($A111,'Data shares'!$C:$FM,102)</f>
        <v>29.86</v>
      </c>
      <c r="C111" s="50">
        <f>VLOOKUP($A111,'Data shares'!$C:$FM,110)</f>
        <v>29.41</v>
      </c>
      <c r="D111" s="50">
        <f>VLOOKUP($A111,'Data shares'!$C:$FM,114)</f>
        <v>30.64</v>
      </c>
      <c r="E111" s="50">
        <f>VLOOKUP($A111,'Data shares'!$C:$FM,106)</f>
        <v>37.83</v>
      </c>
      <c r="F111" s="50">
        <f>VLOOKUP($A111,'Data shares'!$C:$FM,108)</f>
        <v>-7.97</v>
      </c>
      <c r="G111" s="50">
        <f t="shared" si="3"/>
        <v>0.78932064499074805</v>
      </c>
    </row>
    <row r="112" spans="1:7" x14ac:dyDescent="0.25">
      <c r="A112" s="49" t="str">
        <f>'Data Vlaue (Cr)'!C107</f>
        <v>JIOFIN</v>
      </c>
      <c r="B112" s="50">
        <f>VLOOKUP($A112,'Data shares'!$C:$FM,102)</f>
        <v>36.159999999999997</v>
      </c>
      <c r="C112" s="50">
        <f>VLOOKUP($A112,'Data shares'!$C:$FM,110)</f>
        <v>36.01</v>
      </c>
      <c r="D112" s="50">
        <f>VLOOKUP($A112,'Data shares'!$C:$FM,114)</f>
        <v>36.479999999999997</v>
      </c>
      <c r="E112" s="50">
        <f>VLOOKUP($A112,'Data shares'!$C:$FM,106)</f>
        <v>37.83</v>
      </c>
      <c r="F112" s="50">
        <f>VLOOKUP($A112,'Data shares'!$C:$FM,108)</f>
        <v>-1.67</v>
      </c>
      <c r="G112" s="50">
        <f t="shared" si="3"/>
        <v>0.95585514142215167</v>
      </c>
    </row>
    <row r="113" spans="1:7" x14ac:dyDescent="0.25">
      <c r="A113" s="49" t="str">
        <f>'Data Vlaue (Cr)'!C108</f>
        <v>JSWENERGY</v>
      </c>
      <c r="B113" s="50">
        <f>VLOOKUP($A113,'Data shares'!$C:$FM,102)</f>
        <v>39.76</v>
      </c>
      <c r="C113" s="50">
        <f>VLOOKUP($A113,'Data shares'!$C:$FM,110)</f>
        <v>39.700000000000003</v>
      </c>
      <c r="D113" s="50">
        <f>VLOOKUP($A113,'Data shares'!$C:$FM,114)</f>
        <v>39.94</v>
      </c>
      <c r="E113" s="50">
        <f>VLOOKUP($A113,'Data shares'!$C:$FM,106)</f>
        <v>42.98</v>
      </c>
      <c r="F113" s="50">
        <f>VLOOKUP($A113,'Data shares'!$C:$FM,108)</f>
        <v>-3.22</v>
      </c>
      <c r="G113" s="50">
        <f t="shared" si="3"/>
        <v>0.92508143322475567</v>
      </c>
    </row>
    <row r="114" spans="1:7" x14ac:dyDescent="0.25">
      <c r="A114" s="49" t="str">
        <f>'Data Vlaue (Cr)'!C109</f>
        <v>JSWSTEEL</v>
      </c>
      <c r="B114" s="50">
        <f>VLOOKUP($A114,'Data shares'!$C:$FM,102)</f>
        <v>30.08</v>
      </c>
      <c r="C114" s="50">
        <f>VLOOKUP($A114,'Data shares'!$C:$FM,110)</f>
        <v>30.07</v>
      </c>
      <c r="D114" s="50">
        <f>VLOOKUP($A114,'Data shares'!$C:$FM,114)</f>
        <v>30.1</v>
      </c>
      <c r="E114" s="50">
        <f>VLOOKUP($A114,'Data shares'!$C:$FM,106)</f>
        <v>31.71</v>
      </c>
      <c r="F114" s="50">
        <f>VLOOKUP($A114,'Data shares'!$C:$FM,108)</f>
        <v>-1.63</v>
      </c>
      <c r="G114" s="50">
        <f t="shared" si="3"/>
        <v>0.94859665720592867</v>
      </c>
    </row>
    <row r="115" spans="1:7" x14ac:dyDescent="0.25">
      <c r="A115" s="49" t="str">
        <f>'Data Vlaue (Cr)'!C110</f>
        <v>JUBLFOOD</v>
      </c>
      <c r="B115" s="50">
        <f>VLOOKUP($A115,'Data shares'!$C:$FM,102)</f>
        <v>39.049999999999997</v>
      </c>
      <c r="C115" s="50">
        <f>VLOOKUP($A115,'Data shares'!$C:$FM,110)</f>
        <v>38.369999999999997</v>
      </c>
      <c r="D115" s="50">
        <f>VLOOKUP($A115,'Data shares'!$C:$FM,114)</f>
        <v>40.130000000000003</v>
      </c>
      <c r="E115" s="50">
        <f>VLOOKUP($A115,'Data shares'!$C:$FM,106)</f>
        <v>38.020000000000003</v>
      </c>
      <c r="F115" s="50">
        <f>VLOOKUP($A115,'Data shares'!$C:$FM,108)</f>
        <v>1.03</v>
      </c>
      <c r="G115" s="50">
        <f t="shared" si="3"/>
        <v>1.0270910047343502</v>
      </c>
    </row>
    <row r="116" spans="1:7" x14ac:dyDescent="0.25">
      <c r="A116" s="49" t="str">
        <f>'Data Vlaue (Cr)'!C111</f>
        <v>KALYANKJIL</v>
      </c>
      <c r="B116" s="50">
        <f>VLOOKUP($A116,'Data shares'!$C:$FM,102)</f>
        <v>43.54</v>
      </c>
      <c r="C116" s="50">
        <f>VLOOKUP($A116,'Data shares'!$C:$FM,110)</f>
        <v>43.5</v>
      </c>
      <c r="D116" s="50">
        <f>VLOOKUP($A116,'Data shares'!$C:$FM,114)</f>
        <v>43.61</v>
      </c>
      <c r="E116" s="50">
        <f>VLOOKUP($A116,'Data shares'!$C:$FM,106)</f>
        <v>51.38</v>
      </c>
      <c r="F116" s="50">
        <f>VLOOKUP($A116,'Data shares'!$C:$FM,108)</f>
        <v>-7.84</v>
      </c>
      <c r="G116" s="50">
        <f t="shared" si="3"/>
        <v>0.84741144414168934</v>
      </c>
    </row>
    <row r="117" spans="1:7" x14ac:dyDescent="0.25">
      <c r="A117" s="49" t="str">
        <f>'Data Vlaue (Cr)'!C112</f>
        <v>KAYNES</v>
      </c>
      <c r="B117" s="50">
        <f>VLOOKUP($A117,'Data shares'!$C:$FM,102)</f>
        <v>53.98</v>
      </c>
      <c r="C117" s="50">
        <f>VLOOKUP($A117,'Data shares'!$C:$FM,110)</f>
        <v>54.15</v>
      </c>
      <c r="D117" s="50">
        <f>VLOOKUP($A117,'Data shares'!$C:$FM,114)</f>
        <v>53.53</v>
      </c>
      <c r="E117" s="50">
        <f>VLOOKUP($A117,'Data shares'!$C:$FM,106)</f>
        <v>60.29</v>
      </c>
      <c r="F117" s="50">
        <f>VLOOKUP($A117,'Data shares'!$C:$FM,108)</f>
        <v>-6.31</v>
      </c>
      <c r="G117" s="50">
        <f t="shared" si="3"/>
        <v>0.89533919389616845</v>
      </c>
    </row>
    <row r="118" spans="1:7" x14ac:dyDescent="0.25">
      <c r="A118" s="49" t="str">
        <f>'Data Vlaue (Cr)'!C113</f>
        <v>KEI</v>
      </c>
      <c r="B118" s="50">
        <f>VLOOKUP($A118,'Data shares'!$C:$FM,102)</f>
        <v>44.85</v>
      </c>
      <c r="C118" s="50">
        <f>VLOOKUP($A118,'Data shares'!$C:$FM,110)</f>
        <v>43.6</v>
      </c>
      <c r="D118" s="50">
        <f>VLOOKUP($A118,'Data shares'!$C:$FM,114)</f>
        <v>47.77</v>
      </c>
      <c r="E118" s="50">
        <f>VLOOKUP($A118,'Data shares'!$C:$FM,106)</f>
        <v>46.05</v>
      </c>
      <c r="F118" s="50">
        <f>VLOOKUP($A118,'Data shares'!$C:$FM,108)</f>
        <v>-1.2</v>
      </c>
      <c r="G118" s="50">
        <f t="shared" si="3"/>
        <v>0.973941368078176</v>
      </c>
    </row>
    <row r="119" spans="1:7" x14ac:dyDescent="0.25">
      <c r="A119" s="49" t="str">
        <f>'Data Vlaue (Cr)'!C114</f>
        <v>KFINTECH</v>
      </c>
      <c r="B119" s="50">
        <f>VLOOKUP($A119,'Data shares'!$C:$FM,102)</f>
        <v>43.58</v>
      </c>
      <c r="C119" s="50">
        <f>VLOOKUP($A119,'Data shares'!$C:$FM,110)</f>
        <v>44.34</v>
      </c>
      <c r="D119" s="50">
        <f>VLOOKUP($A119,'Data shares'!$C:$FM,114)</f>
        <v>42.02</v>
      </c>
      <c r="E119" s="50">
        <f>VLOOKUP($A119,'Data shares'!$C:$FM,106)</f>
        <v>51.36</v>
      </c>
      <c r="F119" s="50">
        <f>VLOOKUP($A119,'Data shares'!$C:$FM,108)</f>
        <v>-7.78</v>
      </c>
      <c r="G119" s="50">
        <f t="shared" si="3"/>
        <v>0.84852024922118374</v>
      </c>
    </row>
    <row r="120" spans="1:7" x14ac:dyDescent="0.25">
      <c r="A120" s="49" t="str">
        <f>'Data Vlaue (Cr)'!C115</f>
        <v>KOTAKBANK</v>
      </c>
      <c r="B120" s="50">
        <f>VLOOKUP($A120,'Data shares'!$C:$FM,102)</f>
        <v>27</v>
      </c>
      <c r="C120" s="50">
        <f>VLOOKUP($A120,'Data shares'!$C:$FM,110)</f>
        <v>26.84</v>
      </c>
      <c r="D120" s="50">
        <f>VLOOKUP($A120,'Data shares'!$C:$FM,114)</f>
        <v>27.34</v>
      </c>
      <c r="E120" s="50">
        <f>VLOOKUP($A120,'Data shares'!$C:$FM,106)</f>
        <v>27.34</v>
      </c>
      <c r="F120" s="50">
        <f>VLOOKUP($A120,'Data shares'!$C:$FM,108)</f>
        <v>-0.34</v>
      </c>
      <c r="G120" s="50">
        <f t="shared" si="3"/>
        <v>0.98756400877834671</v>
      </c>
    </row>
    <row r="121" spans="1:7" x14ac:dyDescent="0.25">
      <c r="A121" s="49" t="str">
        <f>'Data Vlaue (Cr)'!C116</f>
        <v>KPITTECH</v>
      </c>
      <c r="B121" s="50">
        <f>VLOOKUP($A121,'Data shares'!$C:$FM,102)</f>
        <v>46.79</v>
      </c>
      <c r="C121" s="50">
        <f>VLOOKUP($A121,'Data shares'!$C:$FM,110)</f>
        <v>46.39</v>
      </c>
      <c r="D121" s="50">
        <f>VLOOKUP($A121,'Data shares'!$C:$FM,114)</f>
        <v>48.35</v>
      </c>
      <c r="E121" s="50">
        <f>VLOOKUP($A121,'Data shares'!$C:$FM,106)</f>
        <v>44.73</v>
      </c>
      <c r="F121" s="50">
        <f>VLOOKUP($A121,'Data shares'!$C:$FM,108)</f>
        <v>2.06</v>
      </c>
      <c r="G121" s="50">
        <f t="shared" si="3"/>
        <v>1.0460541023921306</v>
      </c>
    </row>
    <row r="122" spans="1:7" x14ac:dyDescent="0.25">
      <c r="A122" s="49" t="str">
        <f>'Data Vlaue (Cr)'!C117</f>
        <v>LAURUSLABS</v>
      </c>
      <c r="B122" s="50">
        <f>VLOOKUP($A122,'Data shares'!$C:$FM,102)</f>
        <v>32.36</v>
      </c>
      <c r="C122" s="50">
        <f>VLOOKUP($A122,'Data shares'!$C:$FM,110)</f>
        <v>31.64</v>
      </c>
      <c r="D122" s="50">
        <f>VLOOKUP($A122,'Data shares'!$C:$FM,114)</f>
        <v>33.97</v>
      </c>
      <c r="E122" s="50">
        <f>VLOOKUP($A122,'Data shares'!$C:$FM,106)</f>
        <v>39.89</v>
      </c>
      <c r="F122" s="50">
        <f>VLOOKUP($A122,'Data shares'!$C:$FM,108)</f>
        <v>-7.53</v>
      </c>
      <c r="G122" s="50">
        <f t="shared" si="3"/>
        <v>0.81123088493356732</v>
      </c>
    </row>
    <row r="123" spans="1:7" x14ac:dyDescent="0.25">
      <c r="A123" s="49" t="str">
        <f>'Data Vlaue (Cr)'!C118</f>
        <v>LICHSGFIN</v>
      </c>
      <c r="B123" s="50">
        <f>VLOOKUP($A123,'Data shares'!$C:$FM,102)</f>
        <v>31.98</v>
      </c>
      <c r="C123" s="50">
        <f>VLOOKUP($A123,'Data shares'!$C:$FM,110)</f>
        <v>31.74</v>
      </c>
      <c r="D123" s="50">
        <f>VLOOKUP($A123,'Data shares'!$C:$FM,114)</f>
        <v>32.58</v>
      </c>
      <c r="E123" s="50">
        <f>VLOOKUP($A123,'Data shares'!$C:$FM,106)</f>
        <v>33.47</v>
      </c>
      <c r="F123" s="50">
        <f>VLOOKUP($A123,'Data shares'!$C:$FM,108)</f>
        <v>-1.49</v>
      </c>
      <c r="G123" s="50">
        <f t="shared" si="3"/>
        <v>0.95548252166118919</v>
      </c>
    </row>
    <row r="124" spans="1:7" x14ac:dyDescent="0.25">
      <c r="A124" s="49" t="str">
        <f>'Data Vlaue (Cr)'!C119</f>
        <v>LICI</v>
      </c>
      <c r="B124" s="50">
        <f>VLOOKUP($A124,'Data shares'!$C:$FM,102)</f>
        <v>29.73</v>
      </c>
      <c r="C124" s="50">
        <f>VLOOKUP($A124,'Data shares'!$C:$FM,110)</f>
        <v>29.85</v>
      </c>
      <c r="D124" s="50">
        <f>VLOOKUP($A124,'Data shares'!$C:$FM,114)</f>
        <v>29.38</v>
      </c>
      <c r="E124" s="50">
        <f>VLOOKUP($A124,'Data shares'!$C:$FM,106)</f>
        <v>32.82</v>
      </c>
      <c r="F124" s="50">
        <f>VLOOKUP($A124,'Data shares'!$C:$FM,108)</f>
        <v>-3.09</v>
      </c>
      <c r="G124" s="50">
        <f t="shared" si="3"/>
        <v>0.90585009140767825</v>
      </c>
    </row>
    <row r="125" spans="1:7" x14ac:dyDescent="0.25">
      <c r="A125" s="49" t="str">
        <f>'Data Vlaue (Cr)'!C120</f>
        <v>LODHA</v>
      </c>
      <c r="B125" s="50">
        <f>VLOOKUP($A125,'Data shares'!$C:$FM,102)</f>
        <v>39.659999999999997</v>
      </c>
      <c r="C125" s="50">
        <f>VLOOKUP($A125,'Data shares'!$C:$FM,110)</f>
        <v>39.46</v>
      </c>
      <c r="D125" s="50">
        <f>VLOOKUP($A125,'Data shares'!$C:$FM,114)</f>
        <v>40.22</v>
      </c>
      <c r="E125" s="50">
        <f>VLOOKUP($A125,'Data shares'!$C:$FM,106)</f>
        <v>47.85</v>
      </c>
      <c r="F125" s="50">
        <f>VLOOKUP($A125,'Data shares'!$C:$FM,108)</f>
        <v>-8.19</v>
      </c>
      <c r="G125" s="50">
        <f t="shared" si="3"/>
        <v>0.82884012539184948</v>
      </c>
    </row>
    <row r="126" spans="1:7" x14ac:dyDescent="0.25">
      <c r="A126" s="49" t="str">
        <f>'Data Vlaue (Cr)'!C121</f>
        <v>LT</v>
      </c>
      <c r="B126" s="50">
        <f>VLOOKUP($A126,'Data shares'!$C:$FM,102)</f>
        <v>30.75</v>
      </c>
      <c r="C126" s="50">
        <f>VLOOKUP($A126,'Data shares'!$C:$FM,110)</f>
        <v>30.21</v>
      </c>
      <c r="D126" s="50">
        <f>VLOOKUP($A126,'Data shares'!$C:$FM,114)</f>
        <v>32.21</v>
      </c>
      <c r="E126" s="50">
        <f>VLOOKUP($A126,'Data shares'!$C:$FM,106)</f>
        <v>33.630000000000003</v>
      </c>
      <c r="F126" s="50">
        <f>VLOOKUP($A126,'Data shares'!$C:$FM,108)</f>
        <v>-2.88</v>
      </c>
      <c r="G126" s="50">
        <f t="shared" si="3"/>
        <v>0.91436217662801067</v>
      </c>
    </row>
    <row r="127" spans="1:7" x14ac:dyDescent="0.25">
      <c r="A127" s="49" t="str">
        <f>'Data Vlaue (Cr)'!C122</f>
        <v>LTF</v>
      </c>
      <c r="B127" s="50">
        <f>VLOOKUP($A127,'Data shares'!$C:$FM,102)</f>
        <v>37.36</v>
      </c>
      <c r="C127" s="50">
        <f>VLOOKUP($A127,'Data shares'!$C:$FM,110)</f>
        <v>37.130000000000003</v>
      </c>
      <c r="D127" s="50">
        <f>VLOOKUP($A127,'Data shares'!$C:$FM,114)</f>
        <v>38.08</v>
      </c>
      <c r="E127" s="50">
        <f>VLOOKUP($A127,'Data shares'!$C:$FM,106)</f>
        <v>40.869999999999997</v>
      </c>
      <c r="F127" s="50">
        <f>VLOOKUP($A127,'Data shares'!$C:$FM,108)</f>
        <v>-3.51</v>
      </c>
      <c r="G127" s="50">
        <f t="shared" si="3"/>
        <v>0.91411793491558602</v>
      </c>
    </row>
    <row r="128" spans="1:7" x14ac:dyDescent="0.25">
      <c r="A128" s="49" t="str">
        <f>'Data Vlaue (Cr)'!C123</f>
        <v>LTM</v>
      </c>
      <c r="B128" s="50">
        <f>VLOOKUP($A128,'Data shares'!$C:$FM,102)</f>
        <v>33.21</v>
      </c>
      <c r="C128" s="50">
        <f>VLOOKUP($A128,'Data shares'!$C:$FM,110)</f>
        <v>32.93</v>
      </c>
      <c r="D128" s="50">
        <f>VLOOKUP($A128,'Data shares'!$C:$FM,114)</f>
        <v>33.799999999999997</v>
      </c>
      <c r="E128" s="50">
        <f>VLOOKUP($A128,'Data shares'!$C:$FM,106)</f>
        <v>36.380000000000003</v>
      </c>
      <c r="F128" s="50">
        <f>VLOOKUP($A128,'Data shares'!$C:$FM,108)</f>
        <v>-3.17</v>
      </c>
      <c r="G128" s="50">
        <f t="shared" si="3"/>
        <v>0.91286421110500271</v>
      </c>
    </row>
    <row r="129" spans="1:7" x14ac:dyDescent="0.25">
      <c r="A129" s="49" t="str">
        <f>'Data Vlaue (Cr)'!C124</f>
        <v>LUPIN</v>
      </c>
      <c r="B129" s="50">
        <f>VLOOKUP($A129,'Data shares'!$C:$FM,102)</f>
        <v>31.55</v>
      </c>
      <c r="C129" s="50">
        <f>VLOOKUP($A129,'Data shares'!$C:$FM,110)</f>
        <v>31.59</v>
      </c>
      <c r="D129" s="50">
        <f>VLOOKUP($A129,'Data shares'!$C:$FM,114)</f>
        <v>31.41</v>
      </c>
      <c r="E129" s="50">
        <f>VLOOKUP($A129,'Data shares'!$C:$FM,106)</f>
        <v>27.67</v>
      </c>
      <c r="F129" s="50">
        <f>VLOOKUP($A129,'Data shares'!$C:$FM,108)</f>
        <v>3.88</v>
      </c>
      <c r="G129" s="50">
        <f t="shared" si="3"/>
        <v>1.1402240693892303</v>
      </c>
    </row>
    <row r="130" spans="1:7" x14ac:dyDescent="0.25">
      <c r="A130" s="49" t="str">
        <f>'Data Vlaue (Cr)'!C125</f>
        <v>M&amp;M</v>
      </c>
      <c r="B130" s="50">
        <f>VLOOKUP($A130,'Data shares'!$C:$FM,102)</f>
        <v>38.130000000000003</v>
      </c>
      <c r="C130" s="50">
        <f>VLOOKUP($A130,'Data shares'!$C:$FM,110)</f>
        <v>38.07</v>
      </c>
      <c r="D130" s="50">
        <f>VLOOKUP($A130,'Data shares'!$C:$FM,114)</f>
        <v>38.26</v>
      </c>
      <c r="E130" s="50">
        <f>VLOOKUP($A130,'Data shares'!$C:$FM,106)</f>
        <v>35.6</v>
      </c>
      <c r="F130" s="50">
        <f>VLOOKUP($A130,'Data shares'!$C:$FM,108)</f>
        <v>2.5299999999999998</v>
      </c>
      <c r="G130" s="50">
        <f t="shared" si="3"/>
        <v>1.071067415730337</v>
      </c>
    </row>
    <row r="131" spans="1:7" x14ac:dyDescent="0.25">
      <c r="A131" s="49" t="str">
        <f>'Data Vlaue (Cr)'!C126</f>
        <v>MANAPPURAM</v>
      </c>
      <c r="B131" s="50">
        <f>VLOOKUP($A131,'Data shares'!$C:$FM,102)</f>
        <v>42.83</v>
      </c>
      <c r="C131" s="50">
        <f>VLOOKUP($A131,'Data shares'!$C:$FM,110)</f>
        <v>42.55</v>
      </c>
      <c r="D131" s="50">
        <f>VLOOKUP($A131,'Data shares'!$C:$FM,114)</f>
        <v>43.46</v>
      </c>
      <c r="E131" s="50">
        <f>VLOOKUP($A131,'Data shares'!$C:$FM,106)</f>
        <v>42.83</v>
      </c>
      <c r="F131" s="50">
        <f>VLOOKUP($A131,'Data shares'!$C:$FM,108)</f>
        <v>0</v>
      </c>
      <c r="G131" s="50">
        <f t="shared" si="3"/>
        <v>1</v>
      </c>
    </row>
    <row r="132" spans="1:7" x14ac:dyDescent="0.25">
      <c r="A132" s="49" t="str">
        <f>'Data Vlaue (Cr)'!C127</f>
        <v>MANKIND</v>
      </c>
      <c r="B132" s="50">
        <f>VLOOKUP($A132,'Data shares'!$C:$FM,102)</f>
        <v>35.54</v>
      </c>
      <c r="C132" s="50">
        <f>VLOOKUP($A132,'Data shares'!$C:$FM,110)</f>
        <v>35.479999999999997</v>
      </c>
      <c r="D132" s="50">
        <f>VLOOKUP($A132,'Data shares'!$C:$FM,114)</f>
        <v>35.79</v>
      </c>
      <c r="E132" s="50">
        <f>VLOOKUP($A132,'Data shares'!$C:$FM,106)</f>
        <v>33.44</v>
      </c>
      <c r="F132" s="50">
        <f>VLOOKUP($A132,'Data shares'!$C:$FM,108)</f>
        <v>2.1</v>
      </c>
      <c r="G132" s="50">
        <f t="shared" si="3"/>
        <v>1.062799043062201</v>
      </c>
    </row>
    <row r="133" spans="1:7" x14ac:dyDescent="0.25">
      <c r="A133" s="49" t="str">
        <f>'Data Vlaue (Cr)'!C128</f>
        <v>MARICO</v>
      </c>
      <c r="B133" s="50">
        <f>VLOOKUP($A133,'Data shares'!$C:$FM,102)</f>
        <v>30.2</v>
      </c>
      <c r="C133" s="50">
        <f>VLOOKUP($A133,'Data shares'!$C:$FM,110)</f>
        <v>29.33</v>
      </c>
      <c r="D133" s="50">
        <f>VLOOKUP($A133,'Data shares'!$C:$FM,114)</f>
        <v>31.25</v>
      </c>
      <c r="E133" s="50">
        <f>VLOOKUP($A133,'Data shares'!$C:$FM,106)</f>
        <v>24.39</v>
      </c>
      <c r="F133" s="50">
        <f>VLOOKUP($A133,'Data shares'!$C:$FM,108)</f>
        <v>5.81</v>
      </c>
      <c r="G133" s="50">
        <f t="shared" si="3"/>
        <v>1.2382123821238211</v>
      </c>
    </row>
    <row r="134" spans="1:7" x14ac:dyDescent="0.25">
      <c r="A134" s="49" t="str">
        <f>'Data Vlaue (Cr)'!C129</f>
        <v>MARUTI</v>
      </c>
      <c r="B134" s="50">
        <f>VLOOKUP($A134,'Data shares'!$C:$FM,102)</f>
        <v>26.69</v>
      </c>
      <c r="C134" s="50">
        <f>VLOOKUP($A134,'Data shares'!$C:$FM,110)</f>
        <v>26.13</v>
      </c>
      <c r="D134" s="50">
        <f>VLOOKUP($A134,'Data shares'!$C:$FM,114)</f>
        <v>27.78</v>
      </c>
      <c r="E134" s="50">
        <f>VLOOKUP($A134,'Data shares'!$C:$FM,106)</f>
        <v>29</v>
      </c>
      <c r="F134" s="50">
        <f>VLOOKUP($A134,'Data shares'!$C:$FM,108)</f>
        <v>-2.31</v>
      </c>
      <c r="G134" s="50">
        <f t="shared" si="3"/>
        <v>0.92034482758620695</v>
      </c>
    </row>
    <row r="135" spans="1:7" x14ac:dyDescent="0.25">
      <c r="A135" s="49" t="str">
        <f>'Data Vlaue (Cr)'!C130</f>
        <v>MAXHEALTH</v>
      </c>
      <c r="B135" s="50">
        <f>VLOOKUP($A135,'Data shares'!$C:$FM,102)</f>
        <v>31.69</v>
      </c>
      <c r="C135" s="50">
        <f>VLOOKUP($A135,'Data shares'!$C:$FM,110)</f>
        <v>31.69</v>
      </c>
      <c r="D135" s="50">
        <f>VLOOKUP($A135,'Data shares'!$C:$FM,114)</f>
        <v>31.7</v>
      </c>
      <c r="E135" s="50">
        <f>VLOOKUP($A135,'Data shares'!$C:$FM,106)</f>
        <v>35.659999999999997</v>
      </c>
      <c r="F135" s="50">
        <f>VLOOKUP($A135,'Data shares'!$C:$FM,108)</f>
        <v>-3.97</v>
      </c>
      <c r="G135" s="50">
        <f t="shared" ref="G135:G166" si="4">B135/E135</f>
        <v>0.88867077958496932</v>
      </c>
    </row>
    <row r="136" spans="1:7" x14ac:dyDescent="0.25">
      <c r="A136" s="49" t="str">
        <f>'Data Vlaue (Cr)'!C131</f>
        <v>MAZDOCK</v>
      </c>
      <c r="B136" s="50">
        <f>VLOOKUP($A136,'Data shares'!$C:$FM,102)</f>
        <v>42.55</v>
      </c>
      <c r="C136" s="50">
        <f>VLOOKUP($A136,'Data shares'!$C:$FM,110)</f>
        <v>42.73</v>
      </c>
      <c r="D136" s="50">
        <f>VLOOKUP($A136,'Data shares'!$C:$FM,114)</f>
        <v>42.08</v>
      </c>
      <c r="E136" s="50">
        <f>VLOOKUP($A136,'Data shares'!$C:$FM,106)</f>
        <v>55.35</v>
      </c>
      <c r="F136" s="50">
        <f>VLOOKUP($A136,'Data shares'!$C:$FM,108)</f>
        <v>-12.8</v>
      </c>
      <c r="G136" s="50">
        <f t="shared" si="4"/>
        <v>0.76874435411020769</v>
      </c>
    </row>
    <row r="137" spans="1:7" x14ac:dyDescent="0.25">
      <c r="A137" s="49" t="str">
        <f>'Data Vlaue (Cr)'!C132</f>
        <v>MCX</v>
      </c>
      <c r="B137" s="50">
        <f>VLOOKUP($A137,'Data shares'!$C:$FM,102)</f>
        <v>45.21</v>
      </c>
      <c r="C137" s="50">
        <f>VLOOKUP($A137,'Data shares'!$C:$FM,110)</f>
        <v>44.56</v>
      </c>
      <c r="D137" s="50">
        <f>VLOOKUP($A137,'Data shares'!$C:$FM,114)</f>
        <v>46.1</v>
      </c>
      <c r="E137" s="50">
        <f>VLOOKUP($A137,'Data shares'!$C:$FM,106)</f>
        <v>49.18</v>
      </c>
      <c r="F137" s="50">
        <f>VLOOKUP($A137,'Data shares'!$C:$FM,108)</f>
        <v>-3.97</v>
      </c>
      <c r="G137" s="50">
        <f t="shared" si="4"/>
        <v>0.91927612850752338</v>
      </c>
    </row>
    <row r="138" spans="1:7" x14ac:dyDescent="0.25">
      <c r="A138" s="49" t="str">
        <f>'Data Vlaue (Cr)'!C133</f>
        <v>MFSL</v>
      </c>
      <c r="B138" s="50">
        <f>VLOOKUP($A138,'Data shares'!$C:$FM,102)</f>
        <v>34.5</v>
      </c>
      <c r="C138" s="50">
        <f>VLOOKUP($A138,'Data shares'!$C:$FM,110)</f>
        <v>34.4</v>
      </c>
      <c r="D138" s="50">
        <f>VLOOKUP($A138,'Data shares'!$C:$FM,114)</f>
        <v>34.81</v>
      </c>
      <c r="E138" s="50">
        <f>VLOOKUP($A138,'Data shares'!$C:$FM,106)</f>
        <v>31.63</v>
      </c>
      <c r="F138" s="50">
        <f>VLOOKUP($A138,'Data shares'!$C:$FM,108)</f>
        <v>2.87</v>
      </c>
      <c r="G138" s="50">
        <f t="shared" si="4"/>
        <v>1.0907366424280747</v>
      </c>
    </row>
    <row r="139" spans="1:7" x14ac:dyDescent="0.25">
      <c r="A139" s="49" t="str">
        <f>'Data Vlaue (Cr)'!C134</f>
        <v>MIDCPNIFTY</v>
      </c>
      <c r="B139" s="50">
        <f>VLOOKUP($A139,'Data shares'!$C:$FM,102)</f>
        <v>23.17</v>
      </c>
      <c r="C139" s="50">
        <f>VLOOKUP($A139,'Data shares'!$C:$FM,110)</f>
        <v>21.63</v>
      </c>
      <c r="D139" s="50">
        <f>VLOOKUP($A139,'Data shares'!$C:$FM,114)</f>
        <v>24.71</v>
      </c>
      <c r="E139" s="50">
        <f>VLOOKUP($A139,'Data shares'!$C:$FM,106)</f>
        <v>24.84</v>
      </c>
      <c r="F139" s="50">
        <f>VLOOKUP($A139,'Data shares'!$C:$FM,108)</f>
        <v>-1.67</v>
      </c>
      <c r="G139" s="50">
        <f t="shared" si="4"/>
        <v>0.93276972624798715</v>
      </c>
    </row>
    <row r="140" spans="1:7" x14ac:dyDescent="0.25">
      <c r="A140" s="49" t="str">
        <f>'Data Vlaue (Cr)'!C135</f>
        <v>MOTHERSON</v>
      </c>
      <c r="B140" s="50">
        <f>VLOOKUP($A140,'Data shares'!$C:$FM,102)</f>
        <v>42.02</v>
      </c>
      <c r="C140" s="50">
        <f>VLOOKUP($A140,'Data shares'!$C:$FM,110)</f>
        <v>41.89</v>
      </c>
      <c r="D140" s="50">
        <f>VLOOKUP($A140,'Data shares'!$C:$FM,114)</f>
        <v>42.32</v>
      </c>
      <c r="E140" s="50">
        <f>VLOOKUP($A140,'Data shares'!$C:$FM,106)</f>
        <v>43.41</v>
      </c>
      <c r="F140" s="50">
        <f>VLOOKUP($A140,'Data shares'!$C:$FM,108)</f>
        <v>-1.39</v>
      </c>
      <c r="G140" s="50">
        <f t="shared" si="4"/>
        <v>0.96797972817323208</v>
      </c>
    </row>
    <row r="141" spans="1:7" x14ac:dyDescent="0.25">
      <c r="A141" s="49" t="str">
        <f>'Data Vlaue (Cr)'!C136</f>
        <v>MOTILALOFS</v>
      </c>
      <c r="B141" s="50">
        <f>VLOOKUP($A141,'Data shares'!$C:$FM,102)</f>
        <v>39.43</v>
      </c>
      <c r="C141" s="50">
        <f>VLOOKUP($A141,'Data shares'!$C:$FM,110)</f>
        <v>38.96</v>
      </c>
      <c r="D141" s="50">
        <f>VLOOKUP($A141,'Data shares'!$C:$FM,114)</f>
        <v>41.37</v>
      </c>
      <c r="E141" s="50">
        <f>VLOOKUP($A141,'Data shares'!$C:$FM,106)</f>
        <v>54.23</v>
      </c>
      <c r="F141" s="50">
        <f>VLOOKUP($A141,'Data shares'!$C:$FM,108)</f>
        <v>-14.8</v>
      </c>
      <c r="G141" s="50">
        <f t="shared" si="4"/>
        <v>0.72708832749400709</v>
      </c>
    </row>
    <row r="142" spans="1:7" x14ac:dyDescent="0.25">
      <c r="A142" s="49" t="str">
        <f>'Data Vlaue (Cr)'!C137</f>
        <v>MPHASIS</v>
      </c>
      <c r="B142" s="50">
        <f>VLOOKUP($A142,'Data shares'!$C:$FM,102)</f>
        <v>36.85</v>
      </c>
      <c r="C142" s="50">
        <f>VLOOKUP($A142,'Data shares'!$C:$FM,110)</f>
        <v>36.29</v>
      </c>
      <c r="D142" s="50">
        <f>VLOOKUP($A142,'Data shares'!$C:$FM,114)</f>
        <v>37.99</v>
      </c>
      <c r="E142" s="50">
        <f>VLOOKUP($A142,'Data shares'!$C:$FM,106)</f>
        <v>37.049999999999997</v>
      </c>
      <c r="F142" s="50">
        <f>VLOOKUP($A142,'Data shares'!$C:$FM,108)</f>
        <v>-0.2</v>
      </c>
      <c r="G142" s="50">
        <f t="shared" si="4"/>
        <v>0.9946018893387315</v>
      </c>
    </row>
    <row r="143" spans="1:7" x14ac:dyDescent="0.25">
      <c r="A143" s="49" t="str">
        <f>'Data Vlaue (Cr)'!C138</f>
        <v>MUTHOOTFIN</v>
      </c>
      <c r="B143" s="50">
        <f>VLOOKUP($A143,'Data shares'!$C:$FM,102)</f>
        <v>40.880000000000003</v>
      </c>
      <c r="C143" s="50">
        <f>VLOOKUP($A143,'Data shares'!$C:$FM,110)</f>
        <v>40.909999999999997</v>
      </c>
      <c r="D143" s="50">
        <f>VLOOKUP($A143,'Data shares'!$C:$FM,114)</f>
        <v>40.770000000000003</v>
      </c>
      <c r="E143" s="50">
        <f>VLOOKUP($A143,'Data shares'!$C:$FM,106)</f>
        <v>43.49</v>
      </c>
      <c r="F143" s="50">
        <f>VLOOKUP($A143,'Data shares'!$C:$FM,108)</f>
        <v>-2.61</v>
      </c>
      <c r="G143" s="50">
        <f t="shared" si="4"/>
        <v>0.93998620372499431</v>
      </c>
    </row>
    <row r="144" spans="1:7" x14ac:dyDescent="0.25">
      <c r="A144" s="49" t="str">
        <f>'Data Vlaue (Cr)'!C139</f>
        <v>NAM-INDIA</v>
      </c>
      <c r="B144" s="233">
        <f>VLOOKUP($A144,'Data shares'!$C:$FM,102)</f>
        <v>42.06</v>
      </c>
      <c r="C144" s="233">
        <f>VLOOKUP($A144,'Data shares'!$C:$FM,110)</f>
        <v>41.81</v>
      </c>
      <c r="D144" s="233">
        <f>VLOOKUP($A144,'Data shares'!$C:$FM,114)</f>
        <v>43.1</v>
      </c>
      <c r="E144" s="233">
        <f>VLOOKUP($A144,'Data shares'!$C:$FM,106)</f>
        <v>50.17</v>
      </c>
      <c r="F144" s="233">
        <f>VLOOKUP($A144,'Data shares'!$C:$FM,108)</f>
        <v>-8.11</v>
      </c>
      <c r="G144" s="233">
        <f t="shared" si="4"/>
        <v>0.83834961132150687</v>
      </c>
    </row>
    <row r="145" spans="1:7" x14ac:dyDescent="0.25">
      <c r="A145" s="49" t="str">
        <f>'Data Vlaue (Cr)'!C140</f>
        <v>NATIONALUM</v>
      </c>
      <c r="B145" s="50">
        <f>VLOOKUP($A145,'Data shares'!$C:$FM,102)</f>
        <v>39.06</v>
      </c>
      <c r="C145" s="50">
        <f>VLOOKUP($A145,'Data shares'!$C:$FM,110)</f>
        <v>38.869999999999997</v>
      </c>
      <c r="D145" s="50">
        <f>VLOOKUP($A145,'Data shares'!$C:$FM,114)</f>
        <v>39.479999999999997</v>
      </c>
      <c r="E145" s="50">
        <f>VLOOKUP($A145,'Data shares'!$C:$FM,106)</f>
        <v>52.06</v>
      </c>
      <c r="F145" s="50">
        <f>VLOOKUP($A145,'Data shares'!$C:$FM,108)</f>
        <v>-13</v>
      </c>
      <c r="G145" s="50">
        <f t="shared" si="4"/>
        <v>0.75028812908182863</v>
      </c>
    </row>
    <row r="146" spans="1:7" x14ac:dyDescent="0.25">
      <c r="A146" s="49" t="str">
        <f>'Data Vlaue (Cr)'!C141</f>
        <v>NAUKRI</v>
      </c>
      <c r="B146" s="50">
        <f>VLOOKUP($A146,'Data shares'!$C:$FM,102)</f>
        <v>35.549999999999997</v>
      </c>
      <c r="C146" s="50">
        <f>VLOOKUP($A146,'Data shares'!$C:$FM,110)</f>
        <v>35.29</v>
      </c>
      <c r="D146" s="50">
        <f>VLOOKUP($A146,'Data shares'!$C:$FM,114)</f>
        <v>36.619999999999997</v>
      </c>
      <c r="E146" s="50">
        <f>VLOOKUP($A146,'Data shares'!$C:$FM,106)</f>
        <v>36.6</v>
      </c>
      <c r="F146" s="50">
        <f>VLOOKUP($A146,'Data shares'!$C:$FM,108)</f>
        <v>-1.05</v>
      </c>
      <c r="G146" s="50">
        <f t="shared" si="4"/>
        <v>0.97131147540983598</v>
      </c>
    </row>
    <row r="147" spans="1:7" x14ac:dyDescent="0.25">
      <c r="A147" s="49" t="str">
        <f>'Data Vlaue (Cr)'!C142</f>
        <v>NBCC</v>
      </c>
      <c r="B147" s="50">
        <f>VLOOKUP($A147,'Data shares'!$C:$FM,102)</f>
        <v>41.02</v>
      </c>
      <c r="C147" s="50">
        <f>VLOOKUP($A147,'Data shares'!$C:$FM,110)</f>
        <v>40.659999999999997</v>
      </c>
      <c r="D147" s="50">
        <f>VLOOKUP($A147,'Data shares'!$C:$FM,114)</f>
        <v>41.65</v>
      </c>
      <c r="E147" s="50">
        <f>VLOOKUP($A147,'Data shares'!$C:$FM,106)</f>
        <v>50.83</v>
      </c>
      <c r="F147" s="50">
        <f>VLOOKUP($A147,'Data shares'!$C:$FM,108)</f>
        <v>-9.81</v>
      </c>
      <c r="G147" s="50">
        <f t="shared" si="4"/>
        <v>0.80700373795002955</v>
      </c>
    </row>
    <row r="148" spans="1:7" x14ac:dyDescent="0.25">
      <c r="A148" s="49" t="str">
        <f>'Data Vlaue (Cr)'!C143</f>
        <v>NESTLEIND</v>
      </c>
      <c r="B148" s="50">
        <f>VLOOKUP($A148,'Data shares'!$C:$FM,102)</f>
        <v>22.56</v>
      </c>
      <c r="C148" s="50">
        <f>VLOOKUP($A148,'Data shares'!$C:$FM,110)</f>
        <v>21.99</v>
      </c>
      <c r="D148" s="50">
        <f>VLOOKUP($A148,'Data shares'!$C:$FM,114)</f>
        <v>23.5</v>
      </c>
      <c r="E148" s="50">
        <f>VLOOKUP($A148,'Data shares'!$C:$FM,106)</f>
        <v>25.12</v>
      </c>
      <c r="F148" s="50">
        <f>VLOOKUP($A148,'Data shares'!$C:$FM,108)</f>
        <v>-2.56</v>
      </c>
      <c r="G148" s="50">
        <f t="shared" si="4"/>
        <v>0.8980891719745222</v>
      </c>
    </row>
    <row r="149" spans="1:7" x14ac:dyDescent="0.25">
      <c r="A149" s="49" t="str">
        <f>'Data Vlaue (Cr)'!C144</f>
        <v>NHPC</v>
      </c>
      <c r="B149" s="50">
        <f>VLOOKUP($A149,'Data shares'!$C:$FM,102)</f>
        <v>33.26</v>
      </c>
      <c r="C149" s="50">
        <f>VLOOKUP($A149,'Data shares'!$C:$FM,110)</f>
        <v>33.76</v>
      </c>
      <c r="D149" s="50">
        <f>VLOOKUP($A149,'Data shares'!$C:$FM,114)</f>
        <v>31.91</v>
      </c>
      <c r="E149" s="50">
        <f>VLOOKUP($A149,'Data shares'!$C:$FM,106)</f>
        <v>34.869999999999997</v>
      </c>
      <c r="F149" s="50">
        <f>VLOOKUP($A149,'Data shares'!$C:$FM,108)</f>
        <v>-1.61</v>
      </c>
      <c r="G149" s="50">
        <f t="shared" si="4"/>
        <v>0.95382850587897905</v>
      </c>
    </row>
    <row r="150" spans="1:7" x14ac:dyDescent="0.25">
      <c r="A150" s="49" t="str">
        <f>'Data Vlaue (Cr)'!C145</f>
        <v>NIFTY</v>
      </c>
      <c r="B150" s="50">
        <f>VLOOKUP($A150,'Data shares'!$C:$FM,102)</f>
        <v>18.62</v>
      </c>
      <c r="C150" s="50">
        <f>VLOOKUP($A150,'Data shares'!$C:$FM,110)</f>
        <v>17.690000000000001</v>
      </c>
      <c r="D150" s="50">
        <f>VLOOKUP($A150,'Data shares'!$C:$FM,114)</f>
        <v>19.68</v>
      </c>
      <c r="E150" s="50">
        <f>VLOOKUP($A150,'Data shares'!$C:$FM,106)</f>
        <v>17.559999999999999</v>
      </c>
      <c r="F150" s="50">
        <f>VLOOKUP($A150,'Data shares'!$C:$FM,108)</f>
        <v>1.06</v>
      </c>
      <c r="G150" s="50">
        <f t="shared" si="4"/>
        <v>1.060364464692483</v>
      </c>
    </row>
    <row r="151" spans="1:7" x14ac:dyDescent="0.25">
      <c r="A151" s="49" t="str">
        <f>'Data Vlaue (Cr)'!C146</f>
        <v>NIFTYNXT50</v>
      </c>
      <c r="B151" s="50">
        <f>VLOOKUP($A151,'Data shares'!$C:$FM,102)</f>
        <v>18.059999999999999</v>
      </c>
      <c r="C151" s="50">
        <f>VLOOKUP($A151,'Data shares'!$C:$FM,110)</f>
        <v>18.03</v>
      </c>
      <c r="D151" s="50">
        <f>VLOOKUP($A151,'Data shares'!$C:$FM,114)</f>
        <v>18.91</v>
      </c>
      <c r="E151" s="50">
        <f>VLOOKUP($A151,'Data shares'!$C:$FM,106)</f>
        <v>23.01</v>
      </c>
      <c r="F151" s="50">
        <f>VLOOKUP($A151,'Data shares'!$C:$FM,108)</f>
        <v>-4.95</v>
      </c>
      <c r="G151" s="50">
        <f t="shared" si="4"/>
        <v>0.78487614080834411</v>
      </c>
    </row>
    <row r="152" spans="1:7" x14ac:dyDescent="0.25">
      <c r="A152" s="49" t="str">
        <f>'Data Vlaue (Cr)'!C147</f>
        <v>NMDC</v>
      </c>
      <c r="B152" s="50">
        <f>VLOOKUP($A152,'Data shares'!$C:$FM,102)</f>
        <v>35.82</v>
      </c>
      <c r="C152" s="50">
        <f>VLOOKUP($A152,'Data shares'!$C:$FM,110)</f>
        <v>35.840000000000003</v>
      </c>
      <c r="D152" s="50">
        <f>VLOOKUP($A152,'Data shares'!$C:$FM,114)</f>
        <v>35.770000000000003</v>
      </c>
      <c r="E152" s="50">
        <f>VLOOKUP($A152,'Data shares'!$C:$FM,106)</f>
        <v>38.479999999999997</v>
      </c>
      <c r="F152" s="50">
        <f>VLOOKUP($A152,'Data shares'!$C:$FM,108)</f>
        <v>-2.66</v>
      </c>
      <c r="G152" s="50">
        <f t="shared" si="4"/>
        <v>0.93087318087318094</v>
      </c>
    </row>
    <row r="153" spans="1:7" x14ac:dyDescent="0.25">
      <c r="A153" s="49" t="str">
        <f>'Data Vlaue (Cr)'!C148</f>
        <v>NTPC</v>
      </c>
      <c r="B153" s="50">
        <f>VLOOKUP($A153,'Data shares'!$C:$FM,102)</f>
        <v>24.4</v>
      </c>
      <c r="C153" s="50">
        <f>VLOOKUP($A153,'Data shares'!$C:$FM,110)</f>
        <v>24.5</v>
      </c>
      <c r="D153" s="50">
        <f>VLOOKUP($A153,'Data shares'!$C:$FM,114)</f>
        <v>24.14</v>
      </c>
      <c r="E153" s="50">
        <f>VLOOKUP($A153,'Data shares'!$C:$FM,106)</f>
        <v>27.22</v>
      </c>
      <c r="F153" s="50">
        <f>VLOOKUP($A153,'Data shares'!$C:$FM,108)</f>
        <v>-2.82</v>
      </c>
      <c r="G153" s="50">
        <f t="shared" si="4"/>
        <v>0.89639970609845698</v>
      </c>
    </row>
    <row r="154" spans="1:7" x14ac:dyDescent="0.25">
      <c r="A154" s="49" t="str">
        <f>'Data Vlaue (Cr)'!C149</f>
        <v>NUVAMA</v>
      </c>
      <c r="B154" s="50">
        <f>VLOOKUP($A154,'Data shares'!$C:$FM,102)</f>
        <v>39.54</v>
      </c>
      <c r="C154" s="50">
        <f>VLOOKUP($A154,'Data shares'!$C:$FM,110)</f>
        <v>38.46</v>
      </c>
      <c r="D154" s="50">
        <f>VLOOKUP($A154,'Data shares'!$C:$FM,114)</f>
        <v>44.14</v>
      </c>
      <c r="E154" s="50">
        <f>VLOOKUP($A154,'Data shares'!$C:$FM,106)</f>
        <v>50.23</v>
      </c>
      <c r="F154" s="50">
        <f>VLOOKUP($A154,'Data shares'!$C:$FM,108)</f>
        <v>-10.69</v>
      </c>
      <c r="G154" s="50">
        <f t="shared" si="4"/>
        <v>0.7871789767071472</v>
      </c>
    </row>
    <row r="155" spans="1:7" x14ac:dyDescent="0.25">
      <c r="A155" s="49" t="str">
        <f>'Data Vlaue (Cr)'!C150</f>
        <v>NYKAA</v>
      </c>
      <c r="B155" s="50">
        <f>VLOOKUP($A155,'Data shares'!$C:$FM,102)</f>
        <v>34.15</v>
      </c>
      <c r="C155" s="50">
        <f>VLOOKUP($A155,'Data shares'!$C:$FM,110)</f>
        <v>34.19</v>
      </c>
      <c r="D155" s="50">
        <f>VLOOKUP($A155,'Data shares'!$C:$FM,114)</f>
        <v>34.04</v>
      </c>
      <c r="E155" s="50">
        <f>VLOOKUP($A155,'Data shares'!$C:$FM,106)</f>
        <v>35.53</v>
      </c>
      <c r="F155" s="50">
        <f>VLOOKUP($A155,'Data shares'!$C:$FM,108)</f>
        <v>-1.38</v>
      </c>
      <c r="G155" s="50">
        <f t="shared" si="4"/>
        <v>0.96115958345060504</v>
      </c>
    </row>
    <row r="156" spans="1:7" x14ac:dyDescent="0.25">
      <c r="A156" s="49" t="str">
        <f>'Data Vlaue (Cr)'!C151</f>
        <v>OBEROIRLTY</v>
      </c>
      <c r="B156" s="50">
        <f>VLOOKUP($A156,'Data shares'!$C:$FM,102)</f>
        <v>35.880000000000003</v>
      </c>
      <c r="C156" s="50">
        <f>VLOOKUP($A156,'Data shares'!$C:$FM,110)</f>
        <v>35.409999999999997</v>
      </c>
      <c r="D156" s="50">
        <f>VLOOKUP($A156,'Data shares'!$C:$FM,114)</f>
        <v>37.43</v>
      </c>
      <c r="E156" s="50">
        <f>VLOOKUP($A156,'Data shares'!$C:$FM,106)</f>
        <v>36.44</v>
      </c>
      <c r="F156" s="50">
        <f>VLOOKUP($A156,'Data shares'!$C:$FM,108)</f>
        <v>-0.56000000000000005</v>
      </c>
      <c r="G156" s="50">
        <f t="shared" si="4"/>
        <v>0.98463227222832062</v>
      </c>
    </row>
    <row r="157" spans="1:7" x14ac:dyDescent="0.25">
      <c r="A157" s="49" t="str">
        <f>'Data Vlaue (Cr)'!C152</f>
        <v>OFSS</v>
      </c>
      <c r="B157" s="50">
        <f>VLOOKUP($A157,'Data shares'!$C:$FM,102)</f>
        <v>36.53</v>
      </c>
      <c r="C157" s="50">
        <f>VLOOKUP($A157,'Data shares'!$C:$FM,110)</f>
        <v>35.6</v>
      </c>
      <c r="D157" s="50">
        <f>VLOOKUP($A157,'Data shares'!$C:$FM,114)</f>
        <v>38.090000000000003</v>
      </c>
      <c r="E157" s="50">
        <f>VLOOKUP($A157,'Data shares'!$C:$FM,106)</f>
        <v>41.35</v>
      </c>
      <c r="F157" s="50">
        <f>VLOOKUP($A157,'Data shares'!$C:$FM,108)</f>
        <v>-4.82</v>
      </c>
      <c r="G157" s="50">
        <f t="shared" si="4"/>
        <v>0.88343409915356708</v>
      </c>
    </row>
    <row r="158" spans="1:7" x14ac:dyDescent="0.25">
      <c r="A158" s="49" t="str">
        <f>'Data Vlaue (Cr)'!C153</f>
        <v>OIL</v>
      </c>
      <c r="B158" s="50">
        <f>VLOOKUP($A158,'Data shares'!$C:$FM,102)</f>
        <v>36.18</v>
      </c>
      <c r="C158" s="50">
        <f>VLOOKUP($A158,'Data shares'!$C:$FM,110)</f>
        <v>36.770000000000003</v>
      </c>
      <c r="D158" s="50">
        <f>VLOOKUP($A158,'Data shares'!$C:$FM,114)</f>
        <v>34.840000000000003</v>
      </c>
      <c r="E158" s="50">
        <f>VLOOKUP($A158,'Data shares'!$C:$FM,106)</f>
        <v>41.36</v>
      </c>
      <c r="F158" s="50">
        <f>VLOOKUP($A158,'Data shares'!$C:$FM,108)</f>
        <v>-5.18</v>
      </c>
      <c r="G158" s="50">
        <f t="shared" si="4"/>
        <v>0.87475822050290131</v>
      </c>
    </row>
    <row r="159" spans="1:7" x14ac:dyDescent="0.25">
      <c r="A159" s="49" t="str">
        <f>'Data Vlaue (Cr)'!C154</f>
        <v>ONGC</v>
      </c>
      <c r="B159" s="50">
        <f>VLOOKUP($A159,'Data shares'!$C:$FM,102)</f>
        <v>26.5</v>
      </c>
      <c r="C159" s="50">
        <f>VLOOKUP($A159,'Data shares'!$C:$FM,110)</f>
        <v>26.5</v>
      </c>
      <c r="D159" s="50">
        <f>VLOOKUP($A159,'Data shares'!$C:$FM,114)</f>
        <v>26.49</v>
      </c>
      <c r="E159" s="50">
        <f>VLOOKUP($A159,'Data shares'!$C:$FM,106)</f>
        <v>31.93</v>
      </c>
      <c r="F159" s="50">
        <f>VLOOKUP($A159,'Data shares'!$C:$FM,108)</f>
        <v>-5.43</v>
      </c>
      <c r="G159" s="50">
        <f t="shared" si="4"/>
        <v>0.82994049483244603</v>
      </c>
    </row>
    <row r="160" spans="1:7" x14ac:dyDescent="0.25">
      <c r="A160" s="49" t="str">
        <f>'Data Vlaue (Cr)'!C155</f>
        <v>PAGEIND</v>
      </c>
      <c r="B160" s="50">
        <f>VLOOKUP($A160,'Data shares'!$C:$FM,102)</f>
        <v>33.26</v>
      </c>
      <c r="C160" s="50">
        <f>VLOOKUP($A160,'Data shares'!$C:$FM,110)</f>
        <v>32.979999999999997</v>
      </c>
      <c r="D160" s="50">
        <f>VLOOKUP($A160,'Data shares'!$C:$FM,114)</f>
        <v>33.83</v>
      </c>
      <c r="E160" s="50">
        <f>VLOOKUP($A160,'Data shares'!$C:$FM,106)</f>
        <v>28.45</v>
      </c>
      <c r="F160" s="50">
        <f>VLOOKUP($A160,'Data shares'!$C:$FM,108)</f>
        <v>4.8099999999999996</v>
      </c>
      <c r="G160" s="50">
        <f t="shared" si="4"/>
        <v>1.1690685413005273</v>
      </c>
    </row>
    <row r="161" spans="1:7" x14ac:dyDescent="0.25">
      <c r="A161" s="49" t="str">
        <f>'Data Vlaue (Cr)'!C156</f>
        <v>PATANJALI</v>
      </c>
      <c r="B161" s="50">
        <f>VLOOKUP($A161,'Data shares'!$C:$FM,102)</f>
        <v>31.66</v>
      </c>
      <c r="C161" s="50">
        <f>VLOOKUP($A161,'Data shares'!$C:$FM,110)</f>
        <v>31.72</v>
      </c>
      <c r="D161" s="50">
        <f>VLOOKUP($A161,'Data shares'!$C:$FM,114)</f>
        <v>31.31</v>
      </c>
      <c r="E161" s="50">
        <f>VLOOKUP($A161,'Data shares'!$C:$FM,106)</f>
        <v>31.79</v>
      </c>
      <c r="F161" s="50">
        <f>VLOOKUP($A161,'Data shares'!$C:$FM,108)</f>
        <v>-0.13</v>
      </c>
      <c r="G161" s="50">
        <f t="shared" si="4"/>
        <v>0.995910663730733</v>
      </c>
    </row>
    <row r="162" spans="1:7" x14ac:dyDescent="0.25">
      <c r="A162" s="49" t="str">
        <f>'Data Vlaue (Cr)'!C157</f>
        <v>PAYTM</v>
      </c>
      <c r="B162" s="50">
        <f>VLOOKUP($A162,'Data shares'!$C:$FM,102)</f>
        <v>43.41</v>
      </c>
      <c r="C162" s="50">
        <f>VLOOKUP($A162,'Data shares'!$C:$FM,110)</f>
        <v>42.19</v>
      </c>
      <c r="D162" s="50">
        <f>VLOOKUP($A162,'Data shares'!$C:$FM,114)</f>
        <v>44.82</v>
      </c>
      <c r="E162" s="50">
        <f>VLOOKUP($A162,'Data shares'!$C:$FM,106)</f>
        <v>51.65</v>
      </c>
      <c r="F162" s="50">
        <f>VLOOKUP($A162,'Data shares'!$C:$FM,108)</f>
        <v>-8.24</v>
      </c>
      <c r="G162" s="50">
        <f t="shared" si="4"/>
        <v>0.8404646660212971</v>
      </c>
    </row>
    <row r="163" spans="1:7" x14ac:dyDescent="0.25">
      <c r="A163" s="49" t="str">
        <f>'Data Vlaue (Cr)'!C158</f>
        <v>PERSISTENT</v>
      </c>
      <c r="B163" s="50">
        <f>VLOOKUP($A163,'Data shares'!$C:$FM,102)</f>
        <v>37.700000000000003</v>
      </c>
      <c r="C163" s="50">
        <f>VLOOKUP($A163,'Data shares'!$C:$FM,110)</f>
        <v>37.75</v>
      </c>
      <c r="D163" s="50">
        <f>VLOOKUP($A163,'Data shares'!$C:$FM,114)</f>
        <v>37.58</v>
      </c>
      <c r="E163" s="50">
        <f>VLOOKUP($A163,'Data shares'!$C:$FM,106)</f>
        <v>40.74</v>
      </c>
      <c r="F163" s="50">
        <f>VLOOKUP($A163,'Data shares'!$C:$FM,108)</f>
        <v>-3.04</v>
      </c>
      <c r="G163" s="50">
        <f t="shared" si="4"/>
        <v>0.92538046146293573</v>
      </c>
    </row>
    <row r="164" spans="1:7" x14ac:dyDescent="0.25">
      <c r="A164" s="49" t="str">
        <f>'Data Vlaue (Cr)'!C159</f>
        <v>PETRONET</v>
      </c>
      <c r="B164" s="50">
        <f>VLOOKUP($A164,'Data shares'!$C:$FM,102)</f>
        <v>37.86</v>
      </c>
      <c r="C164" s="50">
        <f>VLOOKUP($A164,'Data shares'!$C:$FM,110)</f>
        <v>37.340000000000003</v>
      </c>
      <c r="D164" s="50">
        <f>VLOOKUP($A164,'Data shares'!$C:$FM,114)</f>
        <v>38.479999999999997</v>
      </c>
      <c r="E164" s="50">
        <f>VLOOKUP($A164,'Data shares'!$C:$FM,106)</f>
        <v>38.450000000000003</v>
      </c>
      <c r="F164" s="50">
        <f>VLOOKUP($A164,'Data shares'!$C:$FM,108)</f>
        <v>-0.59</v>
      </c>
      <c r="G164" s="50">
        <f t="shared" si="4"/>
        <v>0.9846553966189856</v>
      </c>
    </row>
    <row r="165" spans="1:7" x14ac:dyDescent="0.25">
      <c r="A165" s="49" t="str">
        <f>'Data Vlaue (Cr)'!C160</f>
        <v>PFC</v>
      </c>
      <c r="B165" s="50">
        <f>VLOOKUP($A165,'Data shares'!$C:$FM,102)</f>
        <v>35.9</v>
      </c>
      <c r="C165" s="50">
        <f>VLOOKUP($A165,'Data shares'!$C:$FM,110)</f>
        <v>36.380000000000003</v>
      </c>
      <c r="D165" s="50">
        <f>VLOOKUP($A165,'Data shares'!$C:$FM,114)</f>
        <v>34.86</v>
      </c>
      <c r="E165" s="50">
        <f>VLOOKUP($A165,'Data shares'!$C:$FM,106)</f>
        <v>41.81</v>
      </c>
      <c r="F165" s="50">
        <f>VLOOKUP($A165,'Data shares'!$C:$FM,108)</f>
        <v>-5.91</v>
      </c>
      <c r="G165" s="50">
        <f t="shared" si="4"/>
        <v>0.85864625687634533</v>
      </c>
    </row>
    <row r="166" spans="1:7" x14ac:dyDescent="0.25">
      <c r="A166" s="49" t="str">
        <f>'Data Vlaue (Cr)'!C161</f>
        <v>PGEL</v>
      </c>
      <c r="B166" s="50">
        <f>VLOOKUP($A166,'Data shares'!$C:$FM,102)</f>
        <v>54.22</v>
      </c>
      <c r="C166" s="50">
        <f>VLOOKUP($A166,'Data shares'!$C:$FM,110)</f>
        <v>53.71</v>
      </c>
      <c r="D166" s="50">
        <f>VLOOKUP($A166,'Data shares'!$C:$FM,114)</f>
        <v>55.27</v>
      </c>
      <c r="E166" s="50">
        <f>VLOOKUP($A166,'Data shares'!$C:$FM,106)</f>
        <v>67.03</v>
      </c>
      <c r="F166" s="50">
        <f>VLOOKUP($A166,'Data shares'!$C:$FM,108)</f>
        <v>-12.81</v>
      </c>
      <c r="G166" s="50">
        <f t="shared" si="4"/>
        <v>0.80889154110099948</v>
      </c>
    </row>
    <row r="167" spans="1:7" x14ac:dyDescent="0.25">
      <c r="A167" s="49" t="str">
        <f>'Data Vlaue (Cr)'!C162</f>
        <v>PHOENIXLTD</v>
      </c>
      <c r="B167" s="50">
        <f>VLOOKUP($A167,'Data shares'!$C:$FM,102)</f>
        <v>31.29</v>
      </c>
      <c r="C167" s="50">
        <f>VLOOKUP($A167,'Data shares'!$C:$FM,110)</f>
        <v>30.62</v>
      </c>
      <c r="D167" s="50">
        <f>VLOOKUP($A167,'Data shares'!$C:$FM,114)</f>
        <v>32.840000000000003</v>
      </c>
      <c r="E167" s="50">
        <f>VLOOKUP($A167,'Data shares'!$C:$FM,106)</f>
        <v>39.54</v>
      </c>
      <c r="F167" s="50">
        <f>VLOOKUP($A167,'Data shares'!$C:$FM,108)</f>
        <v>-8.25</v>
      </c>
      <c r="G167" s="50">
        <f t="shared" ref="G167:G187" si="5">B167/E167</f>
        <v>0.79135053110773901</v>
      </c>
    </row>
    <row r="168" spans="1:7" x14ac:dyDescent="0.25">
      <c r="A168" s="49" t="str">
        <f>'Data Vlaue (Cr)'!C163</f>
        <v>PIDILITIND</v>
      </c>
      <c r="B168" s="50">
        <f>VLOOKUP($A168,'Data shares'!$C:$FM,102)</f>
        <v>29.17</v>
      </c>
      <c r="C168" s="50">
        <f>VLOOKUP($A168,'Data shares'!$C:$FM,110)</f>
        <v>29.2</v>
      </c>
      <c r="D168" s="50">
        <f>VLOOKUP($A168,'Data shares'!$C:$FM,114)</f>
        <v>29.12</v>
      </c>
      <c r="E168" s="50">
        <f>VLOOKUP($A168,'Data shares'!$C:$FM,106)</f>
        <v>25.81</v>
      </c>
      <c r="F168" s="50">
        <f>VLOOKUP($A168,'Data shares'!$C:$FM,108)</f>
        <v>3.36</v>
      </c>
      <c r="G168" s="50">
        <f t="shared" si="5"/>
        <v>1.1301820999612555</v>
      </c>
    </row>
    <row r="169" spans="1:7" x14ac:dyDescent="0.25">
      <c r="A169" s="49" t="str">
        <f>'Data Vlaue (Cr)'!C164</f>
        <v>PIIND</v>
      </c>
      <c r="B169" s="50">
        <f>VLOOKUP($A169,'Data shares'!$C:$FM,102)</f>
        <v>35.72</v>
      </c>
      <c r="C169" s="50">
        <f>VLOOKUP($A169,'Data shares'!$C:$FM,110)</f>
        <v>35.729999999999997</v>
      </c>
      <c r="D169" s="50">
        <f>VLOOKUP($A169,'Data shares'!$C:$FM,114)</f>
        <v>35.700000000000003</v>
      </c>
      <c r="E169" s="50">
        <f>VLOOKUP($A169,'Data shares'!$C:$FM,106)</f>
        <v>31.24</v>
      </c>
      <c r="F169" s="50">
        <f>VLOOKUP($A169,'Data shares'!$C:$FM,108)</f>
        <v>4.4800000000000004</v>
      </c>
      <c r="G169" s="50">
        <f t="shared" si="5"/>
        <v>1.1434058898847632</v>
      </c>
    </row>
    <row r="170" spans="1:7" x14ac:dyDescent="0.25">
      <c r="A170" s="49" t="str">
        <f>'Data Vlaue (Cr)'!C165</f>
        <v>PNB</v>
      </c>
      <c r="B170" s="50">
        <f>VLOOKUP($A170,'Data shares'!$C:$FM,102)</f>
        <v>39.6</v>
      </c>
      <c r="C170" s="50">
        <f>VLOOKUP($A170,'Data shares'!$C:$FM,110)</f>
        <v>39.299999999999997</v>
      </c>
      <c r="D170" s="50">
        <f>VLOOKUP($A170,'Data shares'!$C:$FM,114)</f>
        <v>40.090000000000003</v>
      </c>
      <c r="E170" s="50">
        <f>VLOOKUP($A170,'Data shares'!$C:$FM,106)</f>
        <v>37.369999999999997</v>
      </c>
      <c r="F170" s="50">
        <f>VLOOKUP($A170,'Data shares'!$C:$FM,108)</f>
        <v>2.23</v>
      </c>
      <c r="G170" s="50">
        <f t="shared" si="5"/>
        <v>1.0596735349210598</v>
      </c>
    </row>
    <row r="171" spans="1:7" x14ac:dyDescent="0.25">
      <c r="A171" s="49" t="str">
        <f>'Data Vlaue (Cr)'!C166</f>
        <v>PNBHOUSING</v>
      </c>
      <c r="B171" s="50">
        <f>VLOOKUP($A171,'Data shares'!$C:$FM,102)</f>
        <v>33.99</v>
      </c>
      <c r="C171" s="50">
        <f>VLOOKUP($A171,'Data shares'!$C:$FM,110)</f>
        <v>33.020000000000003</v>
      </c>
      <c r="D171" s="50">
        <f>VLOOKUP($A171,'Data shares'!$C:$FM,114)</f>
        <v>35.74</v>
      </c>
      <c r="E171" s="50">
        <f>VLOOKUP($A171,'Data shares'!$C:$FM,106)</f>
        <v>47.49</v>
      </c>
      <c r="F171" s="50">
        <f>VLOOKUP($A171,'Data shares'!$C:$FM,108)</f>
        <v>-13.5</v>
      </c>
      <c r="G171" s="50">
        <f t="shared" si="5"/>
        <v>0.71572962728995582</v>
      </c>
    </row>
    <row r="172" spans="1:7" x14ac:dyDescent="0.25">
      <c r="A172" s="49" t="str">
        <f>'Data Vlaue (Cr)'!C167</f>
        <v>POLICYBZR</v>
      </c>
      <c r="B172" s="50">
        <f>VLOOKUP($A172,'Data shares'!$C:$FM,102)</f>
        <v>43.54</v>
      </c>
      <c r="C172" s="50">
        <f>VLOOKUP($A172,'Data shares'!$C:$FM,110)</f>
        <v>42.98</v>
      </c>
      <c r="D172" s="50">
        <f>VLOOKUP($A172,'Data shares'!$C:$FM,114)</f>
        <v>44.9</v>
      </c>
      <c r="E172" s="50">
        <f>VLOOKUP($A172,'Data shares'!$C:$FM,106)</f>
        <v>45.12</v>
      </c>
      <c r="F172" s="50">
        <f>VLOOKUP($A172,'Data shares'!$C:$FM,108)</f>
        <v>-1.58</v>
      </c>
      <c r="G172" s="50">
        <f t="shared" si="5"/>
        <v>0.96498226950354615</v>
      </c>
    </row>
    <row r="173" spans="1:7" x14ac:dyDescent="0.25">
      <c r="A173" s="49" t="str">
        <f>'Data Vlaue (Cr)'!C168</f>
        <v>POLYCAB</v>
      </c>
      <c r="B173" s="50">
        <f>VLOOKUP($A173,'Data shares'!$C:$FM,102)</f>
        <v>42.74</v>
      </c>
      <c r="C173" s="50">
        <f>VLOOKUP($A173,'Data shares'!$C:$FM,110)</f>
        <v>37.770000000000003</v>
      </c>
      <c r="D173" s="50">
        <f>VLOOKUP($A173,'Data shares'!$C:$FM,114)</f>
        <v>46.82</v>
      </c>
      <c r="E173" s="50">
        <f>VLOOKUP($A173,'Data shares'!$C:$FM,106)</f>
        <v>41.28</v>
      </c>
      <c r="F173" s="50">
        <f>VLOOKUP($A173,'Data shares'!$C:$FM,108)</f>
        <v>1.46</v>
      </c>
      <c r="G173" s="50">
        <f t="shared" si="5"/>
        <v>1.0353682170542635</v>
      </c>
    </row>
    <row r="174" spans="1:7" x14ac:dyDescent="0.25">
      <c r="A174" s="49" t="str">
        <f>'Data Vlaue (Cr)'!C169</f>
        <v>POWERGRID</v>
      </c>
      <c r="B174" s="50">
        <f>VLOOKUP($A174,'Data shares'!$C:$FM,102)</f>
        <v>26.14</v>
      </c>
      <c r="C174" s="50">
        <f>VLOOKUP($A174,'Data shares'!$C:$FM,110)</f>
        <v>26.07</v>
      </c>
      <c r="D174" s="50">
        <f>VLOOKUP($A174,'Data shares'!$C:$FM,114)</f>
        <v>26.29</v>
      </c>
      <c r="E174" s="50">
        <f>VLOOKUP($A174,'Data shares'!$C:$FM,106)</f>
        <v>28.44</v>
      </c>
      <c r="F174" s="50">
        <f>VLOOKUP($A174,'Data shares'!$C:$FM,108)</f>
        <v>-2.2999999999999998</v>
      </c>
      <c r="G174" s="50">
        <f t="shared" si="5"/>
        <v>0.91912798874824186</v>
      </c>
    </row>
    <row r="175" spans="1:7" x14ac:dyDescent="0.25">
      <c r="A175" s="49" t="str">
        <f>'Data Vlaue (Cr)'!C170</f>
        <v>POWERINDIA</v>
      </c>
      <c r="B175" s="50">
        <f>VLOOKUP($A175,'Data shares'!$C:$FM,102)</f>
        <v>44.74</v>
      </c>
      <c r="C175" s="50">
        <f>VLOOKUP($A175,'Data shares'!$C:$FM,110)</f>
        <v>43.34</v>
      </c>
      <c r="D175" s="50">
        <f>VLOOKUP($A175,'Data shares'!$C:$FM,114)</f>
        <v>47.01</v>
      </c>
      <c r="E175" s="50">
        <f>VLOOKUP($A175,'Data shares'!$C:$FM,106)</f>
        <v>56.7</v>
      </c>
      <c r="F175" s="50">
        <f>VLOOKUP($A175,'Data shares'!$C:$FM,108)</f>
        <v>-11.96</v>
      </c>
      <c r="G175" s="50">
        <f t="shared" si="5"/>
        <v>0.78906525573192243</v>
      </c>
    </row>
    <row r="176" spans="1:7" x14ac:dyDescent="0.25">
      <c r="A176" s="49" t="str">
        <f>'Data Vlaue (Cr)'!C171</f>
        <v>PREMIERENE</v>
      </c>
      <c r="B176" s="50">
        <f>VLOOKUP($A176,'Data shares'!$C:$FM,102)</f>
        <v>42.04</v>
      </c>
      <c r="C176" s="50">
        <f>VLOOKUP($A176,'Data shares'!$C:$FM,110)</f>
        <v>41.84</v>
      </c>
      <c r="D176" s="50">
        <f>VLOOKUP($A176,'Data shares'!$C:$FM,114)</f>
        <v>42.41</v>
      </c>
      <c r="E176" s="50">
        <f>VLOOKUP($A176,'Data shares'!$C:$FM,106)</f>
        <v>48.06</v>
      </c>
      <c r="F176" s="50">
        <f>VLOOKUP($A176,'Data shares'!$C:$FM,108)</f>
        <v>-6.02</v>
      </c>
      <c r="G176" s="50">
        <f t="shared" si="5"/>
        <v>0.87473990844777361</v>
      </c>
    </row>
    <row r="177" spans="1:7" x14ac:dyDescent="0.25">
      <c r="A177" s="49" t="str">
        <f>'Data Vlaue (Cr)'!C172</f>
        <v>PRESTIGE</v>
      </c>
      <c r="B177" s="50">
        <f>VLOOKUP($A177,'Data shares'!$C:$FM,102)</f>
        <v>38.54</v>
      </c>
      <c r="C177" s="50">
        <f>VLOOKUP($A177,'Data shares'!$C:$FM,110)</f>
        <v>37.93</v>
      </c>
      <c r="D177" s="50">
        <f>VLOOKUP($A177,'Data shares'!$C:$FM,114)</f>
        <v>40.78</v>
      </c>
      <c r="E177" s="50">
        <f>VLOOKUP($A177,'Data shares'!$C:$FM,106)</f>
        <v>44.31</v>
      </c>
      <c r="F177" s="50">
        <f>VLOOKUP($A177,'Data shares'!$C:$FM,108)</f>
        <v>-5.77</v>
      </c>
      <c r="G177" s="50">
        <f t="shared" si="5"/>
        <v>0.8697810877905664</v>
      </c>
    </row>
    <row r="178" spans="1:7" x14ac:dyDescent="0.25">
      <c r="A178" s="49" t="str">
        <f>'Data Vlaue (Cr)'!C173</f>
        <v>RBLBANK</v>
      </c>
      <c r="B178" s="50">
        <f>VLOOKUP($A178,'Data shares'!$C:$FM,102)</f>
        <v>36.35</v>
      </c>
      <c r="C178" s="50">
        <f>VLOOKUP($A178,'Data shares'!$C:$FM,110)</f>
        <v>36.26</v>
      </c>
      <c r="D178" s="50">
        <f>VLOOKUP($A178,'Data shares'!$C:$FM,114)</f>
        <v>36.49</v>
      </c>
      <c r="E178" s="50">
        <f>VLOOKUP($A178,'Data shares'!$C:$FM,106)</f>
        <v>43.59</v>
      </c>
      <c r="F178" s="50">
        <f>VLOOKUP($A178,'Data shares'!$C:$FM,108)</f>
        <v>-7.24</v>
      </c>
      <c r="G178" s="50">
        <f t="shared" si="5"/>
        <v>0.8339068593714154</v>
      </c>
    </row>
    <row r="179" spans="1:7" x14ac:dyDescent="0.25">
      <c r="A179" s="49" t="str">
        <f>'Data Vlaue (Cr)'!C174</f>
        <v>RECLTD</v>
      </c>
      <c r="B179" s="50">
        <f>VLOOKUP($A179,'Data shares'!$C:$FM,102)</f>
        <v>33.07</v>
      </c>
      <c r="C179" s="50">
        <f>VLOOKUP($A179,'Data shares'!$C:$FM,110)</f>
        <v>33.5</v>
      </c>
      <c r="D179" s="50">
        <f>VLOOKUP($A179,'Data shares'!$C:$FM,114)</f>
        <v>32.08</v>
      </c>
      <c r="E179" s="50">
        <f>VLOOKUP($A179,'Data shares'!$C:$FM,106)</f>
        <v>42.33</v>
      </c>
      <c r="F179" s="50">
        <f>VLOOKUP($A179,'Data shares'!$C:$FM,108)</f>
        <v>-9.26</v>
      </c>
      <c r="G179" s="50">
        <f t="shared" si="5"/>
        <v>0.78124261752893931</v>
      </c>
    </row>
    <row r="180" spans="1:7" x14ac:dyDescent="0.25">
      <c r="A180" s="49" t="str">
        <f>'Data Vlaue (Cr)'!C175</f>
        <v>RELIANCE</v>
      </c>
      <c r="B180" s="50">
        <f>VLOOKUP($A180,'Data shares'!$C:$FM,102)</f>
        <v>21.84</v>
      </c>
      <c r="C180" s="50">
        <f>VLOOKUP($A180,'Data shares'!$C:$FM,110)</f>
        <v>20.190000000000001</v>
      </c>
      <c r="D180" s="50">
        <f>VLOOKUP($A180,'Data shares'!$C:$FM,114)</f>
        <v>24.35</v>
      </c>
      <c r="E180" s="50">
        <f>VLOOKUP($A180,'Data shares'!$C:$FM,106)</f>
        <v>26.73</v>
      </c>
      <c r="F180" s="50">
        <f>VLOOKUP($A180,'Data shares'!$C:$FM,108)</f>
        <v>-4.8899999999999997</v>
      </c>
      <c r="G180" s="50">
        <f t="shared" si="5"/>
        <v>0.81705948372615034</v>
      </c>
    </row>
    <row r="181" spans="1:7" x14ac:dyDescent="0.25">
      <c r="A181" s="49" t="str">
        <f>'Data Vlaue (Cr)'!C176</f>
        <v>RVNL</v>
      </c>
      <c r="B181" s="50">
        <f>VLOOKUP($A181,'Data shares'!$C:$FM,102)</f>
        <v>46.87</v>
      </c>
      <c r="C181" s="50">
        <f>VLOOKUP($A181,'Data shares'!$C:$FM,110)</f>
        <v>47.32</v>
      </c>
      <c r="D181" s="50">
        <f>VLOOKUP($A181,'Data shares'!$C:$FM,114)</f>
        <v>45.65</v>
      </c>
      <c r="E181" s="50">
        <f>VLOOKUP($A181,'Data shares'!$C:$FM,106)</f>
        <v>57.41</v>
      </c>
      <c r="F181" s="50">
        <f>VLOOKUP($A181,'Data shares'!$C:$FM,108)</f>
        <v>-10.54</v>
      </c>
      <c r="G181" s="50">
        <f t="shared" si="5"/>
        <v>0.81640829123846015</v>
      </c>
    </row>
    <row r="182" spans="1:7" x14ac:dyDescent="0.25">
      <c r="A182" s="49" t="str">
        <f>'Data Vlaue (Cr)'!C177</f>
        <v>SAIL</v>
      </c>
      <c r="B182" s="50">
        <f>VLOOKUP($A182,'Data shares'!$C:$FM,102)</f>
        <v>36.99</v>
      </c>
      <c r="C182" s="50">
        <f>VLOOKUP($A182,'Data shares'!$C:$FM,110)</f>
        <v>36.9</v>
      </c>
      <c r="D182" s="50">
        <f>VLOOKUP($A182,'Data shares'!$C:$FM,114)</f>
        <v>37.11</v>
      </c>
      <c r="E182" s="50">
        <f>VLOOKUP($A182,'Data shares'!$C:$FM,106)</f>
        <v>43.8</v>
      </c>
      <c r="F182" s="50">
        <f>VLOOKUP($A182,'Data shares'!$C:$FM,108)</f>
        <v>-6.81</v>
      </c>
      <c r="G182" s="50">
        <f t="shared" si="5"/>
        <v>0.84452054794520559</v>
      </c>
    </row>
    <row r="183" spans="1:7" x14ac:dyDescent="0.25">
      <c r="A183" s="49" t="str">
        <f>'Data Vlaue (Cr)'!C178</f>
        <v>SAMMAANCAP</v>
      </c>
      <c r="B183" s="50">
        <f>VLOOKUP($A183,'Data shares'!$C:$FM,102)</f>
        <v>38.85</v>
      </c>
      <c r="C183" s="50">
        <f>VLOOKUP($A183,'Data shares'!$C:$FM,110)</f>
        <v>39.840000000000003</v>
      </c>
      <c r="D183" s="50">
        <f>VLOOKUP($A183,'Data shares'!$C:$FM,114)</f>
        <v>36.28</v>
      </c>
      <c r="E183" s="50">
        <f>VLOOKUP($A183,'Data shares'!$C:$FM,106)</f>
        <v>52.52</v>
      </c>
      <c r="F183" s="50">
        <f>VLOOKUP($A183,'Data shares'!$C:$FM,108)</f>
        <v>-13.67</v>
      </c>
      <c r="G183" s="50">
        <f t="shared" si="5"/>
        <v>0.73971820258948973</v>
      </c>
    </row>
    <row r="184" spans="1:7" x14ac:dyDescent="0.25">
      <c r="A184" s="49" t="str">
        <f>'Data Vlaue (Cr)'!C179</f>
        <v>SBICARD</v>
      </c>
      <c r="B184" s="50">
        <f>VLOOKUP($A184,'Data shares'!$C:$FM,102)</f>
        <v>32</v>
      </c>
      <c r="C184" s="50">
        <f>VLOOKUP($A184,'Data shares'!$C:$FM,110)</f>
        <v>32.11</v>
      </c>
      <c r="D184" s="50">
        <f>VLOOKUP($A184,'Data shares'!$C:$FM,114)</f>
        <v>31.79</v>
      </c>
      <c r="E184" s="50">
        <f>VLOOKUP($A184,'Data shares'!$C:$FM,106)</f>
        <v>32.130000000000003</v>
      </c>
      <c r="F184" s="50">
        <f>VLOOKUP($A184,'Data shares'!$C:$FM,108)</f>
        <v>-0.13</v>
      </c>
      <c r="G184" s="50">
        <f t="shared" si="5"/>
        <v>0.99595393713040758</v>
      </c>
    </row>
    <row r="185" spans="1:7" x14ac:dyDescent="0.25">
      <c r="A185" s="49" t="str">
        <f>'Data Vlaue (Cr)'!C180</f>
        <v>SBILIFE</v>
      </c>
      <c r="B185" s="50">
        <f>VLOOKUP($A185,'Data shares'!$C:$FM,102)</f>
        <v>25.5</v>
      </c>
      <c r="C185" s="50">
        <f>VLOOKUP($A185,'Data shares'!$C:$FM,110)</f>
        <v>25.19</v>
      </c>
      <c r="D185" s="50">
        <f>VLOOKUP($A185,'Data shares'!$C:$FM,114)</f>
        <v>26.27</v>
      </c>
      <c r="E185" s="50">
        <f>VLOOKUP($A185,'Data shares'!$C:$FM,106)</f>
        <v>26.74</v>
      </c>
      <c r="F185" s="50">
        <f>VLOOKUP($A185,'Data shares'!$C:$FM,108)</f>
        <v>-1.24</v>
      </c>
      <c r="G185" s="50">
        <f t="shared" si="5"/>
        <v>0.95362752430815267</v>
      </c>
    </row>
    <row r="186" spans="1:7" x14ac:dyDescent="0.25">
      <c r="A186" s="49" t="str">
        <f>'Data Vlaue (Cr)'!C181</f>
        <v>SBIN</v>
      </c>
      <c r="B186" s="50">
        <f>VLOOKUP($A186,'Data shares'!$C:$FM,102)</f>
        <v>32.43</v>
      </c>
      <c r="C186" s="50">
        <f>VLOOKUP($A186,'Data shares'!$C:$FM,110)</f>
        <v>32.68</v>
      </c>
      <c r="D186" s="50">
        <f>VLOOKUP($A186,'Data shares'!$C:$FM,114)</f>
        <v>31.98</v>
      </c>
      <c r="E186" s="50">
        <f>VLOOKUP($A186,'Data shares'!$C:$FM,106)</f>
        <v>28.94</v>
      </c>
      <c r="F186" s="50">
        <f>VLOOKUP($A186,'Data shares'!$C:$FM,108)</f>
        <v>3.49</v>
      </c>
      <c r="G186" s="50">
        <f t="shared" si="5"/>
        <v>1.1205943331029715</v>
      </c>
    </row>
    <row r="187" spans="1:7" x14ac:dyDescent="0.25">
      <c r="A187" s="49" t="str">
        <f>'Data Vlaue (Cr)'!C182</f>
        <v>SHREECEM</v>
      </c>
      <c r="B187" s="50">
        <f>VLOOKUP($A187,'Data shares'!$C:$FM,102)</f>
        <v>32.729999999999997</v>
      </c>
      <c r="C187" s="50">
        <f>VLOOKUP($A187,'Data shares'!$C:$FM,110)</f>
        <v>32.380000000000003</v>
      </c>
      <c r="D187" s="50">
        <f>VLOOKUP($A187,'Data shares'!$C:$FM,114)</f>
        <v>33.590000000000003</v>
      </c>
      <c r="E187" s="50">
        <f>VLOOKUP($A187,'Data shares'!$C:$FM,106)</f>
        <v>27.78</v>
      </c>
      <c r="F187" s="50">
        <f>VLOOKUP($A187,'Data shares'!$C:$FM,108)</f>
        <v>4.95</v>
      </c>
      <c r="G187" s="50">
        <f t="shared" si="5"/>
        <v>1.1781857451403885</v>
      </c>
    </row>
    <row r="188" spans="1:7" x14ac:dyDescent="0.25">
      <c r="A188" s="49" t="str">
        <f>'Data Vlaue (Cr)'!C183</f>
        <v>SHRIRAMFIN</v>
      </c>
      <c r="B188" s="50">
        <f>VLOOKUP($A188,'Data shares'!$C:$FM,102)</f>
        <v>38.44</v>
      </c>
      <c r="C188" s="50">
        <f>VLOOKUP($A188,'Data shares'!$C:$FM,110)</f>
        <v>38.590000000000003</v>
      </c>
      <c r="D188" s="50">
        <f>VLOOKUP($A188,'Data shares'!$C:$FM,114)</f>
        <v>38.04</v>
      </c>
      <c r="E188" s="50">
        <f>VLOOKUP($A188,'Data shares'!$C:$FM,106)</f>
        <v>44.83</v>
      </c>
      <c r="F188" s="50">
        <f>VLOOKUP($A188,'Data shares'!$C:$FM,108)</f>
        <v>-6.39</v>
      </c>
      <c r="G188" s="50">
        <f t="shared" ref="G188:G204" si="6">B188/E188</f>
        <v>0.85746152130269904</v>
      </c>
    </row>
    <row r="189" spans="1:7" x14ac:dyDescent="0.25">
      <c r="A189" s="49" t="str">
        <f>'Data Vlaue (Cr)'!C184</f>
        <v>SIEMENS</v>
      </c>
      <c r="B189" s="50">
        <f>VLOOKUP($A189,'Data shares'!$C:$FM,102)</f>
        <v>41.1</v>
      </c>
      <c r="C189" s="50">
        <f>VLOOKUP($A189,'Data shares'!$C:$FM,110)</f>
        <v>41.12</v>
      </c>
      <c r="D189" s="50">
        <f>VLOOKUP($A189,'Data shares'!$C:$FM,114)</f>
        <v>41.05</v>
      </c>
      <c r="E189" s="50">
        <f>VLOOKUP($A189,'Data shares'!$C:$FM,106)</f>
        <v>40.56</v>
      </c>
      <c r="F189" s="50">
        <f>VLOOKUP($A189,'Data shares'!$C:$FM,108)</f>
        <v>0.54</v>
      </c>
      <c r="G189" s="50">
        <f t="shared" si="6"/>
        <v>1.0133136094674555</v>
      </c>
    </row>
    <row r="190" spans="1:7" x14ac:dyDescent="0.25">
      <c r="A190" s="49" t="str">
        <f>'Data Vlaue (Cr)'!C185</f>
        <v>SOLARINDS</v>
      </c>
      <c r="B190" s="50">
        <f>VLOOKUP($A190,'Data shares'!$C:$FM,102)</f>
        <v>41.07</v>
      </c>
      <c r="C190" s="50">
        <f>VLOOKUP($A190,'Data shares'!$C:$FM,110)</f>
        <v>39.64</v>
      </c>
      <c r="D190" s="50">
        <f>VLOOKUP($A190,'Data shares'!$C:$FM,114)</f>
        <v>43.36</v>
      </c>
      <c r="E190" s="50">
        <f>VLOOKUP($A190,'Data shares'!$C:$FM,106)</f>
        <v>41.31</v>
      </c>
      <c r="F190" s="50">
        <f>VLOOKUP($A190,'Data shares'!$C:$FM,108)</f>
        <v>-0.24</v>
      </c>
      <c r="G190" s="50">
        <f t="shared" si="6"/>
        <v>0.99419026870007254</v>
      </c>
    </row>
    <row r="191" spans="1:7" x14ac:dyDescent="0.25">
      <c r="A191" s="49" t="str">
        <f>'Data Vlaue (Cr)'!C186</f>
        <v>SONACOMS</v>
      </c>
      <c r="B191" s="50">
        <f>VLOOKUP($A191,'Data shares'!$C:$FM,102)</f>
        <v>37.57</v>
      </c>
      <c r="C191" s="50">
        <f>VLOOKUP($A191,'Data shares'!$C:$FM,110)</f>
        <v>37.65</v>
      </c>
      <c r="D191" s="50">
        <f>VLOOKUP($A191,'Data shares'!$C:$FM,114)</f>
        <v>37.43</v>
      </c>
      <c r="E191" s="50">
        <f>VLOOKUP($A191,'Data shares'!$C:$FM,106)</f>
        <v>41.96</v>
      </c>
      <c r="F191" s="50">
        <f>VLOOKUP($A191,'Data shares'!$C:$FM,108)</f>
        <v>-4.3899999999999997</v>
      </c>
      <c r="G191" s="50">
        <f t="shared" si="6"/>
        <v>0.89537654909437558</v>
      </c>
    </row>
    <row r="192" spans="1:7" x14ac:dyDescent="0.25">
      <c r="A192" s="49" t="str">
        <f>'Data Vlaue (Cr)'!C187</f>
        <v>SRF</v>
      </c>
      <c r="B192" s="50">
        <f>VLOOKUP($A192,'Data shares'!$C:$FM,102)</f>
        <v>38.25</v>
      </c>
      <c r="C192" s="50">
        <f>VLOOKUP($A192,'Data shares'!$C:$FM,110)</f>
        <v>38.049999999999997</v>
      </c>
      <c r="D192" s="50">
        <f>VLOOKUP($A192,'Data shares'!$C:$FM,114)</f>
        <v>38.78</v>
      </c>
      <c r="E192" s="50">
        <f>VLOOKUP($A192,'Data shares'!$C:$FM,106)</f>
        <v>36.049999999999997</v>
      </c>
      <c r="F192" s="50">
        <f>VLOOKUP($A192,'Data shares'!$C:$FM,108)</f>
        <v>2.2000000000000002</v>
      </c>
      <c r="G192" s="50">
        <f t="shared" si="6"/>
        <v>1.0610263522884882</v>
      </c>
    </row>
    <row r="193" spans="1:7" x14ac:dyDescent="0.25">
      <c r="A193" s="49" t="str">
        <f>'Data Vlaue (Cr)'!C188</f>
        <v>SUNPHARMA</v>
      </c>
      <c r="B193" s="50">
        <f>VLOOKUP($A193,'Data shares'!$C:$FM,102)</f>
        <v>23.25</v>
      </c>
      <c r="C193" s="50">
        <f>VLOOKUP($A193,'Data shares'!$C:$FM,110)</f>
        <v>22.54</v>
      </c>
      <c r="D193" s="50">
        <f>VLOOKUP($A193,'Data shares'!$C:$FM,114)</f>
        <v>24.6</v>
      </c>
      <c r="E193" s="50">
        <f>VLOOKUP($A193,'Data shares'!$C:$FM,106)</f>
        <v>25.6</v>
      </c>
      <c r="F193" s="50">
        <f>VLOOKUP($A193,'Data shares'!$C:$FM,108)</f>
        <v>-2.35</v>
      </c>
      <c r="G193" s="50">
        <f t="shared" si="6"/>
        <v>0.908203125</v>
      </c>
    </row>
    <row r="194" spans="1:7" x14ac:dyDescent="0.25">
      <c r="A194" s="49" t="str">
        <f>'Data Vlaue (Cr)'!C189</f>
        <v>SUPREMEIND</v>
      </c>
      <c r="B194" s="50">
        <f>VLOOKUP($A194,'Data shares'!$C:$FM,102)</f>
        <v>32.35</v>
      </c>
      <c r="C194" s="50">
        <f>VLOOKUP($A194,'Data shares'!$C:$FM,110)</f>
        <v>32.5</v>
      </c>
      <c r="D194" s="50">
        <f>VLOOKUP($A194,'Data shares'!$C:$FM,114)</f>
        <v>31.98</v>
      </c>
      <c r="E194" s="50">
        <f>VLOOKUP($A194,'Data shares'!$C:$FM,106)</f>
        <v>37.61</v>
      </c>
      <c r="F194" s="50">
        <f>VLOOKUP($A194,'Data shares'!$C:$FM,108)</f>
        <v>-5.26</v>
      </c>
      <c r="G194" s="50">
        <f t="shared" si="6"/>
        <v>0.86014357883541614</v>
      </c>
    </row>
    <row r="195" spans="1:7" x14ac:dyDescent="0.25">
      <c r="A195" s="49" t="str">
        <f>'Data Vlaue (Cr)'!C190</f>
        <v>SUZLON</v>
      </c>
      <c r="B195" s="50">
        <f>VLOOKUP($A195,'Data shares'!$C:$FM,102)</f>
        <v>48.9</v>
      </c>
      <c r="C195" s="50">
        <f>VLOOKUP($A195,'Data shares'!$C:$FM,110)</f>
        <v>49.12</v>
      </c>
      <c r="D195" s="50">
        <f>VLOOKUP($A195,'Data shares'!$C:$FM,114)</f>
        <v>48.42</v>
      </c>
      <c r="E195" s="50">
        <f>VLOOKUP($A195,'Data shares'!$C:$FM,106)</f>
        <v>47.23</v>
      </c>
      <c r="F195" s="50">
        <f>VLOOKUP($A195,'Data shares'!$C:$FM,108)</f>
        <v>1.67</v>
      </c>
      <c r="G195" s="50">
        <f t="shared" si="6"/>
        <v>1.0353588820664832</v>
      </c>
    </row>
    <row r="196" spans="1:7" x14ac:dyDescent="0.25">
      <c r="A196" s="49" t="str">
        <f>'Data Vlaue (Cr)'!C191</f>
        <v>SWIGGY</v>
      </c>
      <c r="B196" s="50">
        <f>VLOOKUP($A196,'Data shares'!$C:$FM,102)</f>
        <v>47.27</v>
      </c>
      <c r="C196" s="50">
        <f>VLOOKUP($A196,'Data shares'!$C:$FM,110)</f>
        <v>46.94</v>
      </c>
      <c r="D196" s="50">
        <f>VLOOKUP($A196,'Data shares'!$C:$FM,114)</f>
        <v>48.08</v>
      </c>
      <c r="E196" s="50">
        <f>VLOOKUP($A196,'Data shares'!$C:$FM,106)</f>
        <v>45.22</v>
      </c>
      <c r="F196" s="50">
        <f>VLOOKUP($A196,'Data shares'!$C:$FM,108)</f>
        <v>2.0499999999999998</v>
      </c>
      <c r="G196" s="50">
        <f t="shared" si="6"/>
        <v>1.0453339230429015</v>
      </c>
    </row>
    <row r="197" spans="1:7" x14ac:dyDescent="0.25">
      <c r="A197" s="49" t="str">
        <f>'Data Vlaue (Cr)'!C192</f>
        <v>TATACONSUM</v>
      </c>
      <c r="B197" s="50">
        <f>VLOOKUP($A197,'Data shares'!$C:$FM,102)</f>
        <v>28.41</v>
      </c>
      <c r="C197" s="50">
        <f>VLOOKUP($A197,'Data shares'!$C:$FM,110)</f>
        <v>28.27</v>
      </c>
      <c r="D197" s="50">
        <f>VLOOKUP($A197,'Data shares'!$C:$FM,114)</f>
        <v>28.94</v>
      </c>
      <c r="E197" s="50">
        <f>VLOOKUP($A197,'Data shares'!$C:$FM,106)</f>
        <v>27.56</v>
      </c>
      <c r="F197" s="50">
        <f>VLOOKUP($A197,'Data shares'!$C:$FM,108)</f>
        <v>0.85</v>
      </c>
      <c r="G197" s="50">
        <f t="shared" si="6"/>
        <v>1.0308417997097243</v>
      </c>
    </row>
    <row r="198" spans="1:7" x14ac:dyDescent="0.25">
      <c r="A198" s="49" t="str">
        <f>'Data Vlaue (Cr)'!C193</f>
        <v>TATAELXSI</v>
      </c>
      <c r="B198" s="50">
        <f>VLOOKUP($A198,'Data shares'!$C:$FM,102)</f>
        <v>37.46</v>
      </c>
      <c r="C198" s="50">
        <f>VLOOKUP($A198,'Data shares'!$C:$FM,110)</f>
        <v>37.880000000000003</v>
      </c>
      <c r="D198" s="50">
        <f>VLOOKUP($A198,'Data shares'!$C:$FM,114)</f>
        <v>36.19</v>
      </c>
      <c r="E198" s="50">
        <f>VLOOKUP($A198,'Data shares'!$C:$FM,106)</f>
        <v>39.619999999999997</v>
      </c>
      <c r="F198" s="50">
        <f>VLOOKUP($A198,'Data shares'!$C:$FM,108)</f>
        <v>-2.16</v>
      </c>
      <c r="G198" s="50">
        <f t="shared" si="6"/>
        <v>0.94548207975769827</v>
      </c>
    </row>
    <row r="199" spans="1:7" x14ac:dyDescent="0.25">
      <c r="A199" s="49" t="str">
        <f>'Data Vlaue (Cr)'!C194</f>
        <v>TATAPOWER</v>
      </c>
      <c r="B199" s="50">
        <f>VLOOKUP($A199,'Data shares'!$C:$FM,102)</f>
        <v>32.06</v>
      </c>
      <c r="C199" s="50">
        <f>VLOOKUP($A199,'Data shares'!$C:$FM,110)</f>
        <v>32.340000000000003</v>
      </c>
      <c r="D199" s="50">
        <f>VLOOKUP($A199,'Data shares'!$C:$FM,114)</f>
        <v>31.19</v>
      </c>
      <c r="E199" s="50">
        <f>VLOOKUP($A199,'Data shares'!$C:$FM,106)</f>
        <v>31.8</v>
      </c>
      <c r="F199" s="50">
        <f>VLOOKUP($A199,'Data shares'!$C:$FM,108)</f>
        <v>0.26</v>
      </c>
      <c r="G199" s="50">
        <f t="shared" si="6"/>
        <v>1.0081761006289309</v>
      </c>
    </row>
    <row r="200" spans="1:7" x14ac:dyDescent="0.25">
      <c r="A200" s="49" t="str">
        <f>'Data Vlaue (Cr)'!C195</f>
        <v>TATASTEEL</v>
      </c>
      <c r="B200" s="50">
        <f>VLOOKUP($A200,'Data shares'!$C:$FM,102)</f>
        <v>30.06</v>
      </c>
      <c r="C200" s="50">
        <f>VLOOKUP($A200,'Data shares'!$C:$FM,110)</f>
        <v>29.42</v>
      </c>
      <c r="D200" s="50">
        <f>VLOOKUP($A200,'Data shares'!$C:$FM,114)</f>
        <v>31.21</v>
      </c>
      <c r="E200" s="50">
        <f>VLOOKUP($A200,'Data shares'!$C:$FM,106)</f>
        <v>35.520000000000003</v>
      </c>
      <c r="F200" s="50">
        <f>VLOOKUP($A200,'Data shares'!$C:$FM,108)</f>
        <v>-5.46</v>
      </c>
      <c r="G200" s="50">
        <f t="shared" si="6"/>
        <v>0.84628378378378366</v>
      </c>
    </row>
    <row r="201" spans="1:7" x14ac:dyDescent="0.25">
      <c r="A201" s="49" t="str">
        <f>'Data Vlaue (Cr)'!C196</f>
        <v>TCS</v>
      </c>
      <c r="B201" s="50">
        <f>VLOOKUP($A201,'Data shares'!$C:$FM,102)</f>
        <v>27.53</v>
      </c>
      <c r="C201" s="50">
        <f>VLOOKUP($A201,'Data shares'!$C:$FM,110)</f>
        <v>27.5</v>
      </c>
      <c r="D201" s="50">
        <f>VLOOKUP($A201,'Data shares'!$C:$FM,114)</f>
        <v>27.59</v>
      </c>
      <c r="E201" s="50">
        <f>VLOOKUP($A201,'Data shares'!$C:$FM,106)</f>
        <v>28.09</v>
      </c>
      <c r="F201" s="50">
        <f>VLOOKUP($A201,'Data shares'!$C:$FM,108)</f>
        <v>-0.56000000000000005</v>
      </c>
      <c r="G201" s="50">
        <f t="shared" si="6"/>
        <v>0.98006407974368104</v>
      </c>
    </row>
    <row r="202" spans="1:7" x14ac:dyDescent="0.25">
      <c r="A202" s="49" t="str">
        <f>'Data Vlaue (Cr)'!C197</f>
        <v>TECHM</v>
      </c>
      <c r="B202" s="50">
        <f>VLOOKUP($A202,'Data shares'!$C:$FM,102)</f>
        <v>28.95</v>
      </c>
      <c r="C202" s="50">
        <f>VLOOKUP($A202,'Data shares'!$C:$FM,110)</f>
        <v>28.38</v>
      </c>
      <c r="D202" s="50">
        <f>VLOOKUP($A202,'Data shares'!$C:$FM,114)</f>
        <v>29.85</v>
      </c>
      <c r="E202" s="50">
        <f>VLOOKUP($A202,'Data shares'!$C:$FM,106)</f>
        <v>32.159999999999997</v>
      </c>
      <c r="F202" s="50">
        <f>VLOOKUP($A202,'Data shares'!$C:$FM,108)</f>
        <v>-3.21</v>
      </c>
      <c r="G202" s="50">
        <f t="shared" si="6"/>
        <v>0.90018656716417922</v>
      </c>
    </row>
    <row r="203" spans="1:7" x14ac:dyDescent="0.25">
      <c r="A203" s="49" t="str">
        <f>'Data Vlaue (Cr)'!C198</f>
        <v>TIINDIA</v>
      </c>
      <c r="B203" s="50">
        <f>VLOOKUP($A203,'Data shares'!$C:$FM,102)</f>
        <v>40.68</v>
      </c>
      <c r="C203" s="50">
        <f>VLOOKUP($A203,'Data shares'!$C:$FM,110)</f>
        <v>40.61</v>
      </c>
      <c r="D203" s="50">
        <f>VLOOKUP($A203,'Data shares'!$C:$FM,114)</f>
        <v>40.909999999999997</v>
      </c>
      <c r="E203" s="50">
        <f>VLOOKUP($A203,'Data shares'!$C:$FM,106)</f>
        <v>44.23</v>
      </c>
      <c r="F203" s="50">
        <f>VLOOKUP($A203,'Data shares'!$C:$FM,108)</f>
        <v>-3.55</v>
      </c>
      <c r="G203" s="50">
        <f t="shared" si="6"/>
        <v>0.91973773456929686</v>
      </c>
    </row>
    <row r="204" spans="1:7" x14ac:dyDescent="0.25">
      <c r="A204" s="49" t="str">
        <f>'Data Vlaue (Cr)'!C199</f>
        <v>TITAN</v>
      </c>
      <c r="B204" s="50">
        <f>VLOOKUP($A204,'Data shares'!$C:$FM,102)</f>
        <v>28.2</v>
      </c>
      <c r="C204" s="50">
        <f>VLOOKUP($A204,'Data shares'!$C:$FM,110)</f>
        <v>27.74</v>
      </c>
      <c r="D204" s="50">
        <f>VLOOKUP($A204,'Data shares'!$C:$FM,114)</f>
        <v>28.86</v>
      </c>
      <c r="E204" s="50">
        <f>VLOOKUP($A204,'Data shares'!$C:$FM,106)</f>
        <v>27.44</v>
      </c>
      <c r="F204" s="50">
        <f>VLOOKUP($A204,'Data shares'!$C:$FM,108)</f>
        <v>0.76</v>
      </c>
      <c r="G204" s="50">
        <f t="shared" si="6"/>
        <v>1.0276967930029153</v>
      </c>
    </row>
    <row r="205" spans="1:7" x14ac:dyDescent="0.25">
      <c r="A205" s="49" t="str">
        <f>'Data Vlaue (Cr)'!C200</f>
        <v>TMPV</v>
      </c>
      <c r="B205" s="50">
        <f>VLOOKUP($A205,'Data shares'!$C:$FM,102)</f>
        <v>39.369999999999997</v>
      </c>
      <c r="C205" s="50">
        <f>VLOOKUP($A205,'Data shares'!$C:$FM,110)</f>
        <v>39.17</v>
      </c>
      <c r="D205" s="50">
        <f>VLOOKUP($A205,'Data shares'!$C:$FM,114)</f>
        <v>39.979999999999997</v>
      </c>
      <c r="E205" s="50">
        <f>VLOOKUP($A205,'Data shares'!$C:$FM,106)</f>
        <v>37.99</v>
      </c>
      <c r="F205" s="50">
        <f>VLOOKUP($A205,'Data shares'!$C:$FM,108)</f>
        <v>1.38</v>
      </c>
      <c r="G205" s="50">
        <f t="shared" ref="G205:G214" si="7">B205/E205</f>
        <v>1.0363253487759936</v>
      </c>
    </row>
    <row r="206" spans="1:7" x14ac:dyDescent="0.25">
      <c r="A206" s="49" t="str">
        <f>'Data Vlaue (Cr)'!C201</f>
        <v>TORNTPHARM</v>
      </c>
      <c r="B206" s="50">
        <f>VLOOKUP($A206,'Data shares'!$C:$FM,102)</f>
        <v>27.29</v>
      </c>
      <c r="C206" s="50">
        <f>VLOOKUP($A206,'Data shares'!$C:$FM,110)</f>
        <v>27.2</v>
      </c>
      <c r="D206" s="50">
        <f>VLOOKUP($A206,'Data shares'!$C:$FM,114)</f>
        <v>27.69</v>
      </c>
      <c r="E206" s="50">
        <f>VLOOKUP($A206,'Data shares'!$C:$FM,106)</f>
        <v>25.44</v>
      </c>
      <c r="F206" s="50">
        <f>VLOOKUP($A206,'Data shares'!$C:$FM,108)</f>
        <v>1.85</v>
      </c>
      <c r="G206" s="50">
        <f t="shared" si="7"/>
        <v>1.0727201257861634</v>
      </c>
    </row>
    <row r="207" spans="1:7" x14ac:dyDescent="0.25">
      <c r="A207" s="49" t="str">
        <f>'Data Vlaue (Cr)'!C202</f>
        <v>TRENT</v>
      </c>
      <c r="B207" s="50">
        <f>VLOOKUP($A207,'Data shares'!$C:$FM,102)</f>
        <v>34.340000000000003</v>
      </c>
      <c r="C207" s="50">
        <f>VLOOKUP($A207,'Data shares'!$C:$FM,110)</f>
        <v>34.36</v>
      </c>
      <c r="D207" s="50">
        <f>VLOOKUP($A207,'Data shares'!$C:$FM,114)</f>
        <v>34.270000000000003</v>
      </c>
      <c r="E207" s="50">
        <f>VLOOKUP($A207,'Data shares'!$C:$FM,106)</f>
        <v>44.08</v>
      </c>
      <c r="F207" s="50">
        <f>VLOOKUP($A207,'Data shares'!$C:$FM,108)</f>
        <v>-9.74</v>
      </c>
      <c r="G207" s="50">
        <f t="shared" si="7"/>
        <v>0.77903811252268618</v>
      </c>
    </row>
    <row r="208" spans="1:7" x14ac:dyDescent="0.25">
      <c r="A208" s="49" t="str">
        <f>'Data Vlaue (Cr)'!C203</f>
        <v>TVSMOTOR</v>
      </c>
      <c r="B208" s="50">
        <f>VLOOKUP($A208,'Data shares'!$C:$FM,102)</f>
        <v>37.17</v>
      </c>
      <c r="C208" s="50">
        <f>VLOOKUP($A208,'Data shares'!$C:$FM,110)</f>
        <v>37.090000000000003</v>
      </c>
      <c r="D208" s="50">
        <f>VLOOKUP($A208,'Data shares'!$C:$FM,114)</f>
        <v>37.39</v>
      </c>
      <c r="E208" s="50">
        <f>VLOOKUP($A208,'Data shares'!$C:$FM,106)</f>
        <v>33.71</v>
      </c>
      <c r="F208" s="50">
        <f>VLOOKUP($A208,'Data shares'!$C:$FM,108)</f>
        <v>3.46</v>
      </c>
      <c r="G208" s="50">
        <f t="shared" si="7"/>
        <v>1.1026401661228122</v>
      </c>
    </row>
    <row r="209" spans="1:7" x14ac:dyDescent="0.25">
      <c r="A209" s="49" t="str">
        <f>'Data Vlaue (Cr)'!C204</f>
        <v>ULTRACEMCO</v>
      </c>
      <c r="B209" s="50">
        <f>VLOOKUP($A209,'Data shares'!$C:$FM,102)</f>
        <v>28.36</v>
      </c>
      <c r="C209" s="50">
        <f>VLOOKUP($A209,'Data shares'!$C:$FM,110)</f>
        <v>28.14</v>
      </c>
      <c r="D209" s="50">
        <f>VLOOKUP($A209,'Data shares'!$C:$FM,114)</f>
        <v>28.87</v>
      </c>
      <c r="E209" s="50">
        <f>VLOOKUP($A209,'Data shares'!$C:$FM,106)</f>
        <v>29.82</v>
      </c>
      <c r="F209" s="50">
        <f>VLOOKUP($A209,'Data shares'!$C:$FM,108)</f>
        <v>-1.46</v>
      </c>
      <c r="G209" s="50">
        <f t="shared" si="7"/>
        <v>0.95103957075788059</v>
      </c>
    </row>
    <row r="210" spans="1:7" x14ac:dyDescent="0.25">
      <c r="A210" s="49" t="str">
        <f>'Data Vlaue (Cr)'!C205</f>
        <v>UNIONBANK</v>
      </c>
      <c r="B210" s="50">
        <f>VLOOKUP($A210,'Data shares'!$C:$FM,102)</f>
        <v>41.16</v>
      </c>
      <c r="C210" s="50">
        <f>VLOOKUP($A210,'Data shares'!$C:$FM,110)</f>
        <v>41.64</v>
      </c>
      <c r="D210" s="50">
        <f>VLOOKUP($A210,'Data shares'!$C:$FM,114)</f>
        <v>39.65</v>
      </c>
      <c r="E210" s="50">
        <f>VLOOKUP($A210,'Data shares'!$C:$FM,106)</f>
        <v>44.48</v>
      </c>
      <c r="F210" s="50">
        <f>VLOOKUP($A210,'Data shares'!$C:$FM,108)</f>
        <v>-3.32</v>
      </c>
      <c r="G210" s="50">
        <f t="shared" si="7"/>
        <v>0.92535971223021585</v>
      </c>
    </row>
    <row r="211" spans="1:7" x14ac:dyDescent="0.25">
      <c r="A211" s="49" t="str">
        <f>'Data Vlaue (Cr)'!C206</f>
        <v>UNITDSPR</v>
      </c>
      <c r="B211" s="50">
        <f>VLOOKUP($A211,'Data shares'!$C:$FM,102)</f>
        <v>31.11</v>
      </c>
      <c r="C211" s="50">
        <f>VLOOKUP($A211,'Data shares'!$C:$FM,110)</f>
        <v>31</v>
      </c>
      <c r="D211" s="50">
        <f>VLOOKUP($A211,'Data shares'!$C:$FM,114)</f>
        <v>31.48</v>
      </c>
      <c r="E211" s="50">
        <f>VLOOKUP($A211,'Data shares'!$C:$FM,106)</f>
        <v>30.32</v>
      </c>
      <c r="F211" s="50">
        <f>VLOOKUP($A211,'Data shares'!$C:$FM,108)</f>
        <v>0.79</v>
      </c>
      <c r="G211" s="50">
        <f t="shared" si="7"/>
        <v>1.0260554089709761</v>
      </c>
    </row>
    <row r="212" spans="1:7" x14ac:dyDescent="0.25">
      <c r="A212" s="49" t="str">
        <f>'Data Vlaue (Cr)'!C207</f>
        <v>UNOMINDA</v>
      </c>
      <c r="B212" s="50">
        <f>VLOOKUP($A212,'Data shares'!$C:$FM,102)</f>
        <v>40.98</v>
      </c>
      <c r="C212" s="50">
        <f>VLOOKUP($A212,'Data shares'!$C:$FM,110)</f>
        <v>40.08</v>
      </c>
      <c r="D212" s="50">
        <f>VLOOKUP($A212,'Data shares'!$C:$FM,114)</f>
        <v>43.85</v>
      </c>
      <c r="E212" s="50">
        <f>VLOOKUP($A212,'Data shares'!$C:$FM,106)</f>
        <v>42.42</v>
      </c>
      <c r="F212" s="50">
        <f>VLOOKUP($A212,'Data shares'!$C:$FM,108)</f>
        <v>-1.44</v>
      </c>
      <c r="G212" s="50">
        <f t="shared" si="7"/>
        <v>0.96605374823196599</v>
      </c>
    </row>
    <row r="213" spans="1:7" x14ac:dyDescent="0.25">
      <c r="A213" s="49" t="str">
        <f>'Data Vlaue (Cr)'!C208</f>
        <v>UPL</v>
      </c>
      <c r="B213" s="50">
        <f>VLOOKUP($A213,'Data shares'!$C:$FM,102)</f>
        <v>35.56</v>
      </c>
      <c r="C213" s="50">
        <f>VLOOKUP($A213,'Data shares'!$C:$FM,110)</f>
        <v>35.380000000000003</v>
      </c>
      <c r="D213" s="50">
        <f>VLOOKUP($A213,'Data shares'!$C:$FM,114)</f>
        <v>35.96</v>
      </c>
      <c r="E213" s="50">
        <f>VLOOKUP($A213,'Data shares'!$C:$FM,106)</f>
        <v>41.16</v>
      </c>
      <c r="F213" s="50">
        <f>VLOOKUP($A213,'Data shares'!$C:$FM,108)</f>
        <v>-5.6</v>
      </c>
      <c r="G213" s="50">
        <f t="shared" si="7"/>
        <v>0.8639455782312927</v>
      </c>
    </row>
    <row r="214" spans="1:7" x14ac:dyDescent="0.25">
      <c r="A214" s="49" t="str">
        <f>'Data Vlaue (Cr)'!C209</f>
        <v>VBL</v>
      </c>
      <c r="B214" s="50">
        <f>VLOOKUP($A214,'Data shares'!$C:$FM,102)</f>
        <v>32.83</v>
      </c>
      <c r="C214" s="50">
        <f>VLOOKUP($A214,'Data shares'!$C:$FM,110)</f>
        <v>32.35</v>
      </c>
      <c r="D214" s="50">
        <f>VLOOKUP($A214,'Data shares'!$C:$FM,114)</f>
        <v>33.93</v>
      </c>
      <c r="E214" s="50">
        <f>VLOOKUP($A214,'Data shares'!$C:$FM,106)</f>
        <v>38.9</v>
      </c>
      <c r="F214" s="50">
        <f>VLOOKUP($A214,'Data shares'!$C:$FM,108)</f>
        <v>-6.07</v>
      </c>
      <c r="G214" s="50">
        <f t="shared" si="7"/>
        <v>0.84395886889460148</v>
      </c>
    </row>
    <row r="215" spans="1:7" x14ac:dyDescent="0.25">
      <c r="A215" s="49" t="str">
        <f>'Data Vlaue (Cr)'!C210</f>
        <v>VEDL</v>
      </c>
      <c r="B215" s="50">
        <f>VLOOKUP($A215,'Data shares'!$C:$FM,102)</f>
        <v>50.18</v>
      </c>
      <c r="C215" s="50">
        <f>VLOOKUP($A215,'Data shares'!$C:$FM,110)</f>
        <v>50.14</v>
      </c>
      <c r="D215" s="50">
        <f>VLOOKUP($A215,'Data shares'!$C:$FM,114)</f>
        <v>50.31</v>
      </c>
      <c r="E215" s="50">
        <f>VLOOKUP($A215,'Data shares'!$C:$FM,106)</f>
        <v>43.1</v>
      </c>
      <c r="F215" s="50">
        <f>VLOOKUP($A215,'Data shares'!$C:$FM,108)</f>
        <v>7.08</v>
      </c>
      <c r="G215" s="50">
        <f t="shared" ref="G215:G217" si="8">B215/E215</f>
        <v>1.1642691415313224</v>
      </c>
    </row>
    <row r="216" spans="1:7" x14ac:dyDescent="0.25">
      <c r="A216" s="49" t="str">
        <f>'Data Vlaue (Cr)'!C211</f>
        <v>VMM</v>
      </c>
      <c r="B216" s="50">
        <f>VLOOKUP($A216,'Data shares'!$C:$FM,102)</f>
        <v>41.25</v>
      </c>
      <c r="C216" s="50">
        <f>VLOOKUP($A216,'Data shares'!$C:$FM,110)</f>
        <v>40.96</v>
      </c>
      <c r="D216" s="50">
        <f>VLOOKUP($A216,'Data shares'!$C:$FM,114)</f>
        <v>42.81</v>
      </c>
      <c r="E216" s="50">
        <f>VLOOKUP($A216,'Data shares'!$C:$FM,106)</f>
        <v>38.18</v>
      </c>
      <c r="F216" s="50">
        <f>VLOOKUP($A216,'Data shares'!$C:$FM,108)</f>
        <v>3.07</v>
      </c>
      <c r="G216" s="50">
        <f t="shared" si="8"/>
        <v>1.0804085908852803</v>
      </c>
    </row>
    <row r="217" spans="1:7" x14ac:dyDescent="0.25">
      <c r="A217" s="49" t="str">
        <f>'Data Vlaue (Cr)'!C212</f>
        <v>VOLTAS</v>
      </c>
      <c r="B217" s="50">
        <f>VLOOKUP($A217,'Data shares'!$C:$FM,102)</f>
        <v>44.88</v>
      </c>
      <c r="C217" s="50">
        <f>VLOOKUP($A217,'Data shares'!$C:$FM,110)</f>
        <v>44.84</v>
      </c>
      <c r="D217" s="50">
        <f>VLOOKUP($A217,'Data shares'!$C:$FM,114)</f>
        <v>45.01</v>
      </c>
      <c r="E217" s="50">
        <f>VLOOKUP($A217,'Data shares'!$C:$FM,106)</f>
        <v>39.97</v>
      </c>
      <c r="F217" s="50">
        <f>VLOOKUP($A217,'Data shares'!$C:$FM,108)</f>
        <v>4.91</v>
      </c>
      <c r="G217" s="50">
        <f t="shared" si="8"/>
        <v>1.1228421315986992</v>
      </c>
    </row>
    <row r="218" spans="1:7" x14ac:dyDescent="0.25">
      <c r="A218" s="49" t="str">
        <f>'Data Vlaue (Cr)'!C213</f>
        <v>WAAREEENER</v>
      </c>
      <c r="B218" s="50">
        <f>VLOOKUP($A218,'Data shares'!$C:$FM,102)</f>
        <v>42.29</v>
      </c>
      <c r="C218" s="50">
        <f>VLOOKUP($A218,'Data shares'!$C:$FM,110)</f>
        <v>42.82</v>
      </c>
      <c r="D218" s="50">
        <f>VLOOKUP($A218,'Data shares'!$C:$FM,114)</f>
        <v>40.32</v>
      </c>
      <c r="E218" s="50">
        <f>VLOOKUP($A218,'Data shares'!$C:$FM,106)</f>
        <v>54.25</v>
      </c>
      <c r="F218" s="50">
        <f>VLOOKUP($A218,'Data shares'!$C:$FM,108)</f>
        <v>-11.96</v>
      </c>
      <c r="G218" s="50">
        <f t="shared" ref="G218:G221" si="9">B218/E218</f>
        <v>0.77953917050691246</v>
      </c>
    </row>
    <row r="219" spans="1:7" x14ac:dyDescent="0.25">
      <c r="A219" s="49" t="str">
        <f>'Data Vlaue (Cr)'!C214</f>
        <v>WIPRO</v>
      </c>
      <c r="B219" s="50">
        <f>VLOOKUP($A219,'Data shares'!$C:$FM,102)</f>
        <v>31.07</v>
      </c>
      <c r="C219" s="50">
        <f>VLOOKUP($A219,'Data shares'!$C:$FM,110)</f>
        <v>31.96</v>
      </c>
      <c r="D219" s="50">
        <f>VLOOKUP($A219,'Data shares'!$C:$FM,114)</f>
        <v>29.14</v>
      </c>
      <c r="E219" s="50">
        <f>VLOOKUP($A219,'Data shares'!$C:$FM,106)</f>
        <v>31.2</v>
      </c>
      <c r="F219" s="50">
        <f>VLOOKUP($A219,'Data shares'!$C:$FM,108)</f>
        <v>-0.13</v>
      </c>
      <c r="G219" s="50">
        <f t="shared" si="9"/>
        <v>0.99583333333333335</v>
      </c>
    </row>
    <row r="220" spans="1:7" x14ac:dyDescent="0.25">
      <c r="A220" s="49" t="str">
        <f>'Data Vlaue (Cr)'!C215</f>
        <v>YESBANK</v>
      </c>
      <c r="B220" s="50">
        <f>VLOOKUP($A220,'Data shares'!$C:$FM,102)</f>
        <v>32.93</v>
      </c>
      <c r="C220" s="50">
        <f>VLOOKUP($A220,'Data shares'!$C:$FM,110)</f>
        <v>34.24</v>
      </c>
      <c r="D220" s="50">
        <f>VLOOKUP($A220,'Data shares'!$C:$FM,114)</f>
        <v>29.34</v>
      </c>
      <c r="E220" s="50">
        <f>VLOOKUP($A220,'Data shares'!$C:$FM,106)</f>
        <v>37.96</v>
      </c>
      <c r="F220" s="50">
        <f>VLOOKUP($A220,'Data shares'!$C:$FM,108)</f>
        <v>-5.03</v>
      </c>
      <c r="G220" s="50">
        <f t="shared" si="9"/>
        <v>0.86749209694415175</v>
      </c>
    </row>
    <row r="221" spans="1:7" x14ac:dyDescent="0.25">
      <c r="A221" s="49" t="str">
        <f>'Data Vlaue (Cr)'!C216</f>
        <v>ZYDUSLIFE</v>
      </c>
      <c r="B221" s="50">
        <f>VLOOKUP($A221,'Data shares'!$C:$FM,102)</f>
        <v>30.15</v>
      </c>
      <c r="C221" s="50">
        <f>VLOOKUP($A221,'Data shares'!$C:$FM,110)</f>
        <v>30.01</v>
      </c>
      <c r="D221" s="50">
        <f>VLOOKUP($A221,'Data shares'!$C:$FM,114)</f>
        <v>30.6</v>
      </c>
      <c r="E221" s="50">
        <f>VLOOKUP($A221,'Data shares'!$C:$FM,106)</f>
        <v>28.1</v>
      </c>
      <c r="F221" s="50">
        <f>VLOOKUP($A221,'Data shares'!$C:$FM,108)</f>
        <v>2.0499999999999998</v>
      </c>
      <c r="G221" s="50">
        <f t="shared" si="9"/>
        <v>1.0729537366548041</v>
      </c>
    </row>
    <row r="222" spans="1:7" x14ac:dyDescent="0.25">
      <c r="A222" s="49"/>
      <c r="B222" s="50"/>
      <c r="C222" s="50"/>
      <c r="D222" s="50"/>
      <c r="E222" s="50"/>
      <c r="F222" s="50"/>
      <c r="G222" s="50"/>
    </row>
    <row r="223" spans="1:7" x14ac:dyDescent="0.25">
      <c r="A223" s="49"/>
      <c r="B223" s="50"/>
      <c r="C223" s="50"/>
      <c r="D223" s="50"/>
      <c r="E223" s="50"/>
      <c r="F223" s="50"/>
      <c r="G223" s="50"/>
    </row>
    <row r="224" spans="1:7" x14ac:dyDescent="0.25">
      <c r="A224" s="49"/>
      <c r="B224" s="50"/>
      <c r="C224" s="50"/>
      <c r="D224" s="50"/>
      <c r="E224" s="50"/>
      <c r="F224" s="50"/>
      <c r="G224" s="50"/>
    </row>
    <row r="225" spans="1:7" x14ac:dyDescent="0.25">
      <c r="A225" s="49"/>
      <c r="B225" s="50"/>
      <c r="C225" s="50"/>
      <c r="D225" s="50"/>
      <c r="E225" s="50"/>
      <c r="F225" s="50"/>
      <c r="G225" s="50"/>
    </row>
    <row r="226" spans="1:7" x14ac:dyDescent="0.25">
      <c r="A226" s="49"/>
      <c r="B226" s="50"/>
      <c r="C226" s="50"/>
      <c r="D226" s="50"/>
      <c r="E226" s="50"/>
      <c r="F226" s="50"/>
      <c r="G226" s="50"/>
    </row>
    <row r="227" spans="1:7" x14ac:dyDescent="0.25">
      <c r="A227" s="49"/>
      <c r="B227" s="50"/>
      <c r="C227" s="50"/>
      <c r="D227" s="50"/>
      <c r="E227" s="50"/>
      <c r="F227" s="50"/>
      <c r="G227" s="50"/>
    </row>
    <row r="228" spans="1:7" x14ac:dyDescent="0.25">
      <c r="A228" s="49"/>
      <c r="B228" s="50"/>
      <c r="C228" s="50"/>
      <c r="D228" s="50"/>
      <c r="E228" s="50"/>
      <c r="F228" s="50"/>
      <c r="G228" s="50"/>
    </row>
    <row r="229" spans="1:7" x14ac:dyDescent="0.25">
      <c r="A229" s="49"/>
      <c r="B229" s="50"/>
      <c r="C229" s="50"/>
      <c r="D229" s="50"/>
      <c r="E229" s="50"/>
      <c r="F229" s="50"/>
      <c r="G229"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I14" sqref="I14"/>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9" t="s">
        <v>416</v>
      </c>
      <c r="B3" s="320"/>
      <c r="C3" s="320"/>
      <c r="D3" s="320"/>
      <c r="E3" s="320"/>
      <c r="F3" s="320"/>
    </row>
    <row r="4" spans="1:6" s="107" customFormat="1" ht="16.5" customHeight="1" x14ac:dyDescent="0.25">
      <c r="A4" s="174" t="s">
        <v>366</v>
      </c>
      <c r="B4" s="76" t="s">
        <v>417</v>
      </c>
      <c r="C4" s="76" t="s">
        <v>412</v>
      </c>
      <c r="D4" s="162" t="s">
        <v>418</v>
      </c>
      <c r="E4" s="162" t="s">
        <v>419</v>
      </c>
      <c r="F4" s="162" t="s">
        <v>419</v>
      </c>
    </row>
    <row r="5" spans="1:6" x14ac:dyDescent="0.25">
      <c r="A5" s="99" t="s">
        <v>678</v>
      </c>
      <c r="B5" s="49">
        <v>37756901</v>
      </c>
      <c r="C5" s="49">
        <v>5742000</v>
      </c>
      <c r="D5" s="49">
        <v>4170171.7628049999</v>
      </c>
      <c r="E5" s="50">
        <f>VLOOKUP($A5,'Data shares'!$C:$FA,154)*100</f>
        <v>15.479999999999999</v>
      </c>
      <c r="F5" s="173">
        <f>C5/B5</f>
        <v>0.15207815916883644</v>
      </c>
    </row>
    <row r="6" spans="1:6" x14ac:dyDescent="0.25">
      <c r="A6" s="99" t="s">
        <v>553</v>
      </c>
      <c r="B6" s="49">
        <v>7946564</v>
      </c>
      <c r="C6" s="49">
        <v>3462500</v>
      </c>
      <c r="D6" s="49">
        <v>2104335.5206849999</v>
      </c>
      <c r="E6" s="50">
        <f>VLOOKUP($A6,'Data shares'!$C:$FA,154)*100</f>
        <v>44.64</v>
      </c>
      <c r="F6" s="173">
        <f>C6/B6</f>
        <v>0.43572291118526196</v>
      </c>
    </row>
    <row r="7" spans="1:6" x14ac:dyDescent="0.25">
      <c r="A7" s="99" t="s">
        <v>544</v>
      </c>
      <c r="B7" s="49">
        <v>123369777</v>
      </c>
      <c r="C7" s="49">
        <v>70655200</v>
      </c>
      <c r="D7" s="49">
        <v>42713066.614027001</v>
      </c>
      <c r="E7" s="50">
        <f>VLOOKUP($A7,'Data shares'!$C:$FA,154)*100</f>
        <v>58.230000000000004</v>
      </c>
      <c r="F7" s="173">
        <f>C7/B7</f>
        <v>0.57271077015888583</v>
      </c>
    </row>
    <row r="8" spans="1:6" x14ac:dyDescent="0.25">
      <c r="A8" s="99" t="s">
        <v>578</v>
      </c>
      <c r="B8" s="49">
        <v>35196587</v>
      </c>
      <c r="C8" s="49">
        <v>28678050</v>
      </c>
      <c r="D8" s="49">
        <v>16393405.131452199</v>
      </c>
      <c r="E8" s="50">
        <f>VLOOKUP($A8,'Data shares'!$C:$FA,154)*100</f>
        <v>82.28</v>
      </c>
      <c r="F8" s="173">
        <f>C8/B8</f>
        <v>0.8147963323830234</v>
      </c>
    </row>
    <row r="9" spans="1:6" x14ac:dyDescent="0.25">
      <c r="A9" s="99" t="s">
        <v>159</v>
      </c>
      <c r="B9" s="49">
        <v>33645895</v>
      </c>
      <c r="C9" s="49">
        <v>32087178</v>
      </c>
      <c r="D9" s="49">
        <v>17073879.7459074</v>
      </c>
      <c r="E9" s="50"/>
      <c r="F9" s="173">
        <f>C9/B9</f>
        <v>0.95367289233946673</v>
      </c>
    </row>
    <row r="10" spans="1:6" x14ac:dyDescent="0.25">
      <c r="A10" s="99" t="s">
        <v>605</v>
      </c>
      <c r="B10" s="49">
        <v>64724093</v>
      </c>
      <c r="C10" s="49">
        <v>31967400</v>
      </c>
      <c r="D10" s="49">
        <v>19053029.743956</v>
      </c>
      <c r="E10" s="50">
        <f>VLOOKUP($A10,'Data shares'!$C:$FA,154)*100</f>
        <v>50.05</v>
      </c>
      <c r="F10" s="173">
        <f>C10/B10</f>
        <v>0.49390263375339999</v>
      </c>
    </row>
    <row r="11" spans="1:6" x14ac:dyDescent="0.25">
      <c r="A11" s="99" t="s">
        <v>160</v>
      </c>
      <c r="B11" s="49">
        <v>88142691</v>
      </c>
      <c r="C11" s="49">
        <v>35964150</v>
      </c>
      <c r="D11" s="49">
        <v>20779464.2942672</v>
      </c>
      <c r="E11" s="50">
        <f>VLOOKUP($A11,'Data shares'!$C:$FA,154)*100</f>
        <v>41.64</v>
      </c>
      <c r="F11" s="173">
        <f>C11/B11</f>
        <v>0.40802191982089586</v>
      </c>
    </row>
    <row r="12" spans="1:6" x14ac:dyDescent="0.25">
      <c r="A12" s="99" t="s">
        <v>693</v>
      </c>
      <c r="B12" s="49">
        <v>482906787</v>
      </c>
      <c r="C12" s="49">
        <v>125091350</v>
      </c>
      <c r="D12" s="49">
        <v>70918235.946025997</v>
      </c>
      <c r="E12" s="50">
        <f>VLOOKUP($A12,'Data shares'!$C:$FA,154)*100</f>
        <v>26.44</v>
      </c>
      <c r="F12" s="173">
        <f>C12/B12</f>
        <v>0.25903829345020163</v>
      </c>
    </row>
    <row r="13" spans="1:6" x14ac:dyDescent="0.25">
      <c r="A13" s="99" t="s">
        <v>497</v>
      </c>
      <c r="B13" s="49">
        <v>5873365</v>
      </c>
      <c r="C13" s="49">
        <v>1380375</v>
      </c>
      <c r="D13" s="49">
        <v>1038332.2838037499</v>
      </c>
      <c r="E13" s="50">
        <f>VLOOKUP($A13,'Data shares'!$C:$FA,154)*100</f>
        <v>23.549999999999997</v>
      </c>
      <c r="F13" s="173">
        <f>C13/B13</f>
        <v>0.2350228531684988</v>
      </c>
    </row>
    <row r="14" spans="1:6" x14ac:dyDescent="0.25">
      <c r="A14" s="99" t="s">
        <v>677</v>
      </c>
      <c r="B14" s="49">
        <v>3260820</v>
      </c>
      <c r="C14" s="49">
        <v>1790700</v>
      </c>
      <c r="D14" s="49">
        <v>1109248.4489849999</v>
      </c>
      <c r="E14" s="50">
        <f>VLOOKUP($A14,'Data shares'!$C:$FA,154)*100</f>
        <v>56.489999999999995</v>
      </c>
      <c r="F14" s="173">
        <f>C14/B14</f>
        <v>0.5491563471764771</v>
      </c>
    </row>
    <row r="15" spans="1:6" x14ac:dyDescent="0.25">
      <c r="A15" s="99" t="s">
        <v>164</v>
      </c>
      <c r="B15" s="49">
        <v>97233107</v>
      </c>
      <c r="C15" s="49">
        <v>98837700</v>
      </c>
      <c r="D15" s="49">
        <v>65626437.312418498</v>
      </c>
      <c r="E15" s="50">
        <f>VLOOKUP($A15,'Data shares'!$C:$FA,154)*100</f>
        <v>103.06</v>
      </c>
      <c r="F15" s="173">
        <f>C15/B15</f>
        <v>1.0165025375564725</v>
      </c>
    </row>
    <row r="16" spans="1:6" x14ac:dyDescent="0.25">
      <c r="A16" s="99" t="s">
        <v>608</v>
      </c>
      <c r="B16" s="49">
        <v>96940911</v>
      </c>
      <c r="C16" s="49">
        <v>41547500</v>
      </c>
      <c r="D16" s="49">
        <v>25009407.484825</v>
      </c>
      <c r="E16" s="50">
        <f>VLOOKUP($A16,'Data shares'!$C:$FA,154)*100</f>
        <v>44.14</v>
      </c>
      <c r="F16" s="173">
        <f>C16/B16</f>
        <v>0.42858582172804216</v>
      </c>
    </row>
    <row r="17" spans="1:6" x14ac:dyDescent="0.25">
      <c r="A17" s="99" t="s">
        <v>597</v>
      </c>
      <c r="B17" s="49">
        <v>29871221</v>
      </c>
      <c r="C17" s="49">
        <v>8212400</v>
      </c>
      <c r="D17" s="49">
        <v>5694147.9853649996</v>
      </c>
      <c r="E17" s="50">
        <f>VLOOKUP($A17,'Data shares'!$C:$FA,154)*100</f>
        <v>27.74</v>
      </c>
      <c r="F17" s="173">
        <f>C17/B17</f>
        <v>0.27492682672730384</v>
      </c>
    </row>
    <row r="18" spans="1:6" x14ac:dyDescent="0.25">
      <c r="A18" s="99" t="s">
        <v>165</v>
      </c>
      <c r="B18" s="49">
        <v>15524629</v>
      </c>
      <c r="C18" s="49">
        <v>3050500</v>
      </c>
      <c r="D18" s="49">
        <v>1986686.7636512499</v>
      </c>
      <c r="E18" s="50">
        <f>VLOOKUP($A18,'Data shares'!$C:$FA,154)*100</f>
        <v>19.86</v>
      </c>
      <c r="F18" s="173">
        <f>C18/B18</f>
        <v>0.19649422862214613</v>
      </c>
    </row>
    <row r="19" spans="1:6" x14ac:dyDescent="0.25">
      <c r="A19" s="99" t="s">
        <v>167</v>
      </c>
      <c r="B19" s="49">
        <v>423779104</v>
      </c>
      <c r="C19" s="49">
        <v>259175000</v>
      </c>
      <c r="D19" s="49">
        <v>127759025.95495</v>
      </c>
      <c r="E19" s="50">
        <f>VLOOKUP($A19,'Data shares'!$C:$FA,154)*100</f>
        <v>62.77</v>
      </c>
      <c r="F19" s="173">
        <f>C19/B19</f>
        <v>0.61158041430943233</v>
      </c>
    </row>
    <row r="20" spans="1:6" x14ac:dyDescent="0.25">
      <c r="A20" s="99" t="s">
        <v>169</v>
      </c>
      <c r="B20" s="49">
        <v>62818628</v>
      </c>
      <c r="C20" s="49">
        <v>20629500</v>
      </c>
      <c r="D20" s="49">
        <v>14087451.45977</v>
      </c>
      <c r="E20" s="50">
        <f>VLOOKUP($A20,'Data shares'!$C:$FA,154)*100</f>
        <v>33.629999999999995</v>
      </c>
      <c r="F20" s="173">
        <f>C20/B20</f>
        <v>0.32839781219035857</v>
      </c>
    </row>
    <row r="21" spans="1:6" x14ac:dyDescent="0.25">
      <c r="A21" s="99" t="s">
        <v>503</v>
      </c>
      <c r="B21" s="49">
        <v>17577908</v>
      </c>
      <c r="C21" s="49">
        <v>11286725</v>
      </c>
      <c r="D21" s="49">
        <v>7856816.4301115004</v>
      </c>
      <c r="E21" s="50">
        <f>VLOOKUP($A21,'Data shares'!$C:$FA,154)*100</f>
        <v>64.959999999999994</v>
      </c>
      <c r="F21" s="173">
        <f>C21/B21</f>
        <v>0.64209717106267705</v>
      </c>
    </row>
    <row r="22" spans="1:6" x14ac:dyDescent="0.25">
      <c r="A22" s="99" t="s">
        <v>495</v>
      </c>
      <c r="B22" s="49">
        <v>86532345</v>
      </c>
      <c r="C22" s="49">
        <v>37868000</v>
      </c>
      <c r="D22" s="49">
        <v>25399915.86846</v>
      </c>
      <c r="E22" s="50">
        <f>VLOOKUP($A22,'Data shares'!$C:$FA,154)*100</f>
        <v>44.6</v>
      </c>
      <c r="F22" s="173">
        <f>C22/B22</f>
        <v>0.43761670852673645</v>
      </c>
    </row>
    <row r="23" spans="1:6" x14ac:dyDescent="0.25">
      <c r="A23" s="99" t="s">
        <v>171</v>
      </c>
      <c r="B23" s="49">
        <v>41977935</v>
      </c>
      <c r="C23" s="49">
        <v>23811700</v>
      </c>
      <c r="D23" s="49">
        <v>19048144.073865499</v>
      </c>
      <c r="E23" s="50"/>
      <c r="F23" s="173">
        <f>C23/B23</f>
        <v>0.56724324338488785</v>
      </c>
    </row>
    <row r="24" spans="1:6" x14ac:dyDescent="0.25">
      <c r="A24" s="99" t="s">
        <v>173</v>
      </c>
      <c r="B24" s="49">
        <v>331596880</v>
      </c>
      <c r="C24" s="49">
        <v>90500625</v>
      </c>
      <c r="D24" s="49">
        <v>65095523.2229812</v>
      </c>
      <c r="E24" s="50">
        <f>VLOOKUP($A24,'Data shares'!$C:$FA,154)*100</f>
        <v>27.650000000000002</v>
      </c>
      <c r="F24" s="173">
        <f>C24/B24</f>
        <v>0.27292363245396034</v>
      </c>
    </row>
    <row r="25" spans="1:6" x14ac:dyDescent="0.25">
      <c r="A25" s="99" t="s">
        <v>174</v>
      </c>
      <c r="B25" s="49">
        <v>12553818</v>
      </c>
      <c r="C25" s="49">
        <v>5015550</v>
      </c>
      <c r="D25" s="49">
        <v>2269016.4471180001</v>
      </c>
      <c r="E25" s="50">
        <f>VLOOKUP($A25,'Data shares'!$C:$FA,154)*100</f>
        <v>41.17</v>
      </c>
      <c r="F25" s="173">
        <f>C25/B25</f>
        <v>0.39952387393221728</v>
      </c>
    </row>
    <row r="26" spans="1:6" x14ac:dyDescent="0.25">
      <c r="A26" s="99" t="s">
        <v>176</v>
      </c>
      <c r="B26" s="49">
        <v>65784745</v>
      </c>
      <c r="C26" s="49">
        <v>17145700</v>
      </c>
      <c r="D26" s="49">
        <v>11423235.79143</v>
      </c>
      <c r="E26" s="50">
        <f>VLOOKUP($A26,'Data shares'!$C:$FA,154)*100</f>
        <v>26.32</v>
      </c>
      <c r="F26" s="173">
        <f>C26/B26</f>
        <v>0.26063337328433817</v>
      </c>
    </row>
    <row r="27" spans="1:6" x14ac:dyDescent="0.25">
      <c r="A27" s="99" t="s">
        <v>687</v>
      </c>
      <c r="B27" s="49">
        <v>5401993</v>
      </c>
      <c r="C27" s="49">
        <v>335050</v>
      </c>
      <c r="D27" s="49">
        <v>252929.60105950001</v>
      </c>
      <c r="E27" s="50">
        <f>VLOOKUP($A27,'Data shares'!$C:$FA,154)*100</f>
        <v>6.2399999999999993</v>
      </c>
      <c r="F27" s="173">
        <f>C27/B27</f>
        <v>6.2023405065500824E-2</v>
      </c>
    </row>
    <row r="28" spans="1:6" x14ac:dyDescent="0.25">
      <c r="A28" s="99" t="s">
        <v>177</v>
      </c>
      <c r="B28" s="49">
        <v>387962395</v>
      </c>
      <c r="C28" s="49">
        <v>98508000</v>
      </c>
      <c r="D28" s="49">
        <v>70593581.183347493</v>
      </c>
      <c r="E28" s="50">
        <f>VLOOKUP($A28,'Data shares'!$C:$FA,154)*100</f>
        <v>25.91</v>
      </c>
      <c r="F28" s="173">
        <f>C28/B28</f>
        <v>0.25391120703850689</v>
      </c>
    </row>
    <row r="29" spans="1:6" x14ac:dyDescent="0.25">
      <c r="A29" s="99" t="s">
        <v>179</v>
      </c>
      <c r="B29" s="49">
        <v>145616308</v>
      </c>
      <c r="C29" s="49">
        <v>173314800</v>
      </c>
      <c r="D29" s="49">
        <v>97710307.553736001</v>
      </c>
      <c r="E29" s="50">
        <f>VLOOKUP($A29,'Data shares'!$C:$FA,154)*100</f>
        <v>121.08000000000001</v>
      </c>
      <c r="F29" s="173">
        <f>C29/B29</f>
        <v>1.1902155904131286</v>
      </c>
    </row>
    <row r="30" spans="1:6" x14ac:dyDescent="0.25">
      <c r="A30" s="99" t="s">
        <v>180</v>
      </c>
      <c r="B30" s="49">
        <v>279476623</v>
      </c>
      <c r="C30" s="49">
        <v>169334100</v>
      </c>
      <c r="D30" s="49">
        <v>109617885.888439</v>
      </c>
      <c r="E30" s="50"/>
      <c r="F30" s="173">
        <f>C30/B30</f>
        <v>0.60589718804495507</v>
      </c>
    </row>
    <row r="31" spans="1:6" x14ac:dyDescent="0.25">
      <c r="A31" s="99" t="s">
        <v>601</v>
      </c>
      <c r="B31" s="49">
        <v>181770921</v>
      </c>
      <c r="C31" s="49">
        <v>85826000</v>
      </c>
      <c r="D31" s="49">
        <v>53513592.246763997</v>
      </c>
      <c r="E31" s="50">
        <f>VLOOKUP($A31,'Data shares'!$C:$FA,154)*100</f>
        <v>47.870000000000005</v>
      </c>
      <c r="F31" s="173">
        <f>C31/B31</f>
        <v>0.47216573216350705</v>
      </c>
    </row>
    <row r="32" spans="1:6" x14ac:dyDescent="0.25">
      <c r="A32" s="99" t="s">
        <v>668</v>
      </c>
      <c r="B32" s="49">
        <v>13786716</v>
      </c>
      <c r="C32" s="49">
        <v>6358850</v>
      </c>
      <c r="D32" s="49">
        <v>2854201.4472019998</v>
      </c>
      <c r="E32" s="50">
        <f>VLOOKUP($A32,'Data shares'!$C:$FA,154)*100</f>
        <v>46.910000000000004</v>
      </c>
      <c r="F32" s="173">
        <f>C32/B32</f>
        <v>0.46123021610077408</v>
      </c>
    </row>
    <row r="33" spans="1:6" x14ac:dyDescent="0.25">
      <c r="A33" s="99" t="s">
        <v>185</v>
      </c>
      <c r="B33" s="49">
        <v>535778534</v>
      </c>
      <c r="C33" s="49">
        <v>174474150</v>
      </c>
      <c r="D33" s="49">
        <v>106197785.581302</v>
      </c>
      <c r="E33" s="50">
        <f>VLOOKUP($A33,'Data shares'!$C:$FA,154)*100</f>
        <v>32.96</v>
      </c>
      <c r="F33" s="173">
        <f>C33/B33</f>
        <v>0.32564602522877484</v>
      </c>
    </row>
    <row r="34" spans="1:6" x14ac:dyDescent="0.25">
      <c r="A34" s="99" t="s">
        <v>187</v>
      </c>
      <c r="B34" s="49">
        <v>40107751</v>
      </c>
      <c r="C34" s="49">
        <v>11178000</v>
      </c>
      <c r="D34" s="49">
        <v>7343880.3158050003</v>
      </c>
      <c r="E34" s="50">
        <f>VLOOKUP($A34,'Data shares'!$C:$FA,154)*100</f>
        <v>28.599999999999998</v>
      </c>
      <c r="F34" s="173">
        <f>C34/B34</f>
        <v>0.27869924693608472</v>
      </c>
    </row>
    <row r="35" spans="1:6" x14ac:dyDescent="0.25">
      <c r="A35" s="99" t="s">
        <v>189</v>
      </c>
      <c r="B35" s="49">
        <v>342859930</v>
      </c>
      <c r="C35" s="49">
        <v>76228000</v>
      </c>
      <c r="D35" s="49">
        <v>59394013.870375201</v>
      </c>
      <c r="E35" s="50"/>
      <c r="F35" s="173">
        <f>C35/B35</f>
        <v>0.22232985931018537</v>
      </c>
    </row>
    <row r="36" spans="1:6" x14ac:dyDescent="0.25">
      <c r="A36" s="99" t="s">
        <v>190</v>
      </c>
      <c r="B36" s="49">
        <v>192361942</v>
      </c>
      <c r="C36" s="49">
        <v>225765750</v>
      </c>
      <c r="D36" s="49">
        <v>128908393.771053</v>
      </c>
      <c r="E36" s="50">
        <f>VLOOKUP($A36,'Data shares'!$C:$FA,154)*100</f>
        <v>119.95</v>
      </c>
      <c r="F36" s="173">
        <f>C36/B36</f>
        <v>1.1736508149829346</v>
      </c>
    </row>
    <row r="37" spans="1:6" x14ac:dyDescent="0.25">
      <c r="A37" s="99" t="s">
        <v>191</v>
      </c>
      <c r="B37" s="49">
        <v>108004143</v>
      </c>
      <c r="C37" s="49">
        <v>65025000</v>
      </c>
      <c r="D37" s="49">
        <v>28990397.879250001</v>
      </c>
      <c r="E37" s="50">
        <f>VLOOKUP($A37,'Data shares'!$C:$FA,154)*100</f>
        <v>60.9</v>
      </c>
      <c r="F37" s="173">
        <f>C37/B37</f>
        <v>0.6020602376336619</v>
      </c>
    </row>
    <row r="38" spans="1:6" x14ac:dyDescent="0.25">
      <c r="A38" s="99" t="s">
        <v>675</v>
      </c>
      <c r="B38" s="49">
        <v>15745076</v>
      </c>
      <c r="C38" s="49">
        <v>4434950</v>
      </c>
      <c r="D38" s="49">
        <v>2159590.690101</v>
      </c>
      <c r="E38" s="50">
        <f>VLOOKUP($A38,'Data shares'!$C:$FA,154)*100</f>
        <v>28.410000000000004</v>
      </c>
      <c r="F38" s="173">
        <f>C38/B38</f>
        <v>0.28167218754612555</v>
      </c>
    </row>
    <row r="39" spans="1:6" x14ac:dyDescent="0.25">
      <c r="A39" s="99" t="s">
        <v>192</v>
      </c>
      <c r="B39" s="49">
        <v>868841</v>
      </c>
      <c r="C39" s="49">
        <v>324225</v>
      </c>
      <c r="D39" s="49">
        <v>244621.69688475001</v>
      </c>
      <c r="E39" s="50">
        <f>VLOOKUP($A39,'Data shares'!$C:$FA,154)*100</f>
        <v>37.480000000000004</v>
      </c>
      <c r="F39" s="173">
        <f>C39/B39</f>
        <v>0.37316954425493271</v>
      </c>
    </row>
    <row r="40" spans="1:6" x14ac:dyDescent="0.25">
      <c r="A40" s="99" t="s">
        <v>194</v>
      </c>
      <c r="B40" s="49">
        <v>306020745</v>
      </c>
      <c r="C40" s="49">
        <v>84247575</v>
      </c>
      <c r="D40" s="49">
        <v>54372830.041626997</v>
      </c>
      <c r="E40" s="50">
        <f>VLOOKUP($A40,'Data shares'!$C:$FA,154)*100</f>
        <v>27.900000000000002</v>
      </c>
      <c r="F40" s="173">
        <f>C40/B40</f>
        <v>0.27530020881427497</v>
      </c>
    </row>
    <row r="41" spans="1:6" x14ac:dyDescent="0.25">
      <c r="A41" s="99" t="s">
        <v>195</v>
      </c>
      <c r="B41" s="49">
        <v>14553559</v>
      </c>
      <c r="C41" s="49">
        <v>3805125</v>
      </c>
      <c r="D41" s="49">
        <v>2736438.4788825</v>
      </c>
      <c r="E41" s="50">
        <f>VLOOKUP($A41,'Data shares'!$C:$FA,154)*100</f>
        <v>26.61</v>
      </c>
      <c r="F41" s="173">
        <f>C41/B41</f>
        <v>0.26145666499857528</v>
      </c>
    </row>
    <row r="42" spans="1:6" x14ac:dyDescent="0.25">
      <c r="A42" s="99" t="s">
        <v>583</v>
      </c>
      <c r="B42" s="49">
        <v>61182611</v>
      </c>
      <c r="C42" s="49">
        <v>15517400</v>
      </c>
      <c r="D42" s="49">
        <v>7890491.8617575001</v>
      </c>
      <c r="E42" s="50">
        <f>VLOOKUP($A42,'Data shares'!$C:$FA,154)*100</f>
        <v>26.82</v>
      </c>
      <c r="F42" s="173">
        <f>C42/B42</f>
        <v>0.25362435087969687</v>
      </c>
    </row>
    <row r="43" spans="1:6" x14ac:dyDescent="0.25">
      <c r="A43" s="99" t="s">
        <v>610</v>
      </c>
      <c r="B43" s="49">
        <v>37147595</v>
      </c>
      <c r="C43" s="49">
        <v>12447000</v>
      </c>
      <c r="D43" s="49">
        <v>6323936.1089324998</v>
      </c>
      <c r="E43" s="50">
        <f>VLOOKUP($A43,'Data shares'!$C:$FA,154)*100</f>
        <v>33.83</v>
      </c>
      <c r="F43" s="173">
        <f>C43/B43</f>
        <v>0.33506879785891924</v>
      </c>
    </row>
    <row r="44" spans="1:6" x14ac:dyDescent="0.25">
      <c r="A44" s="99" t="s">
        <v>196</v>
      </c>
      <c r="B44" s="49">
        <v>504315430</v>
      </c>
      <c r="C44" s="49">
        <v>340402500</v>
      </c>
      <c r="D44" s="49">
        <v>206488083.61397201</v>
      </c>
      <c r="E44" s="50">
        <f>VLOOKUP($A44,'Data shares'!$C:$FA,154)*100</f>
        <v>68.510000000000005</v>
      </c>
      <c r="F44" s="173">
        <f>C44/B44</f>
        <v>0.67497934774670687</v>
      </c>
    </row>
    <row r="45" spans="1:6" x14ac:dyDescent="0.25">
      <c r="A45" s="99" t="s">
        <v>596</v>
      </c>
      <c r="B45" s="49">
        <v>26647500</v>
      </c>
      <c r="C45" s="49">
        <v>22499325</v>
      </c>
      <c r="D45" s="49">
        <v>9983208.05766025</v>
      </c>
      <c r="E45" s="50">
        <f>VLOOKUP($A45,'Data shares'!$C:$FA,154)*100</f>
        <v>86.11</v>
      </c>
      <c r="F45" s="173">
        <f>C45/B45</f>
        <v>0.84433155080213906</v>
      </c>
    </row>
    <row r="46" spans="1:6" x14ac:dyDescent="0.25">
      <c r="A46" s="99" t="s">
        <v>611</v>
      </c>
      <c r="B46" s="49">
        <v>103080397</v>
      </c>
      <c r="C46" s="49">
        <v>27361500</v>
      </c>
      <c r="D46" s="49">
        <v>21303395.745272499</v>
      </c>
      <c r="E46" s="50">
        <f>VLOOKUP($A46,'Data shares'!$C:$FA,154)*100</f>
        <v>26.71</v>
      </c>
      <c r="F46" s="173">
        <f>C46/B46</f>
        <v>0.26543844218993451</v>
      </c>
    </row>
    <row r="47" spans="1:6" x14ac:dyDescent="0.25">
      <c r="A47" s="99" t="s">
        <v>198</v>
      </c>
      <c r="B47" s="49">
        <v>63646863</v>
      </c>
      <c r="C47" s="49">
        <v>24036875</v>
      </c>
      <c r="D47" s="49">
        <v>19631117.477868699</v>
      </c>
      <c r="E47" s="50">
        <f>VLOOKUP($A47,'Data shares'!$C:$FA,154)*100</f>
        <v>38.15</v>
      </c>
      <c r="F47" s="173">
        <f>C47/B47</f>
        <v>0.37766001130330651</v>
      </c>
    </row>
    <row r="48" spans="1:6" x14ac:dyDescent="0.25">
      <c r="A48" s="99" t="s">
        <v>199</v>
      </c>
      <c r="B48" s="49">
        <v>76385219</v>
      </c>
      <c r="C48" s="49">
        <v>20285900</v>
      </c>
      <c r="D48" s="49">
        <v>13787040.7045587</v>
      </c>
      <c r="E48" s="50">
        <f>VLOOKUP($A48,'Data shares'!$C:$FA,154)*100</f>
        <v>26.82</v>
      </c>
      <c r="F48" s="173">
        <f>C48/B48</f>
        <v>0.26557363146396162</v>
      </c>
    </row>
    <row r="49" spans="1:6" x14ac:dyDescent="0.25">
      <c r="A49" s="99" t="s">
        <v>200</v>
      </c>
      <c r="B49" s="49">
        <v>320531323</v>
      </c>
      <c r="C49" s="49">
        <v>94791600</v>
      </c>
      <c r="D49" s="49">
        <v>52324065.832887001</v>
      </c>
      <c r="E49" s="50">
        <f>VLOOKUP($A49,'Data shares'!$C:$FA,154)*100</f>
        <v>30.009999999999998</v>
      </c>
      <c r="F49" s="173">
        <f>C49/B49</f>
        <v>0.29573272001251499</v>
      </c>
    </row>
    <row r="50" spans="1:6" x14ac:dyDescent="0.25">
      <c r="A50" s="99" t="s">
        <v>694</v>
      </c>
      <c r="B50" s="49">
        <v>12661431</v>
      </c>
      <c r="C50" s="49">
        <v>4412800</v>
      </c>
      <c r="D50" s="49">
        <v>2388119.296352</v>
      </c>
      <c r="E50" s="50">
        <f>VLOOKUP($A50,'Data shares'!$C:$FA,154)*100</f>
        <v>35.28</v>
      </c>
      <c r="F50" s="173">
        <f>C50/B50</f>
        <v>0.34852300660170243</v>
      </c>
    </row>
    <row r="51" spans="1:6" x14ac:dyDescent="0.25">
      <c r="A51" s="99" t="s">
        <v>470</v>
      </c>
      <c r="B51" s="49">
        <v>50256271</v>
      </c>
      <c r="C51" s="49">
        <v>28127850</v>
      </c>
      <c r="D51" s="49">
        <v>18678429.329379998</v>
      </c>
      <c r="E51" s="50">
        <f>VLOOKUP($A51,'Data shares'!$C:$FA,154)*100</f>
        <v>57.730000000000004</v>
      </c>
      <c r="F51" s="173">
        <f>C51/B51</f>
        <v>0.5596883620752523</v>
      </c>
    </row>
    <row r="52" spans="1:6" x14ac:dyDescent="0.25">
      <c r="A52" s="99" t="s">
        <v>201</v>
      </c>
      <c r="B52" s="49">
        <v>19054573</v>
      </c>
      <c r="C52" s="49">
        <v>7094825</v>
      </c>
      <c r="D52" s="49">
        <v>4874037.8569005001</v>
      </c>
      <c r="E52" s="50">
        <f>VLOOKUP($A52,'Data shares'!$C:$FA,154)*100</f>
        <v>37.43</v>
      </c>
      <c r="F52" s="173">
        <f>C52/B52</f>
        <v>0.37234237681421672</v>
      </c>
    </row>
    <row r="53" spans="1:6" x14ac:dyDescent="0.25">
      <c r="A53" s="99" t="s">
        <v>202</v>
      </c>
      <c r="B53" s="49">
        <v>51639257</v>
      </c>
      <c r="C53" s="49">
        <v>31048750</v>
      </c>
      <c r="D53" s="49">
        <v>21051879.444600001</v>
      </c>
      <c r="E53" s="50">
        <f>VLOOKUP($A53,'Data shares'!$C:$FA,154)*100</f>
        <v>60.529999999999994</v>
      </c>
      <c r="F53" s="173">
        <f>C53/B53</f>
        <v>0.60126252397473501</v>
      </c>
    </row>
    <row r="54" spans="1:6" x14ac:dyDescent="0.25">
      <c r="A54" s="99" t="s">
        <v>523</v>
      </c>
      <c r="B54" s="49">
        <v>96587231</v>
      </c>
      <c r="C54" s="49">
        <v>73028300</v>
      </c>
      <c r="D54" s="49">
        <v>49079757.335202001</v>
      </c>
      <c r="E54" s="50">
        <f>VLOOKUP($A54,'Data shares'!$C:$FA,154)*100</f>
        <v>76.319999999999993</v>
      </c>
      <c r="F54" s="173">
        <f>C54/B54</f>
        <v>0.75608648517939192</v>
      </c>
    </row>
    <row r="55" spans="1:6" x14ac:dyDescent="0.25">
      <c r="A55" s="99" t="s">
        <v>203</v>
      </c>
      <c r="B55" s="49">
        <v>20374200</v>
      </c>
      <c r="C55" s="49">
        <v>4902600</v>
      </c>
      <c r="D55" s="49">
        <v>3927018.64359</v>
      </c>
      <c r="E55" s="50">
        <f>VLOOKUP($A55,'Data shares'!$C:$FA,154)*100</f>
        <v>24.32</v>
      </c>
      <c r="F55" s="173">
        <f>C55/B55</f>
        <v>0.24062785287275082</v>
      </c>
    </row>
    <row r="56" spans="1:6" x14ac:dyDescent="0.25">
      <c r="A56" s="99" t="s">
        <v>204</v>
      </c>
      <c r="B56" s="49">
        <v>76827821</v>
      </c>
      <c r="C56" s="49">
        <v>38875000</v>
      </c>
      <c r="D56" s="49">
        <v>28024656.785612501</v>
      </c>
      <c r="E56" s="50">
        <f>VLOOKUP($A56,'Data shares'!$C:$FA,154)*100</f>
        <v>50.9</v>
      </c>
      <c r="F56" s="173">
        <f>C56/B56</f>
        <v>0.50600159543767353</v>
      </c>
    </row>
    <row r="57" spans="1:6" x14ac:dyDescent="0.25">
      <c r="A57" s="99" t="s">
        <v>524</v>
      </c>
      <c r="B57" s="49">
        <v>12425160</v>
      </c>
      <c r="C57" s="49">
        <v>3949075</v>
      </c>
      <c r="D57" s="49">
        <v>2572751.9605709999</v>
      </c>
      <c r="E57" s="50">
        <f>VLOOKUP($A57,'Data shares'!$C:$FA,154)*100</f>
        <v>32.049999999999997</v>
      </c>
      <c r="F57" s="173">
        <f>C57/B57</f>
        <v>0.31782890522134122</v>
      </c>
    </row>
    <row r="58" spans="1:6" x14ac:dyDescent="0.25">
      <c r="A58" s="99" t="s">
        <v>599</v>
      </c>
      <c r="B58" s="49">
        <v>83072620</v>
      </c>
      <c r="C58" s="49">
        <v>37287750</v>
      </c>
      <c r="D58" s="49">
        <v>29721886.444532</v>
      </c>
      <c r="E58" s="50">
        <f>VLOOKUP($A58,'Data shares'!$C:$FA,154)*100</f>
        <v>45.21</v>
      </c>
      <c r="F58" s="173">
        <f>C58/B58</f>
        <v>0.448857276922288</v>
      </c>
    </row>
    <row r="59" spans="1:6" x14ac:dyDescent="0.25">
      <c r="A59" s="99" t="s">
        <v>205</v>
      </c>
      <c r="B59" s="49">
        <v>15815194</v>
      </c>
      <c r="C59" s="49">
        <v>3390100</v>
      </c>
      <c r="D59" s="49">
        <v>2375203.4454379999</v>
      </c>
      <c r="E59" s="50">
        <f>VLOOKUP($A59,'Data shares'!$C:$FA,154)*100</f>
        <v>21.529999999999998</v>
      </c>
      <c r="F59" s="173">
        <f>C59/B59</f>
        <v>0.21435715553030837</v>
      </c>
    </row>
    <row r="60" spans="1:6" x14ac:dyDescent="0.25">
      <c r="A60" s="99" t="s">
        <v>512</v>
      </c>
      <c r="B60" s="49">
        <v>6478285</v>
      </c>
      <c r="C60" s="49">
        <v>4729250</v>
      </c>
      <c r="D60" s="49">
        <v>2323218.022535</v>
      </c>
      <c r="E60" s="50">
        <f>VLOOKUP($A60,'Data shares'!$C:$FA,154)*100</f>
        <v>74.2</v>
      </c>
      <c r="F60" s="173">
        <f>C60/B60</f>
        <v>0.73001573718970381</v>
      </c>
    </row>
    <row r="61" spans="1:6" x14ac:dyDescent="0.25">
      <c r="A61" s="99" t="s">
        <v>207</v>
      </c>
      <c r="B61" s="49">
        <v>96251298</v>
      </c>
      <c r="C61" s="49">
        <v>58081800</v>
      </c>
      <c r="D61" s="49">
        <v>44224650.450308703</v>
      </c>
      <c r="E61" s="50">
        <f>VLOOKUP($A61,'Data shares'!$C:$FA,154)*100</f>
        <v>60.72</v>
      </c>
      <c r="F61" s="173">
        <f>C61/B61</f>
        <v>0.6034391349195104</v>
      </c>
    </row>
    <row r="62" spans="1:6" x14ac:dyDescent="0.25">
      <c r="A62" s="99" t="s">
        <v>582</v>
      </c>
      <c r="B62" s="49">
        <v>16494391</v>
      </c>
      <c r="C62" s="49">
        <v>6563700</v>
      </c>
      <c r="D62" s="49">
        <v>3878149.1987669999</v>
      </c>
      <c r="E62" s="50">
        <f>VLOOKUP($A62,'Data shares'!$C:$FA,154)*100</f>
        <v>40.67</v>
      </c>
      <c r="F62" s="173">
        <f>C62/B62</f>
        <v>0.39793527387582844</v>
      </c>
    </row>
    <row r="63" spans="1:6" x14ac:dyDescent="0.25">
      <c r="A63" s="99" t="s">
        <v>208</v>
      </c>
      <c r="B63" s="49">
        <v>61026255</v>
      </c>
      <c r="C63" s="49">
        <v>28743750</v>
      </c>
      <c r="D63" s="49">
        <v>14137957.5030625</v>
      </c>
      <c r="E63" s="50">
        <f>VLOOKUP($A63,'Data shares'!$C:$FA,154)*100</f>
        <v>47.67</v>
      </c>
      <c r="F63" s="173">
        <f>C63/B63</f>
        <v>0.47100629065309679</v>
      </c>
    </row>
    <row r="64" spans="1:6" x14ac:dyDescent="0.25">
      <c r="A64" s="99" t="s">
        <v>209</v>
      </c>
      <c r="B64" s="49">
        <v>20960143</v>
      </c>
      <c r="C64" s="49">
        <v>5342000</v>
      </c>
      <c r="D64" s="49">
        <v>3626522.7018189998</v>
      </c>
      <c r="E64" s="50">
        <f>VLOOKUP($A64,'Data shares'!$C:$FA,154)*100</f>
        <v>25.69</v>
      </c>
      <c r="F64" s="173">
        <f>C64/B64</f>
        <v>0.25486467339464242</v>
      </c>
    </row>
    <row r="65" spans="1:6" x14ac:dyDescent="0.25">
      <c r="A65" s="99" t="s">
        <v>664</v>
      </c>
      <c r="B65" s="49">
        <v>1366821859</v>
      </c>
      <c r="C65" s="49">
        <v>346049925</v>
      </c>
      <c r="D65" s="49">
        <v>206566481.34711799</v>
      </c>
      <c r="E65" s="50"/>
      <c r="F65" s="173">
        <f>C65/B65</f>
        <v>0.25317851241651823</v>
      </c>
    </row>
    <row r="66" spans="1:6" x14ac:dyDescent="0.25">
      <c r="A66" s="99" t="s">
        <v>211</v>
      </c>
      <c r="B66" s="49">
        <v>50211048</v>
      </c>
      <c r="C66" s="49">
        <v>50862600</v>
      </c>
      <c r="D66" s="49">
        <v>20497046.461002</v>
      </c>
      <c r="E66" s="50">
        <f>VLOOKUP($A66,'Data shares'!$C:$FA,154)*100</f>
        <v>104.32999999999998</v>
      </c>
      <c r="F66" s="173">
        <f>C66/B66</f>
        <v>1.012976267693118</v>
      </c>
    </row>
    <row r="67" spans="1:6" x14ac:dyDescent="0.25">
      <c r="A67" s="99" t="s">
        <v>212</v>
      </c>
      <c r="B67" s="49">
        <v>359450597</v>
      </c>
      <c r="C67" s="49">
        <v>136480000</v>
      </c>
      <c r="D67" s="49">
        <v>81048983.227149993</v>
      </c>
      <c r="E67" s="50">
        <f>VLOOKUP($A67,'Data shares'!$C:$FA,154)*100</f>
        <v>38.700000000000003</v>
      </c>
      <c r="F67" s="173">
        <f>C67/B67</f>
        <v>0.37969056426410663</v>
      </c>
    </row>
    <row r="68" spans="1:6" x14ac:dyDescent="0.25">
      <c r="A68" s="99" t="s">
        <v>698</v>
      </c>
      <c r="B68" s="49">
        <v>736885</v>
      </c>
      <c r="C68" s="49">
        <v>478975</v>
      </c>
      <c r="D68" s="49">
        <v>220831.53711675</v>
      </c>
      <c r="E68" s="50">
        <f>VLOOKUP($A68,'Data shares'!$C:$FA,154)*100</f>
        <v>67.459999999999994</v>
      </c>
      <c r="F68" s="173">
        <f>C68/B68</f>
        <v>0.64999966073403581</v>
      </c>
    </row>
    <row r="69" spans="1:6" x14ac:dyDescent="0.25">
      <c r="A69" s="99" t="s">
        <v>674</v>
      </c>
      <c r="B69" s="49">
        <v>70894446</v>
      </c>
      <c r="C69" s="49">
        <v>11655225</v>
      </c>
      <c r="D69" s="49">
        <v>9280415.4414492492</v>
      </c>
      <c r="E69" s="50">
        <f>VLOOKUP($A69,'Data shares'!$C:$FA,154)*100</f>
        <v>16.55</v>
      </c>
      <c r="F69" s="173">
        <f>C69/B69</f>
        <v>0.16440251186954757</v>
      </c>
    </row>
    <row r="70" spans="1:6" x14ac:dyDescent="0.25">
      <c r="A70" s="99" t="s">
        <v>213</v>
      </c>
      <c r="B70" s="49">
        <v>471255857</v>
      </c>
      <c r="C70" s="49">
        <v>109366500</v>
      </c>
      <c r="D70" s="49">
        <v>73066984.256110504</v>
      </c>
      <c r="E70" s="50">
        <f>VLOOKUP($A70,'Data shares'!$C:$FA,154)*100</f>
        <v>23.380000000000003</v>
      </c>
      <c r="F70" s="173">
        <f>C70/B70</f>
        <v>0.23207456920795363</v>
      </c>
    </row>
    <row r="71" spans="1:6" x14ac:dyDescent="0.25">
      <c r="A71" s="99" t="s">
        <v>214</v>
      </c>
      <c r="B71" s="49">
        <v>15844372</v>
      </c>
      <c r="C71" s="49">
        <v>13739625</v>
      </c>
      <c r="D71" s="49">
        <v>10666853.4024562</v>
      </c>
      <c r="E71" s="50">
        <f>VLOOKUP($A71,'Data shares'!$C:$FA,154)*100</f>
        <v>87.44</v>
      </c>
      <c r="F71" s="173">
        <f>C71/B71</f>
        <v>0.86716122292508657</v>
      </c>
    </row>
    <row r="72" spans="1:6" x14ac:dyDescent="0.25">
      <c r="A72" s="99" t="s">
        <v>630</v>
      </c>
      <c r="B72" s="49">
        <v>534704421</v>
      </c>
      <c r="C72" s="49">
        <v>226464300</v>
      </c>
      <c r="D72" s="49">
        <v>125310509.57013699</v>
      </c>
      <c r="E72" s="50">
        <f>VLOOKUP($A72,'Data shares'!$C:$FA,154)*100</f>
        <v>42.71</v>
      </c>
      <c r="F72" s="173">
        <f>C72/B72</f>
        <v>0.42353175157308076</v>
      </c>
    </row>
    <row r="73" spans="1:6" x14ac:dyDescent="0.25">
      <c r="A73" s="99" t="s">
        <v>697</v>
      </c>
      <c r="B73" s="49">
        <v>6329596</v>
      </c>
      <c r="C73" s="49">
        <v>2348225</v>
      </c>
      <c r="D73" s="49">
        <v>1434065.5779862499</v>
      </c>
      <c r="E73" s="50">
        <f>VLOOKUP($A73,'Data shares'!$C:$FA,154)*100</f>
        <v>37.71</v>
      </c>
      <c r="F73" s="173">
        <f>C73/B73</f>
        <v>0.37099129233524542</v>
      </c>
    </row>
    <row r="74" spans="1:6" x14ac:dyDescent="0.25">
      <c r="A74" s="99" t="s">
        <v>217</v>
      </c>
      <c r="B74" s="49">
        <v>53250524</v>
      </c>
      <c r="C74" s="49">
        <v>15092000</v>
      </c>
      <c r="D74" s="49">
        <v>13095278.448865</v>
      </c>
      <c r="E74" s="50">
        <f>VLOOKUP($A74,'Data shares'!$C:$FA,154)*100</f>
        <v>28.43</v>
      </c>
      <c r="F74" s="173">
        <f>C74/B74</f>
        <v>0.28341505146503349</v>
      </c>
    </row>
    <row r="75" spans="1:6" x14ac:dyDescent="0.25">
      <c r="A75" s="99" t="s">
        <v>218</v>
      </c>
      <c r="B75" s="49">
        <v>23870110</v>
      </c>
      <c r="C75" s="49">
        <v>11186275</v>
      </c>
      <c r="D75" s="49">
        <v>7373876.8765949998</v>
      </c>
      <c r="E75" s="50">
        <f>VLOOKUP($A75,'Data shares'!$C:$FA,154)*100</f>
        <v>47.47</v>
      </c>
      <c r="F75" s="173">
        <f>C75/B75</f>
        <v>0.46863106202694499</v>
      </c>
    </row>
    <row r="76" spans="1:6" x14ac:dyDescent="0.25">
      <c r="A76" s="99" t="s">
        <v>219</v>
      </c>
      <c r="B76" s="49">
        <v>38401443</v>
      </c>
      <c r="C76" s="49">
        <v>16496000</v>
      </c>
      <c r="D76" s="49">
        <v>13006282.41797</v>
      </c>
      <c r="E76" s="50">
        <f>VLOOKUP($A76,'Data shares'!$C:$FA,154)*100</f>
        <v>43.11</v>
      </c>
      <c r="F76" s="173">
        <f>C76/B76</f>
        <v>0.42956719100373392</v>
      </c>
    </row>
    <row r="77" spans="1:6" x14ac:dyDescent="0.25">
      <c r="A77" s="99" t="s">
        <v>513</v>
      </c>
      <c r="B77" s="49">
        <v>28450886</v>
      </c>
      <c r="C77" s="49">
        <v>10829850</v>
      </c>
      <c r="D77" s="49">
        <v>6595457.4568844996</v>
      </c>
      <c r="E77" s="50">
        <f>VLOOKUP($A77,'Data shares'!$C:$FA,154)*100</f>
        <v>38.57</v>
      </c>
      <c r="F77" s="173">
        <f>C77/B77</f>
        <v>0.38065071154550334</v>
      </c>
    </row>
    <row r="78" spans="1:6" x14ac:dyDescent="0.25">
      <c r="A78" s="99" t="s">
        <v>220</v>
      </c>
      <c r="B78" s="49">
        <v>29751886</v>
      </c>
      <c r="C78" s="49">
        <v>17512500</v>
      </c>
      <c r="D78" s="49">
        <v>9806435.7305650003</v>
      </c>
      <c r="E78" s="50">
        <f>VLOOKUP($A78,'Data shares'!$C:$FA,154)*100</f>
        <v>59.86</v>
      </c>
      <c r="F78" s="173">
        <f>C78/B78</f>
        <v>0.58861814676219182</v>
      </c>
    </row>
    <row r="79" spans="1:6" x14ac:dyDescent="0.25">
      <c r="A79" s="99" t="s">
        <v>222</v>
      </c>
      <c r="B79" s="49">
        <v>145140505</v>
      </c>
      <c r="C79" s="49">
        <v>76248850</v>
      </c>
      <c r="D79" s="49">
        <v>38864458.224760503</v>
      </c>
      <c r="E79" s="50">
        <f>VLOOKUP($A79,'Data shares'!$C:$FA,154)*100</f>
        <v>53.5</v>
      </c>
      <c r="F79" s="173">
        <f>C79/B79</f>
        <v>0.52534507854991963</v>
      </c>
    </row>
    <row r="80" spans="1:6" x14ac:dyDescent="0.25">
      <c r="A80" s="99" t="s">
        <v>475</v>
      </c>
      <c r="B80" s="49">
        <v>30592324</v>
      </c>
      <c r="C80" s="49">
        <v>6891900</v>
      </c>
      <c r="D80" s="49">
        <v>5502979.8898529997</v>
      </c>
      <c r="E80" s="50">
        <f>VLOOKUP($A80,'Data shares'!$C:$FA,154)*100</f>
        <v>22.66</v>
      </c>
      <c r="F80" s="173">
        <f>C80/B80</f>
        <v>0.22528200211268684</v>
      </c>
    </row>
    <row r="81" spans="1:6" x14ac:dyDescent="0.25">
      <c r="A81" s="99" t="s">
        <v>224</v>
      </c>
      <c r="B81" s="49">
        <v>1496665645</v>
      </c>
      <c r="C81" s="49">
        <v>436846000</v>
      </c>
      <c r="D81" s="49">
        <v>319917713.12765598</v>
      </c>
      <c r="E81" s="50">
        <f>VLOOKUP($A81,'Data shares'!$C:$FA,154)*100</f>
        <v>29.48</v>
      </c>
      <c r="F81" s="173">
        <f>C81/B81</f>
        <v>0.29187948655025087</v>
      </c>
    </row>
    <row r="82" spans="1:6" x14ac:dyDescent="0.25">
      <c r="A82" s="99" t="s">
        <v>225</v>
      </c>
      <c r="B82" s="49">
        <v>156090005</v>
      </c>
      <c r="C82" s="49">
        <v>66067100</v>
      </c>
      <c r="D82" s="49">
        <v>45196136.337462001</v>
      </c>
      <c r="E82" s="50">
        <f>VLOOKUP($A82,'Data shares'!$C:$FA,154)*100</f>
        <v>42.59</v>
      </c>
      <c r="F82" s="173">
        <f>C82/B82</f>
        <v>0.42326284761154309</v>
      </c>
    </row>
    <row r="83" spans="1:6" x14ac:dyDescent="0.25">
      <c r="A83" s="99" t="s">
        <v>226</v>
      </c>
      <c r="B83" s="49">
        <v>19589014</v>
      </c>
      <c r="C83" s="49">
        <v>6741000</v>
      </c>
      <c r="D83" s="49">
        <v>4347305.0758455005</v>
      </c>
      <c r="E83" s="50">
        <f>VLOOKUP($A83,'Data shares'!$C:$FA,154)*100</f>
        <v>35.06</v>
      </c>
      <c r="F83" s="173">
        <f>C83/B83</f>
        <v>0.34412145501555108</v>
      </c>
    </row>
    <row r="84" spans="1:6" x14ac:dyDescent="0.25">
      <c r="A84" s="99" t="s">
        <v>228</v>
      </c>
      <c r="B84" s="49">
        <v>218611634</v>
      </c>
      <c r="C84" s="49">
        <v>44005500</v>
      </c>
      <c r="D84" s="49">
        <v>32748287.50564</v>
      </c>
      <c r="E84" s="50">
        <f>VLOOKUP($A84,'Data shares'!$C:$FA,154)*100</f>
        <v>20.62</v>
      </c>
      <c r="F84" s="173">
        <f>C84/B84</f>
        <v>0.20129532538968167</v>
      </c>
    </row>
    <row r="85" spans="1:6" x14ac:dyDescent="0.25">
      <c r="A85" s="99" t="s">
        <v>229</v>
      </c>
      <c r="B85" s="49">
        <v>143933168</v>
      </c>
      <c r="C85" s="49">
        <v>57823875</v>
      </c>
      <c r="D85" s="49">
        <v>37470023.793904498</v>
      </c>
      <c r="E85" s="50">
        <f>VLOOKUP($A85,'Data shares'!$C:$FA,154)*100</f>
        <v>40.83</v>
      </c>
      <c r="F85" s="173">
        <f>C85/B85</f>
        <v>0.40174114002687694</v>
      </c>
    </row>
    <row r="86" spans="1:6" x14ac:dyDescent="0.25">
      <c r="A86" s="99" t="s">
        <v>230</v>
      </c>
      <c r="B86" s="49">
        <v>89517840</v>
      </c>
      <c r="C86" s="49">
        <v>25838400</v>
      </c>
      <c r="D86" s="49">
        <v>14881943.330379</v>
      </c>
      <c r="E86" s="50">
        <f>VLOOKUP($A86,'Data shares'!$C:$FA,154)*100</f>
        <v>29.459999999999997</v>
      </c>
      <c r="F86" s="173">
        <f>C86/B86</f>
        <v>0.28863967227091269</v>
      </c>
    </row>
    <row r="87" spans="1:6" x14ac:dyDescent="0.25">
      <c r="A87" s="99" t="s">
        <v>665</v>
      </c>
      <c r="B87" s="49">
        <v>241870587</v>
      </c>
      <c r="C87" s="49">
        <v>60283475</v>
      </c>
      <c r="D87" s="49">
        <v>33813387.325410001</v>
      </c>
      <c r="E87" s="50">
        <f>VLOOKUP($A87,'Data shares'!$C:$FA,154)*100</f>
        <v>25.330000000000002</v>
      </c>
      <c r="F87" s="173">
        <f>C87/B87</f>
        <v>0.24923855251568888</v>
      </c>
    </row>
    <row r="88" spans="1:6" x14ac:dyDescent="0.25">
      <c r="A88" s="99" t="s">
        <v>692</v>
      </c>
      <c r="B88" s="49">
        <v>21329205</v>
      </c>
      <c r="C88" s="49">
        <v>9776800</v>
      </c>
      <c r="D88" s="49">
        <v>6999254.0401932504</v>
      </c>
      <c r="E88" s="50">
        <f>VLOOKUP($A88,'Data shares'!$C:$FA,154)*100</f>
        <v>45.989999999999995</v>
      </c>
      <c r="F88" s="173">
        <f>C88/B88</f>
        <v>0.45837620295740045</v>
      </c>
    </row>
    <row r="89" spans="1:6" x14ac:dyDescent="0.25">
      <c r="A89" s="99" t="s">
        <v>232</v>
      </c>
      <c r="B89" s="49">
        <v>668616020</v>
      </c>
      <c r="C89" s="49">
        <v>187099500</v>
      </c>
      <c r="D89" s="49">
        <v>134285646.98394999</v>
      </c>
      <c r="E89" s="50">
        <f>VLOOKUP($A89,'Data shares'!$C:$FA,154)*100</f>
        <v>28.4</v>
      </c>
      <c r="F89" s="173">
        <f>C89/B89</f>
        <v>0.27983101571511854</v>
      </c>
    </row>
    <row r="90" spans="1:6" x14ac:dyDescent="0.25">
      <c r="A90" s="99" t="s">
        <v>472</v>
      </c>
      <c r="B90" s="49">
        <v>27086521</v>
      </c>
      <c r="C90" s="49">
        <v>6130800</v>
      </c>
      <c r="D90" s="49">
        <v>5289315.3540077498</v>
      </c>
      <c r="E90" s="50">
        <f>VLOOKUP($A90,'Data shares'!$C:$FA,154)*100</f>
        <v>22.759999999999998</v>
      </c>
      <c r="F90" s="173">
        <f>C90/B90</f>
        <v>0.22634135997014898</v>
      </c>
    </row>
    <row r="91" spans="1:6" x14ac:dyDescent="0.25">
      <c r="A91" s="99" t="s">
        <v>233</v>
      </c>
      <c r="B91" s="49">
        <v>58892926</v>
      </c>
      <c r="C91" s="49">
        <v>25928675</v>
      </c>
      <c r="D91" s="49">
        <v>20200714.997335199</v>
      </c>
      <c r="E91" s="50">
        <f>VLOOKUP($A91,'Data shares'!$C:$FA,154)*100</f>
        <v>44.25</v>
      </c>
      <c r="F91" s="173">
        <f>C91/B91</f>
        <v>0.44026807226389125</v>
      </c>
    </row>
    <row r="92" spans="1:6" x14ac:dyDescent="0.25">
      <c r="A92" s="99" t="s">
        <v>234</v>
      </c>
      <c r="B92" s="49">
        <v>12096038468</v>
      </c>
      <c r="C92" s="49">
        <v>9041301600</v>
      </c>
      <c r="D92" s="49">
        <v>5992011243.8275099</v>
      </c>
      <c r="E92" s="50">
        <f>VLOOKUP($A92,'Data shares'!$C:$FA,154)*100</f>
        <v>75.460000000000008</v>
      </c>
      <c r="F92" s="173">
        <f>C92/B92</f>
        <v>0.74745972608459466</v>
      </c>
    </row>
    <row r="93" spans="1:6" x14ac:dyDescent="0.25">
      <c r="A93" s="99" t="s">
        <v>235</v>
      </c>
      <c r="B93" s="49">
        <v>1101871266</v>
      </c>
      <c r="C93" s="49">
        <v>568038100</v>
      </c>
      <c r="D93" s="49">
        <v>388312878.03084803</v>
      </c>
      <c r="E93" s="50"/>
      <c r="F93" s="173">
        <f>C93/B93</f>
        <v>0.51552129321067164</v>
      </c>
    </row>
    <row r="94" spans="1:6" x14ac:dyDescent="0.25">
      <c r="A94" s="99" t="s">
        <v>514</v>
      </c>
      <c r="B94" s="49">
        <v>133395043</v>
      </c>
      <c r="C94" s="49">
        <v>138344250</v>
      </c>
      <c r="D94" s="49">
        <v>69545734.715137497</v>
      </c>
      <c r="E94" s="50">
        <f>VLOOKUP($A94,'Data shares'!$C:$FA,154)*100</f>
        <v>105.78</v>
      </c>
      <c r="F94" s="173">
        <f>C94/B94</f>
        <v>1.0371018809147203</v>
      </c>
    </row>
    <row r="95" spans="1:6" x14ac:dyDescent="0.25">
      <c r="A95" s="99" t="s">
        <v>501</v>
      </c>
      <c r="B95" s="49">
        <v>123332004</v>
      </c>
      <c r="C95" s="49">
        <v>30752000</v>
      </c>
      <c r="D95" s="49">
        <v>21059893.049350001</v>
      </c>
      <c r="E95" s="50">
        <f>VLOOKUP($A95,'Data shares'!$C:$FA,154)*100</f>
        <v>25.180000000000003</v>
      </c>
      <c r="F95" s="173">
        <f>C95/B95</f>
        <v>0.24934322805619863</v>
      </c>
    </row>
    <row r="96" spans="1:6" x14ac:dyDescent="0.25">
      <c r="A96" s="99" t="s">
        <v>577</v>
      </c>
      <c r="B96" s="49">
        <v>52862157</v>
      </c>
      <c r="C96" s="49">
        <v>22688000</v>
      </c>
      <c r="D96" s="49">
        <v>12235288.455949999</v>
      </c>
      <c r="E96" s="50">
        <f>VLOOKUP($A96,'Data shares'!$C:$FA,154)*100</f>
        <v>44.269999999999996</v>
      </c>
      <c r="F96" s="173">
        <f>C96/B96</f>
        <v>0.42919171837804498</v>
      </c>
    </row>
    <row r="97" spans="1:6" x14ac:dyDescent="0.25">
      <c r="A97" s="99" t="s">
        <v>238</v>
      </c>
      <c r="B97" s="49">
        <v>33878797</v>
      </c>
      <c r="C97" s="49">
        <v>12483450</v>
      </c>
      <c r="D97" s="49">
        <v>7611691.0963845002</v>
      </c>
      <c r="E97" s="50">
        <f>VLOOKUP($A97,'Data shares'!$C:$FA,154)*100</f>
        <v>37.44</v>
      </c>
      <c r="F97" s="173">
        <f>C97/B97</f>
        <v>0.36847382745024859</v>
      </c>
    </row>
    <row r="98" spans="1:6" x14ac:dyDescent="0.25">
      <c r="A98" s="99" t="s">
        <v>239</v>
      </c>
      <c r="B98" s="49">
        <v>93808799</v>
      </c>
      <c r="C98" s="49">
        <v>46659200</v>
      </c>
      <c r="D98" s="49">
        <v>34597107.641376004</v>
      </c>
      <c r="E98" s="50">
        <f>VLOOKUP($A98,'Data shares'!$C:$FA,154)*100</f>
        <v>50.019999999999996</v>
      </c>
      <c r="F98" s="173">
        <f>C98/B98</f>
        <v>0.49738617802792678</v>
      </c>
    </row>
    <row r="99" spans="1:6" x14ac:dyDescent="0.25">
      <c r="A99" s="99" t="s">
        <v>473</v>
      </c>
      <c r="B99" s="49">
        <v>193625858</v>
      </c>
      <c r="C99" s="49">
        <v>129502600</v>
      </c>
      <c r="D99" s="49">
        <v>73460303.317497998</v>
      </c>
      <c r="E99" s="50">
        <f>VLOOKUP($A99,'Data shares'!$C:$FA,154)*100</f>
        <v>67.75</v>
      </c>
      <c r="F99" s="173">
        <f>C99/B99</f>
        <v>0.66882905691242955</v>
      </c>
    </row>
    <row r="100" spans="1:6" x14ac:dyDescent="0.25">
      <c r="A100" s="99" t="s">
        <v>240</v>
      </c>
      <c r="B100" s="49">
        <v>475237614</v>
      </c>
      <c r="C100" s="49">
        <v>137041200</v>
      </c>
      <c r="D100" s="49">
        <v>78094680.461160004</v>
      </c>
      <c r="E100" s="50">
        <f>VLOOKUP($A100,'Data shares'!$C:$FA,154)*100</f>
        <v>29.26</v>
      </c>
      <c r="F100" s="173">
        <f>C100/B100</f>
        <v>0.28836353849718638</v>
      </c>
    </row>
    <row r="101" spans="1:6" x14ac:dyDescent="0.25">
      <c r="A101" s="99" t="s">
        <v>666</v>
      </c>
      <c r="B101" s="49">
        <v>144708707</v>
      </c>
      <c r="C101" s="49">
        <v>122829975</v>
      </c>
      <c r="D101" s="49">
        <v>78884480.636577204</v>
      </c>
      <c r="E101" s="50">
        <f>VLOOKUP($A101,'Data shares'!$C:$FA,154)*100</f>
        <v>85.16</v>
      </c>
      <c r="F101" s="173">
        <f>C101/B101</f>
        <v>0.84880846181563907</v>
      </c>
    </row>
    <row r="102" spans="1:6" x14ac:dyDescent="0.25">
      <c r="A102" s="99" t="s">
        <v>241</v>
      </c>
      <c r="B102" s="49">
        <v>684903861</v>
      </c>
      <c r="C102" s="49">
        <v>178941750</v>
      </c>
      <c r="D102" s="49">
        <v>109548013.094861</v>
      </c>
      <c r="E102" s="50">
        <f>VLOOKUP($A102,'Data shares'!$C:$FA,154)*100</f>
        <v>26.43</v>
      </c>
      <c r="F102" s="173">
        <f>C102/B102</f>
        <v>0.26126550044371849</v>
      </c>
    </row>
    <row r="103" spans="1:6" x14ac:dyDescent="0.25">
      <c r="A103" s="99" t="s">
        <v>662</v>
      </c>
      <c r="B103" s="49">
        <v>119011160</v>
      </c>
      <c r="C103" s="49">
        <v>73919475</v>
      </c>
      <c r="D103" s="49">
        <v>34661200.945043497</v>
      </c>
      <c r="E103" s="50">
        <f>VLOOKUP($A103,'Data shares'!$C:$FA,154)*100</f>
        <v>62.83</v>
      </c>
      <c r="F103" s="173">
        <f>C103/B103</f>
        <v>0.62111380983094355</v>
      </c>
    </row>
    <row r="104" spans="1:6" x14ac:dyDescent="0.25">
      <c r="A104" s="99" t="s">
        <v>591</v>
      </c>
      <c r="B104" s="49">
        <v>267310350</v>
      </c>
      <c r="C104" s="49">
        <v>99094775</v>
      </c>
      <c r="D104" s="49">
        <v>43281721.592344999</v>
      </c>
      <c r="E104" s="50"/>
      <c r="F104" s="173">
        <f>C104/B104</f>
        <v>0.37071058041710692</v>
      </c>
    </row>
    <row r="105" spans="1:6" x14ac:dyDescent="0.25">
      <c r="A105" s="99" t="s">
        <v>242</v>
      </c>
      <c r="B105" s="49">
        <v>1317896781</v>
      </c>
      <c r="C105" s="49">
        <v>297144125</v>
      </c>
      <c r="D105" s="49">
        <v>177602118.27658501</v>
      </c>
      <c r="E105" s="50">
        <f>VLOOKUP($A105,'Data shares'!$C:$FA,154)*100</f>
        <v>22.8</v>
      </c>
      <c r="F105" s="173">
        <f>C105/B105</f>
        <v>0.22546843522489793</v>
      </c>
    </row>
    <row r="106" spans="1:6" x14ac:dyDescent="0.25">
      <c r="A106" s="99" t="s">
        <v>243</v>
      </c>
      <c r="B106" s="49">
        <v>45844541</v>
      </c>
      <c r="C106" s="49">
        <v>17946875</v>
      </c>
      <c r="D106" s="49">
        <v>11965599.7354625</v>
      </c>
      <c r="E106" s="50">
        <f>VLOOKUP($A106,'Data shares'!$C:$FA,154)*100</f>
        <v>39.6</v>
      </c>
      <c r="F106" s="173">
        <f>C106/B106</f>
        <v>0.39147245470294928</v>
      </c>
    </row>
    <row r="107" spans="1:6" x14ac:dyDescent="0.25">
      <c r="A107" s="99" t="s">
        <v>569</v>
      </c>
      <c r="B107" s="49">
        <v>490240515</v>
      </c>
      <c r="C107" s="49">
        <v>288490700</v>
      </c>
      <c r="D107" s="49">
        <v>180272997.6505</v>
      </c>
      <c r="E107" s="50"/>
      <c r="F107" s="173">
        <f>C107/B107</f>
        <v>0.58846768305145081</v>
      </c>
    </row>
    <row r="108" spans="1:6" x14ac:dyDescent="0.25">
      <c r="A108" s="99" t="s">
        <v>579</v>
      </c>
      <c r="B108" s="49">
        <v>75294901</v>
      </c>
      <c r="C108" s="49">
        <v>33342300</v>
      </c>
      <c r="D108" s="49">
        <v>23527854.221360002</v>
      </c>
      <c r="E108" s="50">
        <f>VLOOKUP($A108,'Data shares'!$C:$FA,154)*100</f>
        <v>44.49</v>
      </c>
      <c r="F108" s="173">
        <f>C108/B108</f>
        <v>0.4428228147879496</v>
      </c>
    </row>
    <row r="109" spans="1:6" x14ac:dyDescent="0.25">
      <c r="A109" s="99" t="s">
        <v>244</v>
      </c>
      <c r="B109" s="49">
        <v>133242960</v>
      </c>
      <c r="C109" s="49">
        <v>57317625</v>
      </c>
      <c r="D109" s="49">
        <v>48434553.064061999</v>
      </c>
      <c r="E109" s="50"/>
      <c r="F109" s="173">
        <f>C109/B109</f>
        <v>0.43017375927403595</v>
      </c>
    </row>
    <row r="110" spans="1:6" x14ac:dyDescent="0.25">
      <c r="A110" s="99" t="s">
        <v>245</v>
      </c>
      <c r="B110" s="49">
        <v>58777851</v>
      </c>
      <c r="C110" s="49">
        <v>48770000</v>
      </c>
      <c r="D110" s="49">
        <v>35251385.075587504</v>
      </c>
      <c r="E110" s="50">
        <f>VLOOKUP($A110,'Data shares'!$C:$FA,154)*100</f>
        <v>83.99</v>
      </c>
      <c r="F110" s="173">
        <f>C110/B110</f>
        <v>0.82973431607766679</v>
      </c>
    </row>
    <row r="111" spans="1:6" x14ac:dyDescent="0.25">
      <c r="A111" s="99" t="s">
        <v>581</v>
      </c>
      <c r="B111" s="49">
        <v>57686748</v>
      </c>
      <c r="C111" s="49">
        <v>34908125</v>
      </c>
      <c r="D111" s="49">
        <v>21814445.388382498</v>
      </c>
      <c r="E111" s="50"/>
      <c r="F111" s="173">
        <f>C111/B111</f>
        <v>0.60513248207369918</v>
      </c>
    </row>
    <row r="112" spans="1:6" x14ac:dyDescent="0.25">
      <c r="A112" s="99" t="s">
        <v>673</v>
      </c>
      <c r="B112" s="49">
        <v>4679418</v>
      </c>
      <c r="C112" s="49">
        <v>4310300</v>
      </c>
      <c r="D112" s="49">
        <v>2329205.5339449998</v>
      </c>
      <c r="E112" s="50">
        <f>VLOOKUP($A112,'Data shares'!$C:$FA,154)*100</f>
        <v>93.8</v>
      </c>
      <c r="F112" s="173">
        <f>C112/B112</f>
        <v>0.92111882289635161</v>
      </c>
    </row>
    <row r="113" spans="1:6" x14ac:dyDescent="0.25">
      <c r="A113" s="99" t="s">
        <v>609</v>
      </c>
      <c r="B113" s="49">
        <v>9320940</v>
      </c>
      <c r="C113" s="49">
        <v>2565675</v>
      </c>
      <c r="D113" s="49">
        <v>1470124.4310935</v>
      </c>
      <c r="E113" s="50"/>
      <c r="F113" s="173">
        <f>C113/B113</f>
        <v>0.27525925496784659</v>
      </c>
    </row>
    <row r="114" spans="1:6" x14ac:dyDescent="0.25">
      <c r="A114" s="99" t="s">
        <v>679</v>
      </c>
      <c r="B114" s="49">
        <v>19953342</v>
      </c>
      <c r="C114" s="49">
        <v>13235675</v>
      </c>
      <c r="D114" s="49">
        <v>4220220.0577367498</v>
      </c>
      <c r="E114" s="50">
        <f>VLOOKUP($A114,'Data shares'!$C:$FA,154)*100</f>
        <v>67.63</v>
      </c>
      <c r="F114" s="173">
        <f>C114/B114</f>
        <v>0.66333123543915595</v>
      </c>
    </row>
    <row r="115" spans="1:6" x14ac:dyDescent="0.25">
      <c r="A115" s="99" t="s">
        <v>246</v>
      </c>
      <c r="B115" s="49">
        <v>882793124</v>
      </c>
      <c r="C115" s="49">
        <v>304808000</v>
      </c>
      <c r="D115" s="49">
        <v>220767306.22972</v>
      </c>
      <c r="E115" s="50">
        <f>VLOOKUP($A115,'Data shares'!$C:$FA,154)*100</f>
        <v>34.99</v>
      </c>
      <c r="F115" s="173">
        <f>C115/B115</f>
        <v>0.34527681708585667</v>
      </c>
    </row>
    <row r="116" spans="1:6" x14ac:dyDescent="0.25">
      <c r="A116" s="99" t="s">
        <v>576</v>
      </c>
      <c r="B116" s="49">
        <v>24611073</v>
      </c>
      <c r="C116" s="49">
        <v>10116125</v>
      </c>
      <c r="D116" s="49">
        <v>5906087.3613994997</v>
      </c>
      <c r="E116" s="50">
        <f>VLOOKUP($A116,'Data shares'!$C:$FA,154)*100</f>
        <v>41.46</v>
      </c>
      <c r="F116" s="173">
        <f>C116/B116</f>
        <v>0.41103957556015536</v>
      </c>
    </row>
    <row r="117" spans="1:6" x14ac:dyDescent="0.25">
      <c r="A117" s="99" t="s">
        <v>535</v>
      </c>
      <c r="B117" s="49">
        <v>58713729</v>
      </c>
      <c r="C117" s="49">
        <v>27024900</v>
      </c>
      <c r="D117" s="49">
        <v>16665695.511411</v>
      </c>
      <c r="E117" s="50">
        <f>VLOOKUP($A117,'Data shares'!$C:$FA,154)*100</f>
        <v>46.94</v>
      </c>
      <c r="F117" s="173">
        <f>C117/B117</f>
        <v>0.46028246647389742</v>
      </c>
    </row>
    <row r="118" spans="1:6" x14ac:dyDescent="0.25">
      <c r="A118" s="99" t="s">
        <v>248</v>
      </c>
      <c r="B118" s="49">
        <v>45183075</v>
      </c>
      <c r="C118" s="49">
        <v>38355000</v>
      </c>
      <c r="D118" s="49">
        <v>29230402.962030001</v>
      </c>
      <c r="E118" s="50">
        <f>VLOOKUP($A118,'Data shares'!$C:$FA,154)*100</f>
        <v>86.11</v>
      </c>
      <c r="F118" s="173">
        <f>C118/B118</f>
        <v>0.84887980731723112</v>
      </c>
    </row>
    <row r="119" spans="1:6" x14ac:dyDescent="0.25">
      <c r="A119" s="99" t="s">
        <v>606</v>
      </c>
      <c r="B119" s="49">
        <v>33206238</v>
      </c>
      <c r="C119" s="49">
        <v>19112100</v>
      </c>
      <c r="D119" s="49">
        <v>7948298.9587890003</v>
      </c>
      <c r="E119" s="50">
        <f>VLOOKUP($A119,'Data shares'!$C:$FA,154)*100</f>
        <v>58.25</v>
      </c>
      <c r="F119" s="173">
        <f>C119/B119</f>
        <v>0.57555752024664764</v>
      </c>
    </row>
    <row r="120" spans="1:6" x14ac:dyDescent="0.25">
      <c r="A120" s="99" t="s">
        <v>587</v>
      </c>
      <c r="B120" s="49">
        <v>42165698</v>
      </c>
      <c r="C120" s="49">
        <v>18957975</v>
      </c>
      <c r="D120" s="49">
        <v>13656313.291807501</v>
      </c>
      <c r="E120" s="50">
        <f>VLOOKUP($A120,'Data shares'!$C:$FA,154)*100</f>
        <v>45.2</v>
      </c>
      <c r="F120" s="173">
        <f>C120/B120</f>
        <v>0.4496065735707731</v>
      </c>
    </row>
    <row r="121" spans="1:6" x14ac:dyDescent="0.25">
      <c r="A121" s="99" t="s">
        <v>249</v>
      </c>
      <c r="B121" s="49">
        <v>136099497</v>
      </c>
      <c r="C121" s="49">
        <v>22916950</v>
      </c>
      <c r="D121" s="49">
        <v>14563002.310480701</v>
      </c>
      <c r="E121" s="50">
        <f>VLOOKUP($A121,'Data shares'!$C:$FA,154)*100</f>
        <v>17.080000000000002</v>
      </c>
      <c r="F121" s="173">
        <f>C121/B121</f>
        <v>0.16838379645150342</v>
      </c>
    </row>
    <row r="122" spans="1:6" x14ac:dyDescent="0.25">
      <c r="A122" s="99" t="s">
        <v>564</v>
      </c>
      <c r="B122" s="49">
        <v>127514625</v>
      </c>
      <c r="C122" s="49">
        <v>68375250</v>
      </c>
      <c r="D122" s="49">
        <v>36686822.364540003</v>
      </c>
      <c r="E122" s="50">
        <f>VLOOKUP($A122,'Data shares'!$C:$FA,154)*100</f>
        <v>54.44</v>
      </c>
      <c r="F122" s="173">
        <f>C122/B122</f>
        <v>0.53621496357770726</v>
      </c>
    </row>
    <row r="123" spans="1:6" x14ac:dyDescent="0.25">
      <c r="A123" s="99" t="s">
        <v>690</v>
      </c>
      <c r="B123" s="49">
        <v>12564965</v>
      </c>
      <c r="C123" s="49">
        <v>4778400</v>
      </c>
      <c r="D123" s="49">
        <v>2676623.7641894999</v>
      </c>
      <c r="E123" s="50">
        <f>VLOOKUP($A123,'Data shares'!$C:$FA,154)*100</f>
        <v>38.25</v>
      </c>
      <c r="F123" s="173">
        <f>C123/B123</f>
        <v>0.38029552808145506</v>
      </c>
    </row>
    <row r="124" spans="1:6" x14ac:dyDescent="0.25">
      <c r="A124" s="99" t="s">
        <v>250</v>
      </c>
      <c r="B124" s="49">
        <v>32222448</v>
      </c>
      <c r="C124" s="49">
        <v>11636925</v>
      </c>
      <c r="D124" s="49">
        <v>6973308.7658832502</v>
      </c>
      <c r="E124" s="50">
        <f>VLOOKUP($A124,'Data shares'!$C:$FA,154)*100</f>
        <v>36.67</v>
      </c>
      <c r="F124" s="173">
        <f>C124/B124</f>
        <v>0.36114341778129333</v>
      </c>
    </row>
    <row r="125" spans="1:6" x14ac:dyDescent="0.25">
      <c r="A125" s="99" t="s">
        <v>251</v>
      </c>
      <c r="B125" s="49">
        <v>120808308</v>
      </c>
      <c r="C125" s="49">
        <v>28307000</v>
      </c>
      <c r="D125" s="49">
        <v>20167066.237948</v>
      </c>
      <c r="E125" s="50">
        <f>VLOOKUP($A125,'Data shares'!$C:$FA,154)*100</f>
        <v>23.77</v>
      </c>
      <c r="F125" s="173">
        <f>C125/B125</f>
        <v>0.23431335533645584</v>
      </c>
    </row>
    <row r="126" spans="1:6" x14ac:dyDescent="0.25">
      <c r="A126" s="99" t="s">
        <v>253</v>
      </c>
      <c r="B126" s="49">
        <v>82205057</v>
      </c>
      <c r="C126" s="49">
        <v>72477000</v>
      </c>
      <c r="D126" s="49">
        <v>49255115.835419998</v>
      </c>
      <c r="E126" s="50">
        <f>VLOOKUP($A126,'Data shares'!$C:$FA,154)*100</f>
        <v>90.32</v>
      </c>
      <c r="F126" s="173">
        <f>C126/B126</f>
        <v>0.88166108807636978</v>
      </c>
    </row>
    <row r="127" spans="1:6" x14ac:dyDescent="0.25">
      <c r="A127" s="99" t="s">
        <v>669</v>
      </c>
      <c r="B127" s="49">
        <v>16926669</v>
      </c>
      <c r="C127" s="49">
        <v>4395825</v>
      </c>
      <c r="D127" s="49">
        <v>3475665.4949325002</v>
      </c>
      <c r="E127" s="50">
        <f>VLOOKUP($A127,'Data shares'!$C:$FA,154)*100</f>
        <v>26.07</v>
      </c>
      <c r="F127" s="173">
        <f>C127/B127</f>
        <v>0.25969817215661273</v>
      </c>
    </row>
    <row r="128" spans="1:6" x14ac:dyDescent="0.25">
      <c r="A128" s="99" t="s">
        <v>254</v>
      </c>
      <c r="B128" s="49">
        <v>77572761</v>
      </c>
      <c r="C128" s="49">
        <v>27716400</v>
      </c>
      <c r="D128" s="49">
        <v>21943801.727724001</v>
      </c>
      <c r="E128" s="50">
        <f>VLOOKUP($A128,'Data shares'!$C:$FA,154)*100</f>
        <v>36</v>
      </c>
      <c r="F128" s="173">
        <f>C128/B128</f>
        <v>0.35729552026645023</v>
      </c>
    </row>
    <row r="129" spans="1:6" x14ac:dyDescent="0.25">
      <c r="A129" s="99" t="s">
        <v>255</v>
      </c>
      <c r="B129" s="49">
        <v>19673414</v>
      </c>
      <c r="C129" s="49">
        <v>5833600</v>
      </c>
      <c r="D129" s="49">
        <v>3198021.8619134999</v>
      </c>
      <c r="E129" s="50">
        <f>VLOOKUP($A129,'Data shares'!$C:$FA,154)*100</f>
        <v>30.23</v>
      </c>
      <c r="F129" s="173">
        <f>C129/B129</f>
        <v>0.29652199663972911</v>
      </c>
    </row>
    <row r="130" spans="1:6" x14ac:dyDescent="0.25">
      <c r="A130" s="99" t="s">
        <v>602</v>
      </c>
      <c r="B130" s="49">
        <v>111298748</v>
      </c>
      <c r="C130" s="49">
        <v>16543275</v>
      </c>
      <c r="D130" s="49">
        <v>13082641.4153347</v>
      </c>
      <c r="E130" s="50">
        <f>VLOOKUP($A130,'Data shares'!$C:$FA,154)*100</f>
        <v>14.96</v>
      </c>
      <c r="F130" s="173">
        <f>C130/B130</f>
        <v>0.14863846446862097</v>
      </c>
    </row>
    <row r="131" spans="1:6" x14ac:dyDescent="0.25">
      <c r="A131" s="99" t="s">
        <v>670</v>
      </c>
      <c r="B131" s="49">
        <v>11364224</v>
      </c>
      <c r="C131" s="49">
        <v>10992550</v>
      </c>
      <c r="D131" s="49">
        <v>4985075.4562240001</v>
      </c>
      <c r="E131" s="50">
        <f>VLOOKUP($A131,'Data shares'!$C:$FA,154)*100</f>
        <v>98.31</v>
      </c>
      <c r="F131" s="173">
        <f>C131/B131</f>
        <v>0.96729437927305906</v>
      </c>
    </row>
    <row r="132" spans="1:6" x14ac:dyDescent="0.25">
      <c r="A132" s="99" t="s">
        <v>517</v>
      </c>
      <c r="B132" s="49">
        <v>38177113</v>
      </c>
      <c r="C132" s="49">
        <v>20104775</v>
      </c>
      <c r="D132" s="49">
        <v>13185342.191693701</v>
      </c>
      <c r="E132" s="50">
        <f>VLOOKUP($A132,'Data shares'!$C:$FA,154)*100</f>
        <v>54.300000000000004</v>
      </c>
      <c r="F132" s="173">
        <f>C132/B132</f>
        <v>0.52661852665496212</v>
      </c>
    </row>
    <row r="133" spans="1:6" x14ac:dyDescent="0.25">
      <c r="A133" s="99" t="s">
        <v>257</v>
      </c>
      <c r="B133" s="49">
        <v>35051266</v>
      </c>
      <c r="C133" s="49">
        <v>9834400</v>
      </c>
      <c r="D133" s="49">
        <v>9123064.0352880005</v>
      </c>
      <c r="E133" s="50">
        <f>VLOOKUP($A133,'Data shares'!$C:$FA,154)*100</f>
        <v>28.1</v>
      </c>
      <c r="F133" s="173">
        <f>C133/B133</f>
        <v>0.28057189146891298</v>
      </c>
    </row>
    <row r="134" spans="1:6" x14ac:dyDescent="0.25">
      <c r="A134" s="99" t="s">
        <v>558</v>
      </c>
      <c r="B134" s="49">
        <v>588447385</v>
      </c>
      <c r="C134" s="49">
        <v>177070800</v>
      </c>
      <c r="D134" s="49">
        <v>128559102.80448</v>
      </c>
      <c r="E134" s="50">
        <f>VLOOKUP($A134,'Data shares'!$C:$FA,154)*100</f>
        <v>30.4</v>
      </c>
      <c r="F134" s="173">
        <f>C134/B134</f>
        <v>0.30091186487301663</v>
      </c>
    </row>
    <row r="135" spans="1:6" x14ac:dyDescent="0.25">
      <c r="A135" s="99" t="s">
        <v>696</v>
      </c>
      <c r="B135" s="49">
        <v>29196111</v>
      </c>
      <c r="C135" s="49">
        <v>6113200</v>
      </c>
      <c r="D135" s="49">
        <v>2788475.89605925</v>
      </c>
      <c r="E135" s="50">
        <f>VLOOKUP($A135,'Data shares'!$C:$FA,154)*100</f>
        <v>21.39</v>
      </c>
      <c r="F135" s="173">
        <f>C135/B135</f>
        <v>0.20938405118407721</v>
      </c>
    </row>
    <row r="136" spans="1:6" x14ac:dyDescent="0.25">
      <c r="A136" s="99" t="s">
        <v>487</v>
      </c>
      <c r="B136" s="49">
        <v>19838356</v>
      </c>
      <c r="C136" s="49">
        <v>7093625</v>
      </c>
      <c r="D136" s="49">
        <v>4812421.1750175003</v>
      </c>
      <c r="E136" s="50">
        <f>VLOOKUP($A136,'Data shares'!$C:$FA,154)*100</f>
        <v>36.059999999999995</v>
      </c>
      <c r="F136" s="173">
        <f>C136/B136</f>
        <v>0.35757121205003078</v>
      </c>
    </row>
    <row r="137" spans="1:6" x14ac:dyDescent="0.25">
      <c r="A137" s="99" t="s">
        <v>262</v>
      </c>
      <c r="B137" s="49">
        <v>16050690</v>
      </c>
      <c r="C137" s="49">
        <v>5304475</v>
      </c>
      <c r="D137" s="49">
        <v>3610718.6461609998</v>
      </c>
      <c r="E137" s="50">
        <f>VLOOKUP($A137,'Data shares'!$C:$FA,154)*100</f>
        <v>33.619999999999997</v>
      </c>
      <c r="F137" s="173">
        <f>C137/B137</f>
        <v>0.33048267706871171</v>
      </c>
    </row>
    <row r="138" spans="1:6" x14ac:dyDescent="0.25">
      <c r="A138" s="99" t="s">
        <v>486</v>
      </c>
      <c r="B138" s="49">
        <v>26709548</v>
      </c>
      <c r="C138" s="49">
        <v>5030625</v>
      </c>
      <c r="D138" s="49">
        <v>3010657.5452062502</v>
      </c>
      <c r="E138" s="50">
        <f>VLOOKUP($A138,'Data shares'!$C:$FA,154)*100</f>
        <v>19.13</v>
      </c>
      <c r="F138" s="173">
        <f>C138/B138</f>
        <v>0.18834556840872035</v>
      </c>
    </row>
    <row r="139" spans="1:6" x14ac:dyDescent="0.25">
      <c r="A139" s="99" t="s">
        <v>263</v>
      </c>
      <c r="B139" s="49">
        <v>134225816</v>
      </c>
      <c r="C139" s="49">
        <v>93468750</v>
      </c>
      <c r="D139" s="49">
        <v>51080705.597512498</v>
      </c>
      <c r="E139" s="50">
        <f>VLOOKUP($A139,'Data shares'!$C:$FA,154)*100</f>
        <v>71.27</v>
      </c>
      <c r="F139" s="173">
        <f>C139/B139</f>
        <v>0.6963544926409686</v>
      </c>
    </row>
    <row r="140" spans="1:6" x14ac:dyDescent="0.25">
      <c r="A140" s="99" t="s">
        <v>264</v>
      </c>
      <c r="B140" s="49">
        <v>60562281</v>
      </c>
      <c r="C140" s="49">
        <v>13367075</v>
      </c>
      <c r="D140" s="49">
        <v>10457134.836275</v>
      </c>
      <c r="E140" s="50">
        <f>VLOOKUP($A140,'Data shares'!$C:$FA,154)*100</f>
        <v>22.3</v>
      </c>
      <c r="F140" s="173">
        <f>C140/B140</f>
        <v>0.2207161748085413</v>
      </c>
    </row>
    <row r="141" spans="1:6" x14ac:dyDescent="0.25">
      <c r="A141" s="99" t="s">
        <v>550</v>
      </c>
      <c r="B141" s="49">
        <v>154894704</v>
      </c>
      <c r="C141" s="49">
        <v>99450000</v>
      </c>
      <c r="D141" s="49">
        <v>68511565.237570003</v>
      </c>
      <c r="E141" s="50">
        <f>VLOOKUP($A141,'Data shares'!$C:$FA,154)*100</f>
        <v>64.67</v>
      </c>
      <c r="F141" s="173">
        <f>C141/B141</f>
        <v>0.64204906579633603</v>
      </c>
    </row>
    <row r="142" spans="1:6" x14ac:dyDescent="0.25">
      <c r="A142" s="99" t="s">
        <v>265</v>
      </c>
      <c r="B142" s="49">
        <v>71801274</v>
      </c>
      <c r="C142" s="49">
        <v>21155500</v>
      </c>
      <c r="D142" s="49">
        <v>14354851.932530001</v>
      </c>
      <c r="E142" s="50">
        <f>VLOOKUP($A142,'Data shares'!$C:$FA,154)*100</f>
        <v>29.830000000000002</v>
      </c>
      <c r="F142" s="173">
        <f>C142/B142</f>
        <v>0.29463961879005102</v>
      </c>
    </row>
    <row r="143" spans="1:6" x14ac:dyDescent="0.25">
      <c r="A143" s="99" t="s">
        <v>584</v>
      </c>
      <c r="B143" s="49">
        <v>491233252</v>
      </c>
      <c r="C143" s="49">
        <v>156327750</v>
      </c>
      <c r="D143" s="49">
        <v>90722406.733311996</v>
      </c>
      <c r="E143" s="50">
        <f>VLOOKUP($A143,'Data shares'!$C:$FA,154)*100</f>
        <v>32.15</v>
      </c>
      <c r="F143" s="173">
        <f>C143/B143</f>
        <v>0.3182352769555592</v>
      </c>
    </row>
    <row r="144" spans="1:6" x14ac:dyDescent="0.25">
      <c r="A144" s="99" t="s">
        <v>267</v>
      </c>
      <c r="B144" s="49">
        <v>517037525</v>
      </c>
      <c r="C144" s="49">
        <v>414713250</v>
      </c>
      <c r="D144" s="49">
        <v>282660716.94439501</v>
      </c>
      <c r="E144" s="50">
        <f>VLOOKUP($A144,'Data shares'!$C:$FA,154)*100</f>
        <v>81.12</v>
      </c>
      <c r="F144" s="173">
        <f>C144/B144</f>
        <v>0.80209507037230998</v>
      </c>
    </row>
    <row r="145" spans="1:6" x14ac:dyDescent="0.25">
      <c r="A145" s="99" t="s">
        <v>268</v>
      </c>
      <c r="B145" s="49">
        <v>550512361</v>
      </c>
      <c r="C145" s="49">
        <v>153789000</v>
      </c>
      <c r="D145" s="49">
        <v>102065534.176245</v>
      </c>
      <c r="E145" s="50">
        <f>VLOOKUP($A145,'Data shares'!$C:$FA,154)*100</f>
        <v>28.52</v>
      </c>
      <c r="F145" s="173">
        <f>C145/B145</f>
        <v>0.27935612512068553</v>
      </c>
    </row>
    <row r="146" spans="1:6" x14ac:dyDescent="0.25">
      <c r="A146" s="99" t="s">
        <v>681</v>
      </c>
      <c r="B146" s="49">
        <v>12490416</v>
      </c>
      <c r="C146" s="49">
        <v>2058000</v>
      </c>
      <c r="D146" s="49">
        <v>1184881.1991950001</v>
      </c>
      <c r="E146" s="50">
        <f>VLOOKUP($A146,'Data shares'!$C:$FA,154)*100</f>
        <v>16.850000000000001</v>
      </c>
      <c r="F146" s="173">
        <f>C146/B146</f>
        <v>0.16476632964026178</v>
      </c>
    </row>
    <row r="147" spans="1:6" x14ac:dyDescent="0.25">
      <c r="A147" s="99" t="s">
        <v>612</v>
      </c>
      <c r="B147" s="49">
        <v>205669742</v>
      </c>
      <c r="C147" s="49">
        <v>54996875</v>
      </c>
      <c r="D147" s="49">
        <v>46571695.6004375</v>
      </c>
      <c r="E147" s="50">
        <f>VLOOKUP($A147,'Data shares'!$C:$FA,154)*100</f>
        <v>26.85</v>
      </c>
      <c r="F147" s="173">
        <f>C147/B147</f>
        <v>0.26740382160833359</v>
      </c>
    </row>
    <row r="148" spans="1:6" x14ac:dyDescent="0.25">
      <c r="A148" s="99" t="s">
        <v>528</v>
      </c>
      <c r="B148" s="49">
        <v>17614093</v>
      </c>
      <c r="C148" s="49">
        <v>8190000</v>
      </c>
      <c r="D148" s="49">
        <v>6812982.7357900003</v>
      </c>
      <c r="E148" s="50">
        <f>VLOOKUP($A148,'Data shares'!$C:$FA,154)*100</f>
        <v>47.27</v>
      </c>
      <c r="F148" s="173">
        <f>C148/B148</f>
        <v>0.4649685907755795</v>
      </c>
    </row>
    <row r="149" spans="1:6" x14ac:dyDescent="0.25">
      <c r="A149" s="99" t="s">
        <v>518</v>
      </c>
      <c r="B149" s="49">
        <v>3594855</v>
      </c>
      <c r="C149" s="49">
        <v>2495225</v>
      </c>
      <c r="D149" s="49">
        <v>1224137.9987900001</v>
      </c>
      <c r="E149" s="50">
        <f>VLOOKUP($A149,'Data shares'!$C:$FA,154)*100</f>
        <v>70.789999999999992</v>
      </c>
      <c r="F149" s="173">
        <f>C149/B149</f>
        <v>0.6941100545084572</v>
      </c>
    </row>
    <row r="150" spans="1:6" x14ac:dyDescent="0.25">
      <c r="A150" s="99" t="s">
        <v>586</v>
      </c>
      <c r="B150" s="49">
        <v>105756420</v>
      </c>
      <c r="C150" s="49">
        <v>31868200</v>
      </c>
      <c r="D150" s="49">
        <v>18936918.646968</v>
      </c>
      <c r="E150" s="50">
        <f>VLOOKUP($A150,'Data shares'!$C:$FA,154)*100</f>
        <v>30.48</v>
      </c>
      <c r="F150" s="173">
        <f>C150/B150</f>
        <v>0.30133584325188012</v>
      </c>
    </row>
    <row r="151" spans="1:6" x14ac:dyDescent="0.25">
      <c r="A151" s="99" t="s">
        <v>269</v>
      </c>
      <c r="B151" s="49">
        <v>711370982</v>
      </c>
      <c r="C151" s="49">
        <v>160121250</v>
      </c>
      <c r="D151" s="49">
        <v>104486128.470652</v>
      </c>
      <c r="E151" s="50">
        <f>VLOOKUP($A151,'Data shares'!$C:$FA,154)*100</f>
        <v>22.91</v>
      </c>
      <c r="F151" s="173">
        <f>C151/B151</f>
        <v>0.22508825078839104</v>
      </c>
    </row>
    <row r="152" spans="1:6" x14ac:dyDescent="0.25">
      <c r="A152" s="99" t="s">
        <v>270</v>
      </c>
      <c r="B152" s="49">
        <v>955549</v>
      </c>
      <c r="C152" s="49">
        <v>333235</v>
      </c>
      <c r="D152" s="49">
        <v>293283.37885824998</v>
      </c>
      <c r="E152" s="50">
        <f>VLOOKUP($A152,'Data shares'!$C:$FA,154)*100</f>
        <v>35.130000000000003</v>
      </c>
      <c r="F152" s="173">
        <f>C152/B152</f>
        <v>0.34873669482151098</v>
      </c>
    </row>
    <row r="153" spans="1:6" x14ac:dyDescent="0.25">
      <c r="A153" s="99" t="s">
        <v>663</v>
      </c>
      <c r="B153" s="49">
        <v>51786533</v>
      </c>
      <c r="C153" s="49">
        <v>41278825</v>
      </c>
      <c r="D153" s="49">
        <v>21676854.158498</v>
      </c>
      <c r="E153" s="50"/>
      <c r="F153" s="173">
        <f>C153/B153</f>
        <v>0.79709574301874964</v>
      </c>
    </row>
    <row r="154" spans="1:6" x14ac:dyDescent="0.25">
      <c r="A154" s="99" t="s">
        <v>574</v>
      </c>
      <c r="B154" s="49">
        <v>95930888</v>
      </c>
      <c r="C154" s="49">
        <v>24096100</v>
      </c>
      <c r="D154" s="49">
        <v>13511550.3894227</v>
      </c>
      <c r="E154" s="50">
        <f>VLOOKUP($A154,'Data shares'!$C:$FA,154)*100</f>
        <v>25.55</v>
      </c>
      <c r="F154" s="173">
        <f>C154/B154</f>
        <v>0.25118187168245537</v>
      </c>
    </row>
    <row r="155" spans="1:6" x14ac:dyDescent="0.25">
      <c r="A155" s="99" t="s">
        <v>529</v>
      </c>
      <c r="B155" s="49">
        <v>16286398</v>
      </c>
      <c r="C155" s="49">
        <v>6520450</v>
      </c>
      <c r="D155" s="49">
        <v>3499103.9763020002</v>
      </c>
      <c r="E155" s="50"/>
      <c r="F155" s="173">
        <f>C155/B155</f>
        <v>0.40036170060439391</v>
      </c>
    </row>
    <row r="156" spans="1:6" x14ac:dyDescent="0.25">
      <c r="A156" s="99" t="s">
        <v>272</v>
      </c>
      <c r="B156" s="49">
        <v>112500013</v>
      </c>
      <c r="C156" s="49">
        <v>49901600</v>
      </c>
      <c r="D156" s="49">
        <v>30374089.072296999</v>
      </c>
      <c r="E156" s="50">
        <f>VLOOKUP($A156,'Data shares'!$C:$FA,154)*100</f>
        <v>44.84</v>
      </c>
      <c r="F156" s="173">
        <f>C156/B156</f>
        <v>0.4435697265208316</v>
      </c>
    </row>
    <row r="157" spans="1:6" x14ac:dyDescent="0.25">
      <c r="A157" s="99" t="s">
        <v>273</v>
      </c>
      <c r="B157" s="49">
        <v>217835555</v>
      </c>
      <c r="C157" s="49">
        <v>86062600</v>
      </c>
      <c r="D157" s="49">
        <v>55758741.346671999</v>
      </c>
      <c r="E157" s="50">
        <f>VLOOKUP($A157,'Data shares'!$C:$FA,154)*100</f>
        <v>39.93</v>
      </c>
      <c r="F157" s="173">
        <f>C157/B157</f>
        <v>0.39508059187123973</v>
      </c>
    </row>
    <row r="158" spans="1:6" x14ac:dyDescent="0.25">
      <c r="A158" s="99" t="s">
        <v>676</v>
      </c>
      <c r="B158" s="49">
        <v>24101986</v>
      </c>
      <c r="C158" s="49">
        <v>18109850</v>
      </c>
      <c r="D158" s="49">
        <v>9543539.7333090007</v>
      </c>
      <c r="E158" s="50">
        <f>VLOOKUP($A158,'Data shares'!$C:$FA,154)*100</f>
        <v>76.160000000000011</v>
      </c>
      <c r="F158" s="173">
        <f>C158/B158</f>
        <v>0.75138413904978618</v>
      </c>
    </row>
    <row r="159" spans="1:6" x14ac:dyDescent="0.25">
      <c r="A159" s="99" t="s">
        <v>644</v>
      </c>
      <c r="B159" s="49">
        <v>21502901</v>
      </c>
      <c r="C159" s="49">
        <v>5613300</v>
      </c>
      <c r="D159" s="49">
        <v>3880363.0586735001</v>
      </c>
      <c r="E159" s="50">
        <f>VLOOKUP($A159,'Data shares'!$C:$FA,154)*100</f>
        <v>26.179999999999996</v>
      </c>
      <c r="F159" s="173">
        <f>C159/B159</f>
        <v>0.261048497595743</v>
      </c>
    </row>
    <row r="160" spans="1:6" x14ac:dyDescent="0.25">
      <c r="A160" s="99" t="s">
        <v>274</v>
      </c>
      <c r="B160" s="49">
        <v>31214205</v>
      </c>
      <c r="C160" s="49">
        <v>8805500</v>
      </c>
      <c r="D160" s="49">
        <v>7107675.0251049995</v>
      </c>
      <c r="E160" s="50">
        <f>VLOOKUP($A160,'Data shares'!$C:$FA,154)*100</f>
        <v>28.37</v>
      </c>
      <c r="F160" s="173">
        <f>C160/B160</f>
        <v>0.28209912762474648</v>
      </c>
    </row>
    <row r="161" spans="1:6" x14ac:dyDescent="0.25">
      <c r="A161" s="99" t="s">
        <v>483</v>
      </c>
      <c r="B161" s="49">
        <v>8178275</v>
      </c>
      <c r="C161" s="49">
        <v>4086600</v>
      </c>
      <c r="D161" s="49">
        <v>2586844.9774317499</v>
      </c>
      <c r="E161" s="50">
        <f>VLOOKUP($A161,'Data shares'!$C:$FA,154)*100</f>
        <v>50.43</v>
      </c>
      <c r="F161" s="173">
        <f>C161/B161</f>
        <v>0.49968972674555451</v>
      </c>
    </row>
    <row r="162" spans="1:6" x14ac:dyDescent="0.25">
      <c r="A162" s="99" t="s">
        <v>275</v>
      </c>
      <c r="B162" s="49">
        <v>515822637</v>
      </c>
      <c r="C162" s="49">
        <v>399528000</v>
      </c>
      <c r="D162" s="49">
        <v>255710886.61568001</v>
      </c>
      <c r="E162" s="50">
        <f>VLOOKUP($A162,'Data shares'!$C:$FA,154)*100</f>
        <v>78.320000000000007</v>
      </c>
      <c r="F162" s="173">
        <f>C162/B162</f>
        <v>0.77454530170222058</v>
      </c>
    </row>
    <row r="163" spans="1:6" x14ac:dyDescent="0.25">
      <c r="A163" s="99" t="s">
        <v>667</v>
      </c>
      <c r="B163" s="49">
        <v>28118603</v>
      </c>
      <c r="C163" s="49">
        <v>13560950</v>
      </c>
      <c r="D163" s="49">
        <v>10461696.686460501</v>
      </c>
      <c r="E163" s="50"/>
      <c r="F163" s="173">
        <f>C163/B163</f>
        <v>0.48227680443441662</v>
      </c>
    </row>
    <row r="164" spans="1:6" x14ac:dyDescent="0.25">
      <c r="A164" s="99" t="s">
        <v>572</v>
      </c>
      <c r="B164" s="49">
        <v>69300607</v>
      </c>
      <c r="C164" s="49">
        <v>9699200</v>
      </c>
      <c r="D164" s="49">
        <v>7706155.0807779999</v>
      </c>
      <c r="E164" s="50">
        <f>VLOOKUP($A164,'Data shares'!$C:$FA,154)*100</f>
        <v>14.099999999999998</v>
      </c>
      <c r="F164" s="173">
        <f>C164/B164</f>
        <v>0.13995837006160711</v>
      </c>
    </row>
    <row r="165" spans="1:6" x14ac:dyDescent="0.25">
      <c r="A165" s="99" t="s">
        <v>519</v>
      </c>
      <c r="B165" s="49">
        <v>8693344</v>
      </c>
      <c r="C165" s="49">
        <v>3841500</v>
      </c>
      <c r="D165" s="49">
        <v>1992796.6521574999</v>
      </c>
      <c r="E165" s="50">
        <f>VLOOKUP($A165,'Data shares'!$C:$FA,154)*100</f>
        <v>45.12</v>
      </c>
      <c r="F165" s="173">
        <f>C165/B165</f>
        <v>0.44188979522724514</v>
      </c>
    </row>
    <row r="166" spans="1:6" x14ac:dyDescent="0.25">
      <c r="A166" s="99" t="s">
        <v>276</v>
      </c>
      <c r="B166" s="49">
        <v>660840864</v>
      </c>
      <c r="C166" s="49">
        <v>110534400</v>
      </c>
      <c r="D166" s="49">
        <v>78169907.875806004</v>
      </c>
      <c r="E166" s="50">
        <f>VLOOKUP($A166,'Data shares'!$C:$FA,154)*100</f>
        <v>16.950000000000003</v>
      </c>
      <c r="F166" s="173">
        <f>C166/B166</f>
        <v>0.16726326415552897</v>
      </c>
    </row>
    <row r="167" spans="1:6" x14ac:dyDescent="0.25">
      <c r="A167" s="99" t="s">
        <v>683</v>
      </c>
      <c r="B167" s="49">
        <v>1917916</v>
      </c>
      <c r="C167" s="49">
        <v>800425</v>
      </c>
      <c r="D167" s="49">
        <v>395700.6155055</v>
      </c>
      <c r="E167" s="50">
        <f>VLOOKUP($A167,'Data shares'!$C:$FA,154)*100</f>
        <v>43.05</v>
      </c>
      <c r="F167" s="173">
        <f>C167/B167</f>
        <v>0.41734100972096799</v>
      </c>
    </row>
    <row r="168" spans="1:6" x14ac:dyDescent="0.25">
      <c r="A168" s="99" t="s">
        <v>686</v>
      </c>
      <c r="B168" s="49">
        <v>23961540</v>
      </c>
      <c r="C168" s="49">
        <v>13383350</v>
      </c>
      <c r="D168" s="49">
        <v>7367699.4460105002</v>
      </c>
      <c r="E168" s="50">
        <f>VLOOKUP($A168,'Data shares'!$C:$FA,154)*100</f>
        <v>56.08</v>
      </c>
      <c r="F168" s="173">
        <f>C168/B168</f>
        <v>0.55853463508605872</v>
      </c>
    </row>
    <row r="169" spans="1:6" x14ac:dyDescent="0.25">
      <c r="A169" s="99" t="s">
        <v>604</v>
      </c>
      <c r="B169" s="49">
        <v>25234534</v>
      </c>
      <c r="C169" s="49">
        <v>7355700</v>
      </c>
      <c r="D169" s="49">
        <v>5628140.2644525003</v>
      </c>
      <c r="E169" s="50">
        <f>VLOOKUP($A169,'Data shares'!$C:$FA,154)*100</f>
        <v>29.26</v>
      </c>
      <c r="F169" s="173">
        <f>C169/B169</f>
        <v>0.29149339551901376</v>
      </c>
    </row>
    <row r="170" spans="1:6" x14ac:dyDescent="0.25">
      <c r="A170" s="99" t="s">
        <v>279</v>
      </c>
      <c r="B170" s="49">
        <v>92573471</v>
      </c>
      <c r="C170" s="49">
        <v>97745550</v>
      </c>
      <c r="D170" s="49">
        <v>56819178.970222197</v>
      </c>
      <c r="E170" s="50">
        <f>VLOOKUP($A170,'Data shares'!$C:$FA,154)*100</f>
        <v>107</v>
      </c>
      <c r="F170" s="173">
        <f>C170/B170</f>
        <v>1.0558699910906442</v>
      </c>
    </row>
    <row r="171" spans="1:6" x14ac:dyDescent="0.25">
      <c r="A171" s="99" t="s">
        <v>280</v>
      </c>
      <c r="B171" s="49">
        <v>187084550</v>
      </c>
      <c r="C171" s="49">
        <v>107701650</v>
      </c>
      <c r="D171" s="49">
        <v>64142712.115440004</v>
      </c>
      <c r="E171" s="50"/>
      <c r="F171" s="173">
        <f>C171/B171</f>
        <v>0.57568436303265025</v>
      </c>
    </row>
    <row r="172" spans="1:6" x14ac:dyDescent="0.25">
      <c r="A172" s="99" t="s">
        <v>281</v>
      </c>
      <c r="B172" s="49">
        <v>664381721</v>
      </c>
      <c r="C172" s="49">
        <v>173815500</v>
      </c>
      <c r="D172" s="49">
        <v>100146139.519605</v>
      </c>
      <c r="E172" s="50">
        <f>VLOOKUP($A172,'Data shares'!$C:$FA,154)*100</f>
        <v>26.650000000000002</v>
      </c>
      <c r="F172" s="173">
        <f>C172/B172</f>
        <v>0.26161993099144881</v>
      </c>
    </row>
    <row r="173" spans="1:6" x14ac:dyDescent="0.25">
      <c r="A173" s="99" t="s">
        <v>672</v>
      </c>
      <c r="B173" s="49">
        <v>84941460</v>
      </c>
      <c r="C173" s="49">
        <v>73426125</v>
      </c>
      <c r="D173" s="49">
        <v>39353517.425457001</v>
      </c>
      <c r="E173" s="50">
        <f>VLOOKUP($A173,'Data shares'!$C:$FA,154)*100</f>
        <v>87.86</v>
      </c>
      <c r="F173" s="173">
        <f>C173/B173</f>
        <v>0.86443210418092653</v>
      </c>
    </row>
    <row r="174" spans="1:6" x14ac:dyDescent="0.25">
      <c r="A174" s="99" t="s">
        <v>282</v>
      </c>
      <c r="B174" s="49">
        <v>216861410</v>
      </c>
      <c r="C174" s="49">
        <v>203199800</v>
      </c>
      <c r="D174" s="49">
        <v>178358248.75695699</v>
      </c>
      <c r="E174" s="50">
        <f>VLOOKUP($A174,'Data shares'!$C:$FA,154)*100</f>
        <v>94.399999999999991</v>
      </c>
      <c r="F174" s="173">
        <f>C174/B174</f>
        <v>0.93700303802322416</v>
      </c>
    </row>
    <row r="175" spans="1:6" x14ac:dyDescent="0.25">
      <c r="A175" s="99" t="s">
        <v>682</v>
      </c>
      <c r="B175" s="49">
        <v>122372064</v>
      </c>
      <c r="C175" s="49">
        <v>140618600</v>
      </c>
      <c r="D175" s="49">
        <v>87599692.348820999</v>
      </c>
      <c r="E175" s="50">
        <f>VLOOKUP($A175,'Data shares'!$C:$FA,154)*100</f>
        <v>116.26</v>
      </c>
      <c r="F175" s="173">
        <f>C175/B175</f>
        <v>1.1491070380246262</v>
      </c>
    </row>
    <row r="176" spans="1:6" x14ac:dyDescent="0.25">
      <c r="A176" s="99" t="s">
        <v>536</v>
      </c>
      <c r="B176" s="49">
        <v>44841373</v>
      </c>
      <c r="C176" s="49">
        <v>39796000</v>
      </c>
      <c r="D176" s="49">
        <v>22894833.479912002</v>
      </c>
      <c r="E176" s="50">
        <f>VLOOKUP($A176,'Data shares'!$C:$FA,154)*100</f>
        <v>89.51</v>
      </c>
      <c r="F176" s="173">
        <f>C176/B176</f>
        <v>0.88748397601473983</v>
      </c>
    </row>
    <row r="177" spans="1:6" x14ac:dyDescent="0.25">
      <c r="A177" s="99" t="s">
        <v>462</v>
      </c>
      <c r="B177" s="49">
        <v>45527821</v>
      </c>
      <c r="C177" s="49">
        <v>15240000</v>
      </c>
      <c r="D177" s="49">
        <v>10071012.8591475</v>
      </c>
      <c r="E177" s="50"/>
      <c r="F177" s="173">
        <f>C177/B177</f>
        <v>0.33474037775715204</v>
      </c>
    </row>
    <row r="178" spans="1:6" x14ac:dyDescent="0.25">
      <c r="A178" s="99" t="s">
        <v>283</v>
      </c>
      <c r="B178" s="49">
        <v>580324288</v>
      </c>
      <c r="C178" s="49">
        <v>146665500</v>
      </c>
      <c r="D178" s="49">
        <v>89866475.031029999</v>
      </c>
      <c r="E178" s="50">
        <f>VLOOKUP($A178,'Data shares'!$C:$FA,154)*100</f>
        <v>25.72</v>
      </c>
      <c r="F178" s="173">
        <f>C178/B178</f>
        <v>0.25273024588624488</v>
      </c>
    </row>
    <row r="179" spans="1:6" x14ac:dyDescent="0.25">
      <c r="A179" s="99" t="s">
        <v>284</v>
      </c>
      <c r="B179" s="49">
        <v>1655049</v>
      </c>
      <c r="C179" s="49">
        <v>473450</v>
      </c>
      <c r="D179" s="49">
        <v>355382.54640125</v>
      </c>
      <c r="E179" s="50">
        <f>VLOOKUP($A179,'Data shares'!$C:$FA,154)*100</f>
        <v>29.110000000000003</v>
      </c>
      <c r="F179" s="173">
        <f>C179/B179</f>
        <v>0.28606403798316543</v>
      </c>
    </row>
    <row r="180" spans="1:6" x14ac:dyDescent="0.25">
      <c r="A180" s="99" t="s">
        <v>561</v>
      </c>
      <c r="B180" s="49">
        <v>210567108</v>
      </c>
      <c r="C180" s="49">
        <v>70846875</v>
      </c>
      <c r="D180" s="49">
        <v>43696896.564560197</v>
      </c>
      <c r="E180" s="50">
        <f>VLOOKUP($A180,'Data shares'!$C:$FA,154)*100</f>
        <v>34.130000000000003</v>
      </c>
      <c r="F180" s="173">
        <f>C180/B180</f>
        <v>0.33645746324254971</v>
      </c>
    </row>
    <row r="181" spans="1:6" x14ac:dyDescent="0.25">
      <c r="A181" s="99" t="s">
        <v>285</v>
      </c>
      <c r="B181" s="49">
        <v>10374894</v>
      </c>
      <c r="C181" s="49">
        <v>4500125</v>
      </c>
      <c r="D181" s="49">
        <v>2852942.8930327501</v>
      </c>
      <c r="E181" s="50">
        <f>VLOOKUP($A181,'Data shares'!$C:$FA,154)*100</f>
        <v>43.769999999999996</v>
      </c>
      <c r="F181" s="173">
        <f>C181/B181</f>
        <v>0.43375141953257546</v>
      </c>
    </row>
    <row r="182" spans="1:6" x14ac:dyDescent="0.25">
      <c r="A182" s="99" t="s">
        <v>645</v>
      </c>
      <c r="B182" s="49">
        <v>3644817</v>
      </c>
      <c r="C182" s="49">
        <v>933650</v>
      </c>
      <c r="D182" s="49">
        <v>698037.65685699997</v>
      </c>
      <c r="E182" s="50"/>
      <c r="F182" s="173">
        <f>C182/B182</f>
        <v>0.25615826528464941</v>
      </c>
    </row>
    <row r="183" spans="1:6" x14ac:dyDescent="0.25">
      <c r="A183" s="99" t="s">
        <v>613</v>
      </c>
      <c r="B183" s="49">
        <v>61283708</v>
      </c>
      <c r="C183" s="49">
        <v>23000600</v>
      </c>
      <c r="D183" s="49">
        <v>14243220.121144</v>
      </c>
      <c r="E183" s="50">
        <f>VLOOKUP($A183,'Data shares'!$C:$FA,154)*100</f>
        <v>37.93</v>
      </c>
      <c r="F183" s="173">
        <f>C183/B183</f>
        <v>0.37531345198629301</v>
      </c>
    </row>
    <row r="184" spans="1:6" x14ac:dyDescent="0.25">
      <c r="A184" s="99" t="s">
        <v>286</v>
      </c>
      <c r="B184" s="49">
        <v>19721628</v>
      </c>
      <c r="C184" s="49">
        <v>5343600</v>
      </c>
      <c r="D184" s="49">
        <v>3435729.479824</v>
      </c>
      <c r="E184" s="50">
        <f>VLOOKUP($A184,'Data shares'!$C:$FA,154)*100</f>
        <v>27.71</v>
      </c>
      <c r="F184" s="173">
        <f>C184/B184</f>
        <v>0.27095126223859411</v>
      </c>
    </row>
    <row r="185" spans="1:6" x14ac:dyDescent="0.25">
      <c r="A185" s="99" t="s">
        <v>288</v>
      </c>
      <c r="B185" s="49">
        <v>121755902</v>
      </c>
      <c r="C185" s="49">
        <v>44045050</v>
      </c>
      <c r="D185" s="49">
        <v>29271061.901843999</v>
      </c>
      <c r="E185" s="50">
        <f>VLOOKUP($A185,'Data shares'!$C:$FA,154)*100</f>
        <v>36.620000000000005</v>
      </c>
      <c r="F185" s="173">
        <f>C185/B185</f>
        <v>0.36174878816141498</v>
      </c>
    </row>
    <row r="186" spans="1:6" x14ac:dyDescent="0.25">
      <c r="A186" s="99" t="s">
        <v>573</v>
      </c>
      <c r="B186" s="49">
        <v>9724371</v>
      </c>
      <c r="C186" s="49">
        <v>3508575</v>
      </c>
      <c r="D186" s="49">
        <v>2101855.6276865001</v>
      </c>
      <c r="E186" s="50">
        <f>VLOOKUP($A186,'Data shares'!$C:$FA,154)*100</f>
        <v>36.720000000000006</v>
      </c>
      <c r="F186" s="173">
        <f>C186/B186</f>
        <v>0.36080225651612841</v>
      </c>
    </row>
    <row r="187" spans="1:6" x14ac:dyDescent="0.25">
      <c r="A187" s="99" t="s">
        <v>680</v>
      </c>
      <c r="B187" s="49">
        <v>1815546735</v>
      </c>
      <c r="C187" s="49">
        <v>479336625</v>
      </c>
      <c r="D187" s="49">
        <v>263294379.650484</v>
      </c>
      <c r="E187" s="50">
        <f>VLOOKUP($A187,'Data shares'!$C:$FA,154)*100</f>
        <v>26.740000000000002</v>
      </c>
      <c r="F187" s="173">
        <f>C187/B187</f>
        <v>0.26401778360169836</v>
      </c>
    </row>
    <row r="188" spans="1:6" x14ac:dyDescent="0.25">
      <c r="A188" s="99" t="s">
        <v>689</v>
      </c>
      <c r="B188" s="49">
        <v>389472858</v>
      </c>
      <c r="C188" s="49">
        <v>56423825</v>
      </c>
      <c r="D188" s="49">
        <v>40912935.151143998</v>
      </c>
      <c r="E188" s="50"/>
      <c r="F188" s="173">
        <f>C188/B188</f>
        <v>0.14487229043313718</v>
      </c>
    </row>
    <row r="189" spans="1:6" x14ac:dyDescent="0.25">
      <c r="A189" s="99" t="s">
        <v>291</v>
      </c>
      <c r="B189" s="49">
        <v>65472757</v>
      </c>
      <c r="C189" s="49">
        <v>12883750</v>
      </c>
      <c r="D189" s="49">
        <v>9036238.1570890006</v>
      </c>
      <c r="E189" s="50">
        <f>VLOOKUP($A189,'Data shares'!$C:$FA,154)*100</f>
        <v>19.88</v>
      </c>
      <c r="F189" s="173">
        <f>C189/B189</f>
        <v>0.19678031887369582</v>
      </c>
    </row>
    <row r="190" spans="1:6" x14ac:dyDescent="0.25">
      <c r="A190" s="99" t="s">
        <v>603</v>
      </c>
      <c r="B190" s="49">
        <v>5241946</v>
      </c>
      <c r="C190" s="49">
        <v>4337000</v>
      </c>
      <c r="D190" s="49">
        <v>1829405.4282557501</v>
      </c>
      <c r="E190" s="50">
        <f>VLOOKUP($A190,'Data shares'!$C:$FA,154)*100</f>
        <v>83.61</v>
      </c>
      <c r="F190" s="173">
        <f>C190/B190</f>
        <v>0.82736449402569201</v>
      </c>
    </row>
    <row r="191" spans="1:6" x14ac:dyDescent="0.25">
      <c r="A191" s="99" t="s">
        <v>293</v>
      </c>
      <c r="B191" s="49">
        <v>169808198</v>
      </c>
      <c r="C191" s="49">
        <v>86681000</v>
      </c>
      <c r="D191" s="49">
        <v>48914473.335711502</v>
      </c>
      <c r="E191" s="50">
        <f>VLOOKUP($A191,'Data shares'!$C:$FA,154)*100</f>
        <v>52.070000000000007</v>
      </c>
      <c r="F191" s="173">
        <f>C191/B191</f>
        <v>0.51046416498689895</v>
      </c>
    </row>
    <row r="192" spans="1:6" x14ac:dyDescent="0.25">
      <c r="A192" s="99" t="s">
        <v>294</v>
      </c>
      <c r="B192" s="49">
        <v>1049350971</v>
      </c>
      <c r="C192" s="49">
        <v>311297250</v>
      </c>
      <c r="D192" s="49">
        <v>189475357.43103001</v>
      </c>
      <c r="E192" s="50">
        <f>VLOOKUP($A192,'Data shares'!$C:$FA,154)*100</f>
        <v>30.34</v>
      </c>
      <c r="F192" s="173">
        <f>C192/B192</f>
        <v>0.2966569418650683</v>
      </c>
    </row>
    <row r="193" spans="1:6" x14ac:dyDescent="0.25">
      <c r="A193" s="99" t="s">
        <v>295</v>
      </c>
      <c r="B193" s="49">
        <v>153229333</v>
      </c>
      <c r="C193" s="49">
        <v>57061875</v>
      </c>
      <c r="D193" s="49">
        <v>33211059.927516699</v>
      </c>
      <c r="E193" s="50">
        <f>VLOOKUP($A193,'Data shares'!$C:$FA,154)*100</f>
        <v>37.659999999999997</v>
      </c>
      <c r="F193" s="173">
        <f>C193/B193</f>
        <v>0.3723952449757123</v>
      </c>
    </row>
    <row r="194" spans="1:6" x14ac:dyDescent="0.25">
      <c r="A194" s="99" t="s">
        <v>296</v>
      </c>
      <c r="B194" s="49">
        <v>95553300</v>
      </c>
      <c r="C194" s="49">
        <v>30198000</v>
      </c>
      <c r="D194" s="49">
        <v>18835323.492635999</v>
      </c>
      <c r="E194" s="50"/>
      <c r="F194" s="173">
        <f>C194/B194</f>
        <v>0.31603304124504333</v>
      </c>
    </row>
    <row r="195" spans="1:6" x14ac:dyDescent="0.25">
      <c r="A195" s="99" t="s">
        <v>594</v>
      </c>
      <c r="B195" s="49">
        <v>16239060</v>
      </c>
      <c r="C195" s="49">
        <v>2907800</v>
      </c>
      <c r="D195" s="49">
        <v>2350760.8498280002</v>
      </c>
      <c r="E195" s="50">
        <f>VLOOKUP($A195,'Data shares'!$C:$FA,154)*100</f>
        <v>17.96</v>
      </c>
      <c r="F195" s="173">
        <f>C195/B195</f>
        <v>0.17906208856916594</v>
      </c>
    </row>
    <row r="196" spans="1:6" x14ac:dyDescent="0.25">
      <c r="A196" s="99" t="s">
        <v>297</v>
      </c>
      <c r="B196" s="49">
        <v>41744334</v>
      </c>
      <c r="C196" s="49">
        <v>11461975</v>
      </c>
      <c r="D196" s="49">
        <v>8511123.2551537491</v>
      </c>
      <c r="E196" s="50">
        <f>VLOOKUP($A196,'Data shares'!$C:$FA,154)*100</f>
        <v>27.889999999999997</v>
      </c>
      <c r="F196" s="173">
        <f>C196/B196</f>
        <v>0.27457558671315729</v>
      </c>
    </row>
    <row r="197" spans="1:6" x14ac:dyDescent="0.25">
      <c r="A197" s="99" t="s">
        <v>685</v>
      </c>
      <c r="B197" s="49">
        <v>317244234</v>
      </c>
      <c r="C197" s="49">
        <v>106325600</v>
      </c>
      <c r="D197" s="49">
        <v>63189400.039063998</v>
      </c>
      <c r="E197" s="50">
        <f>VLOOKUP($A197,'Data shares'!$C:$FA,154)*100</f>
        <v>34.01</v>
      </c>
      <c r="F197" s="173">
        <f>C197/B197</f>
        <v>0.33515376673481162</v>
      </c>
    </row>
    <row r="198" spans="1:6" x14ac:dyDescent="0.25">
      <c r="A198" s="99" t="s">
        <v>298</v>
      </c>
      <c r="B198" s="49">
        <v>10726004</v>
      </c>
      <c r="C198" s="49">
        <v>3104625</v>
      </c>
      <c r="D198" s="49">
        <v>2638531.5446925</v>
      </c>
      <c r="E198" s="50">
        <f>VLOOKUP($A198,'Data shares'!$C:$FA,154)*100</f>
        <v>29.330000000000002</v>
      </c>
      <c r="F198" s="173">
        <f>C198/B198</f>
        <v>0.28944842832428552</v>
      </c>
    </row>
    <row r="199" spans="1:6" x14ac:dyDescent="0.25">
      <c r="A199" s="99" t="s">
        <v>482</v>
      </c>
      <c r="B199" s="49">
        <v>33590487</v>
      </c>
      <c r="C199" s="49">
        <v>11563000</v>
      </c>
      <c r="D199" s="49">
        <v>6810072.2514230004</v>
      </c>
      <c r="E199" s="50">
        <f>VLOOKUP($A199,'Data shares'!$C:$FA,154)*100</f>
        <v>35.010000000000005</v>
      </c>
      <c r="F199" s="173">
        <f>C199/B199</f>
        <v>0.34423436611681157</v>
      </c>
    </row>
    <row r="200" spans="1:6" x14ac:dyDescent="0.25">
      <c r="A200" s="99" t="s">
        <v>300</v>
      </c>
      <c r="B200" s="49">
        <v>32253708</v>
      </c>
      <c r="C200" s="49">
        <v>10999800</v>
      </c>
      <c r="D200" s="49">
        <v>8568488.3992995005</v>
      </c>
      <c r="E200" s="50">
        <f>VLOOKUP($A200,'Data shares'!$C:$FA,154)*100</f>
        <v>34.4</v>
      </c>
      <c r="F200" s="173">
        <f>C200/B200</f>
        <v>0.34103985811491816</v>
      </c>
    </row>
    <row r="201" spans="1:6" x14ac:dyDescent="0.25">
      <c r="A201" s="99" t="s">
        <v>302</v>
      </c>
      <c r="B201" s="49">
        <v>12994504</v>
      </c>
      <c r="C201" s="49">
        <v>4367700</v>
      </c>
      <c r="D201" s="49">
        <v>2765375.990983</v>
      </c>
      <c r="E201" s="50">
        <f>VLOOKUP($A201,'Data shares'!$C:$FA,154)*100</f>
        <v>34.21</v>
      </c>
      <c r="F201" s="173">
        <f>C201/B201</f>
        <v>0.33611902385808645</v>
      </c>
    </row>
    <row r="202" spans="1:6" x14ac:dyDescent="0.25">
      <c r="A202" s="99" t="s">
        <v>592</v>
      </c>
      <c r="B202" s="49">
        <v>289041713</v>
      </c>
      <c r="C202" s="49">
        <v>231635475</v>
      </c>
      <c r="D202" s="49">
        <v>124154877.115032</v>
      </c>
      <c r="E202" s="50">
        <f>VLOOKUP($A202,'Data shares'!$C:$FA,154)*100</f>
        <v>81.34</v>
      </c>
      <c r="F202" s="173">
        <f>C202/B202</f>
        <v>0.8013911646032903</v>
      </c>
    </row>
    <row r="203" spans="1:6" x14ac:dyDescent="0.25">
      <c r="A203" s="99" t="s">
        <v>568</v>
      </c>
      <c r="B203" s="49">
        <v>38847259</v>
      </c>
      <c r="C203" s="49">
        <v>16145600</v>
      </c>
      <c r="D203" s="49">
        <v>10896980.637124</v>
      </c>
      <c r="E203" s="50">
        <f>VLOOKUP($A203,'Data shares'!$C:$FA,154)*100</f>
        <v>41.74</v>
      </c>
      <c r="F203" s="173">
        <f>C203/B203</f>
        <v>0.41561748281905808</v>
      </c>
    </row>
    <row r="204" spans="1:6" x14ac:dyDescent="0.25">
      <c r="A204" s="99" t="s">
        <v>671</v>
      </c>
      <c r="B204" s="49">
        <v>27343613</v>
      </c>
      <c r="C204" s="49">
        <v>5733750</v>
      </c>
      <c r="D204" s="49">
        <v>4294756.4429989997</v>
      </c>
      <c r="E204" s="50">
        <f>VLOOKUP($A204,'Data shares'!$C:$FA,154)*100</f>
        <v>21.240000000000002</v>
      </c>
      <c r="F204" s="173">
        <f>C204/B204</f>
        <v>0.20969247919066145</v>
      </c>
    </row>
    <row r="205" spans="1:6" x14ac:dyDescent="0.25">
      <c r="A205" s="99" t="s">
        <v>303</v>
      </c>
      <c r="B205" s="49">
        <v>84189026</v>
      </c>
      <c r="C205" s="49">
        <v>35869560</v>
      </c>
      <c r="D205" s="49">
        <v>26721884.218282301</v>
      </c>
      <c r="E205" s="50">
        <f>VLOOKUP($A205,'Data shares'!$C:$FA,154)*100</f>
        <v>43.25</v>
      </c>
      <c r="F205" s="173">
        <f>C205/B205</f>
        <v>0.42605980499168622</v>
      </c>
    </row>
    <row r="206" spans="1:6" x14ac:dyDescent="0.25">
      <c r="A206" s="99" t="s">
        <v>585</v>
      </c>
      <c r="B206" s="49">
        <v>205765243</v>
      </c>
      <c r="C206" s="49">
        <v>65717100</v>
      </c>
      <c r="D206" s="49">
        <v>47852970.029066198</v>
      </c>
      <c r="E206" s="50">
        <f>VLOOKUP($A206,'Data shares'!$C:$FA,154)*100</f>
        <v>32.11</v>
      </c>
      <c r="F206" s="173">
        <f>C206/B206</f>
        <v>0.31937901193546087</v>
      </c>
    </row>
    <row r="207" spans="1:6" x14ac:dyDescent="0.25">
      <c r="A207" s="99" t="s">
        <v>304</v>
      </c>
      <c r="B207" s="49">
        <v>255495438</v>
      </c>
      <c r="C207" s="49">
        <v>55694500</v>
      </c>
      <c r="D207" s="49">
        <v>21150855.746882498</v>
      </c>
      <c r="E207" s="50">
        <f>VLOOKUP($A207,'Data shares'!$C:$FA,154)*100</f>
        <v>23.27</v>
      </c>
      <c r="F207" s="173">
        <f>C207/B207</f>
        <v>0.21798627966108733</v>
      </c>
    </row>
    <row r="208" spans="1:6" x14ac:dyDescent="0.25">
      <c r="A208" s="99" t="s">
        <v>695</v>
      </c>
      <c r="B208" s="49">
        <v>321828727</v>
      </c>
      <c r="C208" s="49">
        <v>32383450</v>
      </c>
      <c r="D208" s="49">
        <v>27618062.827381499</v>
      </c>
      <c r="E208" s="50">
        <f>VLOOKUP($A208,'Data shares'!$C:$FA,154)*100</f>
        <v>10.18</v>
      </c>
      <c r="F208" s="173">
        <f>C208/B208</f>
        <v>0.10062324237450686</v>
      </c>
    </row>
    <row r="209" spans="1:6" x14ac:dyDescent="0.25">
      <c r="A209" s="99" t="s">
        <v>305</v>
      </c>
      <c r="B209" s="49">
        <v>25134629</v>
      </c>
      <c r="C209" s="49">
        <v>13908750</v>
      </c>
      <c r="D209" s="49">
        <v>8240638.9322549999</v>
      </c>
      <c r="E209" s="50">
        <f>VLOOKUP($A209,'Data shares'!$C:$FA,154)*100</f>
        <v>56.54</v>
      </c>
      <c r="F209" s="173">
        <f>C209/B209</f>
        <v>0.55337001393575369</v>
      </c>
    </row>
    <row r="210" spans="1:6" x14ac:dyDescent="0.25">
      <c r="A210" s="99" t="s">
        <v>688</v>
      </c>
      <c r="B210" s="49">
        <v>15436318</v>
      </c>
      <c r="C210" s="49">
        <v>12127675</v>
      </c>
      <c r="D210" s="49">
        <v>4651833.3942780001</v>
      </c>
      <c r="E210" s="50"/>
      <c r="F210" s="173">
        <f>C210/B210</f>
        <v>0.78565853592806267</v>
      </c>
    </row>
    <row r="211" spans="1:6" x14ac:dyDescent="0.25">
      <c r="A211" s="99" t="s">
        <v>306</v>
      </c>
      <c r="B211" s="49">
        <v>428710078</v>
      </c>
      <c r="C211" s="49">
        <v>483006000</v>
      </c>
      <c r="D211" s="49">
        <v>237928239.78123</v>
      </c>
      <c r="E211" s="50">
        <f>VLOOKUP($A211,'Data shares'!$C:$FA,154)*100</f>
        <v>115.45</v>
      </c>
      <c r="F211" s="173">
        <f>C211/B211</f>
        <v>1.1266495116077024</v>
      </c>
    </row>
    <row r="212" spans="1:6" x14ac:dyDescent="0.25">
      <c r="A212" s="99" t="s">
        <v>589</v>
      </c>
      <c r="B212" s="49">
        <v>3425130022</v>
      </c>
      <c r="C212" s="49">
        <v>1734664700</v>
      </c>
      <c r="D212" s="49">
        <v>1122568456.55511</v>
      </c>
      <c r="E212" s="50">
        <f>VLOOKUP($A212,'Data shares'!$C:$FA,154)*100</f>
        <v>51.44</v>
      </c>
      <c r="F212" s="173">
        <f>C212/B212</f>
        <v>0.50645221899841797</v>
      </c>
    </row>
    <row r="213" spans="1:6" x14ac:dyDescent="0.25">
      <c r="A213" s="99" t="s">
        <v>556</v>
      </c>
      <c r="B213" s="49">
        <v>25160867</v>
      </c>
      <c r="C213" s="49">
        <v>14516100</v>
      </c>
      <c r="D213" s="49">
        <v>9110984.0079599991</v>
      </c>
      <c r="E213" s="50">
        <f>VLOOKUP($A213,'Data shares'!$C:$FA,154)*100</f>
        <v>58.35</v>
      </c>
      <c r="F213" s="173">
        <f>C213/B213</f>
        <v>0.57693162958176281</v>
      </c>
    </row>
    <row r="214" spans="1:6" x14ac:dyDescent="0.25">
      <c r="A214" s="99" t="s">
        <v>556</v>
      </c>
      <c r="B214" s="49">
        <v>25160867</v>
      </c>
      <c r="C214" s="49">
        <v>14198400</v>
      </c>
      <c r="D214" s="49">
        <v>9083722.5555930007</v>
      </c>
      <c r="E214" s="50">
        <f>VLOOKUP($A214,'Data shares'!$C:$FA,154)*100</f>
        <v>58.35</v>
      </c>
      <c r="F214" s="173">
        <f>C214/B214</f>
        <v>0.56430487868323453</v>
      </c>
    </row>
    <row r="215" spans="1:6" x14ac:dyDescent="0.25">
      <c r="A215" s="99" t="s">
        <v>556</v>
      </c>
      <c r="B215" s="49">
        <v>25160867</v>
      </c>
      <c r="C215" s="49">
        <v>13859100</v>
      </c>
      <c r="D215" s="49">
        <v>9139577.119407</v>
      </c>
      <c r="E215" s="50">
        <f>VLOOKUP($A215,'Data shares'!$C:$FA,154)*100</f>
        <v>58.35</v>
      </c>
      <c r="F215" s="173">
        <f>C215/B215</f>
        <v>0.55081965180293668</v>
      </c>
    </row>
    <row r="216" spans="1:6" x14ac:dyDescent="0.25">
      <c r="A216" s="99" t="s">
        <v>556</v>
      </c>
      <c r="B216" s="49">
        <v>25160867</v>
      </c>
      <c r="C216" s="49">
        <v>13360500</v>
      </c>
      <c r="D216" s="49">
        <v>9052123.7676059995</v>
      </c>
      <c r="E216" s="50">
        <f>VLOOKUP($A216,'Data shares'!$C:$FA,154)*100</f>
        <v>58.35</v>
      </c>
      <c r="F216" s="173">
        <f>C216/B216</f>
        <v>0.53100316455708785</v>
      </c>
    </row>
    <row r="217" spans="1:6" x14ac:dyDescent="0.25">
      <c r="A217" s="99" t="s">
        <v>556</v>
      </c>
      <c r="B217" s="49">
        <v>25160867</v>
      </c>
      <c r="C217" s="49">
        <v>15953400</v>
      </c>
      <c r="D217" s="49">
        <v>8923782.4819469992</v>
      </c>
      <c r="E217" s="50"/>
      <c r="F217" s="173">
        <f>C217/B217</f>
        <v>0.63405605220201677</v>
      </c>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7">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R15" sqref="R1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1" t="s">
        <v>420</v>
      </c>
      <c r="B4" s="322"/>
      <c r="C4" s="322"/>
      <c r="D4" s="322"/>
      <c r="E4" s="322"/>
      <c r="F4" s="322"/>
      <c r="G4" s="322"/>
      <c r="H4" s="322"/>
      <c r="I4" s="322"/>
      <c r="J4" s="322"/>
      <c r="K4" s="322"/>
      <c r="L4" s="322"/>
      <c r="M4" s="322"/>
      <c r="N4" s="323"/>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4" t="s">
        <v>380</v>
      </c>
      <c r="B3" s="325"/>
      <c r="C3" s="325"/>
      <c r="D3" s="325"/>
      <c r="E3" s="325"/>
      <c r="F3" s="325"/>
      <c r="G3" s="326"/>
    </row>
    <row r="4" spans="1:7" s="72" customFormat="1" x14ac:dyDescent="0.25">
      <c r="A4" s="108" t="s">
        <v>330</v>
      </c>
      <c r="B4" s="327" t="s">
        <v>380</v>
      </c>
      <c r="C4" s="327"/>
      <c r="D4" s="327"/>
      <c r="E4" s="327"/>
      <c r="F4" s="327"/>
      <c r="G4" s="327"/>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8.17</v>
      </c>
      <c r="F6" s="49">
        <f>VLOOKUP($A6,'Data shares'!$C:$FA,129)</f>
        <v>1118750</v>
      </c>
      <c r="G6" s="17"/>
    </row>
    <row r="7" spans="1:7" x14ac:dyDescent="0.25">
      <c r="A7" s="101" t="s">
        <v>228</v>
      </c>
      <c r="B7" s="17">
        <v>292206563</v>
      </c>
      <c r="C7" s="17">
        <v>71903525</v>
      </c>
      <c r="D7" s="17">
        <f t="shared" ref="D7:D70" si="0">C7</f>
        <v>71903525</v>
      </c>
      <c r="E7" s="49">
        <f>VLOOKUP($A7,'Data shares'!$C:$FA,128)*100</f>
        <v>9.4700000000000006</v>
      </c>
      <c r="F7" s="49">
        <f>VLOOKUP($A7,'Data shares'!$C:$FA,129)</f>
        <v>2986900</v>
      </c>
      <c r="G7" s="17"/>
    </row>
    <row r="8" spans="1:7" x14ac:dyDescent="0.25">
      <c r="A8" s="101" t="s">
        <v>200</v>
      </c>
      <c r="B8" s="17">
        <v>417418754</v>
      </c>
      <c r="C8" s="17">
        <v>109662000</v>
      </c>
      <c r="D8" s="17">
        <f t="shared" si="0"/>
        <v>109662000</v>
      </c>
      <c r="E8" s="49">
        <f>VLOOKUP($A8,'Data shares'!$C:$FA,128)*100</f>
        <v>3.5999999999999996</v>
      </c>
      <c r="F8" s="49">
        <f>VLOOKUP($A8,'Data shares'!$C:$FA,129)</f>
        <v>1696950</v>
      </c>
      <c r="G8" s="17"/>
    </row>
    <row r="9" spans="1:7" x14ac:dyDescent="0.25">
      <c r="A9" s="101" t="s">
        <v>214</v>
      </c>
      <c r="B9" s="17">
        <v>30110093</v>
      </c>
      <c r="C9" s="17">
        <v>10703050</v>
      </c>
      <c r="D9" s="17">
        <f t="shared" si="0"/>
        <v>10703050</v>
      </c>
      <c r="E9" s="49">
        <f>VLOOKUP($A9,'Data shares'!$C:$FA,128)*100</f>
        <v>0.48</v>
      </c>
      <c r="F9" s="49">
        <f>VLOOKUP($A9,'Data shares'!$C:$FA,129)</f>
        <v>52500</v>
      </c>
      <c r="G9" s="17"/>
    </row>
    <row r="10" spans="1:7" x14ac:dyDescent="0.25">
      <c r="A10" s="101" t="s">
        <v>243</v>
      </c>
      <c r="B10" s="17">
        <v>80699820</v>
      </c>
      <c r="C10" s="17">
        <v>65367500</v>
      </c>
      <c r="D10" s="17">
        <f t="shared" si="0"/>
        <v>65367500</v>
      </c>
      <c r="E10" s="49">
        <f>VLOOKUP($A10,'Data shares'!$C:$FA,128)*100</f>
        <v>0.66</v>
      </c>
      <c r="F10" s="49">
        <f>VLOOKUP($A10,'Data shares'!$C:$FA,129)</f>
        <v>80625</v>
      </c>
      <c r="G10" s="17"/>
    </row>
    <row r="11" spans="1:7" x14ac:dyDescent="0.25">
      <c r="A11" s="101" t="s">
        <v>231</v>
      </c>
      <c r="B11" s="17">
        <v>80556813</v>
      </c>
      <c r="C11" s="17">
        <v>62967200</v>
      </c>
      <c r="D11" s="17">
        <f t="shared" si="0"/>
        <v>62967200</v>
      </c>
      <c r="E11" s="49">
        <f>VLOOKUP($A11,'Data shares'!$C:$FA,128)*100</f>
        <v>6.39</v>
      </c>
      <c r="F11" s="49">
        <f>VLOOKUP($A11,'Data shares'!$C:$FA,129)</f>
        <v>512875</v>
      </c>
      <c r="G11" s="17"/>
    </row>
    <row r="12" spans="1:7" x14ac:dyDescent="0.25">
      <c r="A12" s="101" t="s">
        <v>195</v>
      </c>
      <c r="B12" s="17">
        <v>23823080</v>
      </c>
      <c r="C12" s="17">
        <v>2862400</v>
      </c>
      <c r="D12" s="17">
        <f t="shared" si="0"/>
        <v>2862400</v>
      </c>
      <c r="E12" s="49">
        <f>VLOOKUP($A12,'Data shares'!$C:$FA,128)*100</f>
        <v>12.19</v>
      </c>
      <c r="F12" s="49">
        <f>VLOOKUP($A12,'Data shares'!$C:$FA,129)</f>
        <v>335375</v>
      </c>
      <c r="G12" s="17"/>
    </row>
    <row r="13" spans="1:7" x14ac:dyDescent="0.25">
      <c r="A13" s="101" t="s">
        <v>304</v>
      </c>
      <c r="B13" s="17">
        <v>223492679</v>
      </c>
      <c r="C13" s="17">
        <v>98465300</v>
      </c>
      <c r="D13" s="17">
        <f t="shared" si="0"/>
        <v>98465300</v>
      </c>
      <c r="E13" s="49">
        <f>VLOOKUP($A13,'Data shares'!$C:$FA,128)*100</f>
        <v>4.41</v>
      </c>
      <c r="F13" s="49">
        <f>VLOOKUP($A13,'Data shares'!$C:$FA,129)</f>
        <v>365700</v>
      </c>
      <c r="G13" s="17"/>
    </row>
    <row r="14" spans="1:7" x14ac:dyDescent="0.25">
      <c r="A14" s="101" t="s">
        <v>167</v>
      </c>
      <c r="B14" s="17">
        <v>282181803</v>
      </c>
      <c r="C14" s="17">
        <v>95526000</v>
      </c>
      <c r="D14" s="17">
        <f t="shared" si="0"/>
        <v>95526000</v>
      </c>
      <c r="E14" s="49">
        <f>VLOOKUP($A14,'Data shares'!$C:$FA,128)*100</f>
        <v>6.41</v>
      </c>
      <c r="F14" s="49">
        <f>VLOOKUP($A14,'Data shares'!$C:$FA,129)</f>
        <v>7585000</v>
      </c>
      <c r="G14" s="17"/>
    </row>
    <row r="15" spans="1:7" x14ac:dyDescent="0.25">
      <c r="A15" s="101" t="s">
        <v>222</v>
      </c>
      <c r="B15" s="17">
        <v>214194964</v>
      </c>
      <c r="C15" s="17">
        <v>37437400</v>
      </c>
      <c r="D15" s="17">
        <f t="shared" si="0"/>
        <v>37437400</v>
      </c>
      <c r="E15" s="49">
        <f>VLOOKUP($A15,'Data shares'!$C:$FA,128)*100</f>
        <v>4.8099999999999996</v>
      </c>
      <c r="F15" s="49">
        <f>VLOOKUP($A15,'Data shares'!$C:$FA,129)</f>
        <v>1932500</v>
      </c>
      <c r="G15" s="17"/>
    </row>
    <row r="16" spans="1:7" x14ac:dyDescent="0.25">
      <c r="A16" s="101" t="s">
        <v>290</v>
      </c>
      <c r="B16" s="17">
        <v>31601465</v>
      </c>
      <c r="C16" s="17">
        <v>13192000</v>
      </c>
      <c r="D16" s="17">
        <f t="shared" si="0"/>
        <v>13192000</v>
      </c>
      <c r="E16" s="49">
        <f>VLOOKUP($A16,'Data shares'!$C:$FA,128)*100</f>
        <v>2.82</v>
      </c>
      <c r="F16" s="49">
        <f>VLOOKUP($A16,'Data shares'!$C:$FA,129)</f>
        <v>1068225</v>
      </c>
      <c r="G16" s="17"/>
    </row>
    <row r="17" spans="1:7" x14ac:dyDescent="0.25">
      <c r="A17" s="101" t="s">
        <v>500</v>
      </c>
      <c r="B17" s="17">
        <v>24930381</v>
      </c>
      <c r="C17" s="17">
        <v>1925625</v>
      </c>
      <c r="D17" s="17">
        <f t="shared" si="0"/>
        <v>1925625</v>
      </c>
      <c r="E17" s="49">
        <f>VLOOKUP($A17,'Data shares'!$C:$FA,128)*100</f>
        <v>2.12</v>
      </c>
      <c r="F17" s="49">
        <f>VLOOKUP($A17,'Data shares'!$C:$FA,129)</f>
        <v>478750</v>
      </c>
      <c r="G17" s="17"/>
    </row>
    <row r="18" spans="1:7" x14ac:dyDescent="0.25">
      <c r="A18" s="101" t="s">
        <v>491</v>
      </c>
      <c r="B18" s="17">
        <v>53841317</v>
      </c>
      <c r="C18" s="17">
        <v>9268750</v>
      </c>
      <c r="D18" s="17">
        <f t="shared" si="0"/>
        <v>9268750</v>
      </c>
      <c r="E18" s="49">
        <f>VLOOKUP($A18,'Data shares'!$C:$FA,128)*100</f>
        <v>5.46</v>
      </c>
      <c r="F18" s="49">
        <f>VLOOKUP($A18,'Data shares'!$C:$FA,129)</f>
        <v>780500</v>
      </c>
      <c r="G18" s="17"/>
    </row>
    <row r="19" spans="1:7" x14ac:dyDescent="0.25">
      <c r="A19" s="101" t="s">
        <v>257</v>
      </c>
      <c r="B19" s="17">
        <v>43771086</v>
      </c>
      <c r="C19" s="17">
        <v>2865850</v>
      </c>
      <c r="D19" s="17">
        <f t="shared" si="0"/>
        <v>2865850</v>
      </c>
      <c r="E19" s="49">
        <f>VLOOKUP($A19,'Data shares'!$C:$FA,128)*100</f>
        <v>0.31</v>
      </c>
      <c r="F19" s="49">
        <f>VLOOKUP($A19,'Data shares'!$C:$FA,129)</f>
        <v>28400</v>
      </c>
      <c r="G19" s="17"/>
    </row>
    <row r="20" spans="1:7" x14ac:dyDescent="0.25">
      <c r="A20" s="101" t="s">
        <v>259</v>
      </c>
      <c r="B20" s="17">
        <v>12838406</v>
      </c>
      <c r="C20" s="17">
        <v>3561800</v>
      </c>
      <c r="D20" s="17">
        <f t="shared" si="0"/>
        <v>3561800</v>
      </c>
      <c r="E20" s="49">
        <f>VLOOKUP($A20,'Data shares'!$C:$FA,128)*100</f>
        <v>2.1800000000000002</v>
      </c>
      <c r="F20" s="49">
        <f>VLOOKUP($A20,'Data shares'!$C:$FA,129)</f>
        <v>47640</v>
      </c>
      <c r="G20" s="17"/>
    </row>
    <row r="21" spans="1:7" x14ac:dyDescent="0.25">
      <c r="A21" s="101" t="s">
        <v>212</v>
      </c>
      <c r="B21" s="17">
        <v>393764205</v>
      </c>
      <c r="C21" s="17">
        <v>124730000</v>
      </c>
      <c r="D21" s="17">
        <f t="shared" si="0"/>
        <v>124730000</v>
      </c>
      <c r="E21" s="49">
        <f>VLOOKUP($A21,'Data shares'!$C:$FA,128)*100</f>
        <v>8.2799999999999994</v>
      </c>
      <c r="F21" s="49">
        <f>VLOOKUP($A21,'Data shares'!$C:$FA,129)</f>
        <v>6387500</v>
      </c>
      <c r="G21" s="17"/>
    </row>
    <row r="22" spans="1:7" x14ac:dyDescent="0.25">
      <c r="A22" s="101" t="s">
        <v>209</v>
      </c>
      <c r="B22" s="17">
        <v>27768950</v>
      </c>
      <c r="C22" s="17">
        <v>5371100</v>
      </c>
      <c r="D22" s="17">
        <f t="shared" si="0"/>
        <v>5371100</v>
      </c>
      <c r="E22" s="49">
        <f>VLOOKUP($A22,'Data shares'!$C:$FA,128)*100</f>
        <v>14.87</v>
      </c>
      <c r="F22" s="49">
        <f>VLOOKUP($A22,'Data shares'!$C:$FA,129)</f>
        <v>527700</v>
      </c>
      <c r="G22" s="17"/>
    </row>
    <row r="23" spans="1:7" x14ac:dyDescent="0.25">
      <c r="A23" s="101" t="s">
        <v>501</v>
      </c>
      <c r="B23" s="17">
        <v>155792872</v>
      </c>
      <c r="C23" s="17">
        <v>50166406</v>
      </c>
      <c r="D23" s="17">
        <f t="shared" si="0"/>
        <v>50166406</v>
      </c>
      <c r="E23" s="49">
        <f>VLOOKUP($A23,'Data shares'!$C:$FA,128)*100</f>
        <v>8.06</v>
      </c>
      <c r="F23" s="49">
        <f>VLOOKUP($A23,'Data shares'!$C:$FA,129)</f>
        <v>1732000</v>
      </c>
      <c r="G23" s="17"/>
    </row>
    <row r="24" spans="1:7" x14ac:dyDescent="0.25">
      <c r="A24" s="101" t="s">
        <v>276</v>
      </c>
      <c r="B24" s="17">
        <v>678857930</v>
      </c>
      <c r="C24" s="17">
        <v>84677374</v>
      </c>
      <c r="D24" s="17">
        <f t="shared" si="0"/>
        <v>84677374</v>
      </c>
      <c r="E24" s="49">
        <f>VLOOKUP($A24,'Data shares'!$C:$FA,128)*100</f>
        <v>14.979999999999999</v>
      </c>
      <c r="F24" s="49">
        <f>VLOOKUP($A24,'Data shares'!$C:$FA,129)</f>
        <v>11783800</v>
      </c>
      <c r="G24" s="17"/>
    </row>
    <row r="25" spans="1:7" x14ac:dyDescent="0.25">
      <c r="A25" s="101" t="s">
        <v>210</v>
      </c>
      <c r="B25" s="17">
        <v>14114257</v>
      </c>
      <c r="C25" s="17">
        <v>11000000</v>
      </c>
      <c r="D25" s="17">
        <f t="shared" si="0"/>
        <v>11000000</v>
      </c>
      <c r="E25" s="49">
        <f>VLOOKUP($A25,'Data shares'!$C:$FA,128)*100</f>
        <v>14.87</v>
      </c>
      <c r="F25" s="49">
        <f>VLOOKUP($A25,'Data shares'!$C:$FA,129)</f>
        <v>527700</v>
      </c>
      <c r="G25" s="17"/>
    </row>
    <row r="26" spans="1:7" x14ac:dyDescent="0.25">
      <c r="A26" s="101" t="s">
        <v>267</v>
      </c>
      <c r="B26" s="17">
        <v>229794455</v>
      </c>
      <c r="C26" s="17">
        <v>133289800</v>
      </c>
      <c r="D26" s="17">
        <f t="shared" si="0"/>
        <v>133289800</v>
      </c>
      <c r="E26" s="49">
        <f>VLOOKUP($A26,'Data shares'!$C:$FA,128)*100</f>
        <v>2.59</v>
      </c>
      <c r="F26" s="49">
        <f>VLOOKUP($A26,'Data shares'!$C:$FA,129)</f>
        <v>8147250</v>
      </c>
      <c r="G26" s="17"/>
    </row>
    <row r="27" spans="1:7" x14ac:dyDescent="0.25">
      <c r="A27" s="101" t="s">
        <v>533</v>
      </c>
      <c r="B27" s="17">
        <v>61337685</v>
      </c>
      <c r="C27" s="17">
        <v>24741600</v>
      </c>
      <c r="D27" s="17">
        <f t="shared" si="0"/>
        <v>24741600</v>
      </c>
      <c r="E27" s="49">
        <f>VLOOKUP($A27,'Data shares'!$C:$FA,128)*100</f>
        <v>20.059999999999999</v>
      </c>
      <c r="F27" s="49">
        <f>VLOOKUP($A27,'Data shares'!$C:$FA,129)</f>
        <v>1885575</v>
      </c>
      <c r="G27" s="17"/>
    </row>
    <row r="28" spans="1:7" x14ac:dyDescent="0.25">
      <c r="A28" s="101" t="s">
        <v>502</v>
      </c>
      <c r="B28" s="17">
        <v>5165920</v>
      </c>
      <c r="C28" s="17">
        <v>1179400</v>
      </c>
      <c r="D28" s="17">
        <f t="shared" si="0"/>
        <v>1179400</v>
      </c>
      <c r="E28" s="49">
        <f>VLOOKUP($A28,'Data shares'!$C:$FA,128)*100</f>
        <v>3.5000000000000004</v>
      </c>
      <c r="F28" s="49">
        <f>VLOOKUP($A28,'Data shares'!$C:$FA,129)</f>
        <v>391900</v>
      </c>
      <c r="G28" s="17"/>
    </row>
    <row r="29" spans="1:7" x14ac:dyDescent="0.25">
      <c r="A29" s="101" t="s">
        <v>474</v>
      </c>
      <c r="B29" s="17">
        <v>7339737</v>
      </c>
      <c r="C29" s="17">
        <v>979625</v>
      </c>
      <c r="D29" s="17">
        <f t="shared" si="0"/>
        <v>979625</v>
      </c>
      <c r="E29" s="49">
        <f>VLOOKUP($A29,'Data shares'!$C:$FA,128)*100</f>
        <v>3.51</v>
      </c>
      <c r="F29" s="49">
        <f>VLOOKUP($A29,'Data shares'!$C:$FA,129)</f>
        <v>212925</v>
      </c>
      <c r="G29" s="17"/>
    </row>
    <row r="30" spans="1:7" x14ac:dyDescent="0.25">
      <c r="A30" s="101" t="s">
        <v>158</v>
      </c>
      <c r="B30" s="17">
        <v>17078428</v>
      </c>
      <c r="C30" s="17">
        <v>3648750</v>
      </c>
      <c r="D30" s="17">
        <f t="shared" si="0"/>
        <v>3648750</v>
      </c>
      <c r="E30" s="49">
        <f>VLOOKUP($A30,'Data shares'!$C:$FA,128)*100</f>
        <v>1.8800000000000001</v>
      </c>
      <c r="F30" s="49">
        <f>VLOOKUP($A30,'Data shares'!$C:$FA,129)</f>
        <v>722300</v>
      </c>
      <c r="G30" s="17"/>
    </row>
    <row r="31" spans="1:7" x14ac:dyDescent="0.25">
      <c r="A31" s="101" t="s">
        <v>268</v>
      </c>
      <c r="B31" s="17">
        <v>948263976</v>
      </c>
      <c r="C31" s="17">
        <v>170042400</v>
      </c>
      <c r="D31" s="17">
        <f t="shared" si="0"/>
        <v>170042400</v>
      </c>
      <c r="E31" s="49">
        <f>VLOOKUP($A31,'Data shares'!$C:$FA,128)*100</f>
        <v>9.0399999999999991</v>
      </c>
      <c r="F31" s="49">
        <f>VLOOKUP($A31,'Data shares'!$C:$FA,129)</f>
        <v>9472500</v>
      </c>
      <c r="G31" s="17"/>
    </row>
    <row r="32" spans="1:7" x14ac:dyDescent="0.25">
      <c r="A32" s="101" t="s">
        <v>556</v>
      </c>
      <c r="B32" s="17">
        <v>51441633</v>
      </c>
      <c r="C32" s="17">
        <v>26329600</v>
      </c>
      <c r="D32" s="17">
        <f t="shared" si="0"/>
        <v>26329600</v>
      </c>
      <c r="E32" s="49">
        <f>VLOOKUP($A32,'Data shares'!$C:$FA,128)*100</f>
        <v>2.73</v>
      </c>
      <c r="F32" s="49">
        <f>VLOOKUP($A32,'Data shares'!$C:$FA,129)</f>
        <v>248400</v>
      </c>
      <c r="G32" s="17"/>
    </row>
    <row r="33" spans="1:7" x14ac:dyDescent="0.25">
      <c r="A33" s="101" t="s">
        <v>549</v>
      </c>
      <c r="B33" s="17">
        <v>319287188</v>
      </c>
      <c r="C33" s="17">
        <v>149780000</v>
      </c>
      <c r="D33" s="17">
        <f t="shared" si="0"/>
        <v>149780000</v>
      </c>
      <c r="E33" s="49">
        <f>VLOOKUP($A33,'Data shares'!$C:$FA,128)*100</f>
        <v>2.82</v>
      </c>
      <c r="F33" s="49">
        <f>VLOOKUP($A33,'Data shares'!$C:$FA,129)</f>
        <v>146094900</v>
      </c>
      <c r="G33" s="17"/>
    </row>
    <row r="34" spans="1:7" x14ac:dyDescent="0.25">
      <c r="A34" s="101" t="s">
        <v>536</v>
      </c>
      <c r="B34" s="17">
        <v>57585215</v>
      </c>
      <c r="C34" s="17">
        <v>5314000</v>
      </c>
      <c r="D34" s="17">
        <f t="shared" si="0"/>
        <v>5314000</v>
      </c>
      <c r="E34" s="49">
        <f>VLOOKUP($A34,'Data shares'!$C:$FA,128)*100</f>
        <v>10.299999999999999</v>
      </c>
      <c r="F34" s="49">
        <f>VLOOKUP($A34,'Data shares'!$C:$FA,129)</f>
        <v>2555200</v>
      </c>
      <c r="G34" s="17"/>
    </row>
    <row r="35" spans="1:7" x14ac:dyDescent="0.25">
      <c r="A35" s="101" t="s">
        <v>270</v>
      </c>
      <c r="B35" s="17">
        <v>1178038</v>
      </c>
      <c r="C35" s="17">
        <v>100890</v>
      </c>
      <c r="D35" s="17">
        <f t="shared" si="0"/>
        <v>100890</v>
      </c>
      <c r="E35" s="49">
        <f>VLOOKUP($A35,'Data shares'!$C:$FA,128)*100</f>
        <v>1.1499999999999999</v>
      </c>
      <c r="F35" s="49">
        <f>VLOOKUP($A35,'Data shares'!$C:$FA,129)</f>
        <v>3415</v>
      </c>
      <c r="G35" s="17"/>
    </row>
    <row r="36" spans="1:7" x14ac:dyDescent="0.25">
      <c r="A36" s="101" t="s">
        <v>258</v>
      </c>
      <c r="B36" s="17">
        <v>13335005</v>
      </c>
      <c r="C36" s="17">
        <v>5970600</v>
      </c>
      <c r="D36" s="17">
        <f t="shared" si="0"/>
        <v>5970600</v>
      </c>
      <c r="E36" s="49">
        <f>VLOOKUP($A36,'Data shares'!$C:$FA,128)*100</f>
        <v>0.31</v>
      </c>
      <c r="F36" s="49">
        <f>VLOOKUP($A36,'Data shares'!$C:$FA,129)</f>
        <v>28400</v>
      </c>
      <c r="G36" s="17"/>
    </row>
    <row r="37" spans="1:7" x14ac:dyDescent="0.25">
      <c r="A37" s="101" t="s">
        <v>301</v>
      </c>
      <c r="B37" s="17">
        <v>14428803</v>
      </c>
      <c r="C37" s="17">
        <v>2171400</v>
      </c>
      <c r="D37" s="17">
        <f t="shared" si="0"/>
        <v>2171400</v>
      </c>
      <c r="E37" s="49">
        <f>VLOOKUP($A37,'Data shares'!$C:$FA,128)*100</f>
        <v>4.42</v>
      </c>
      <c r="F37" s="49">
        <f>VLOOKUP($A37,'Data shares'!$C:$FA,129)</f>
        <v>378525</v>
      </c>
      <c r="G37" s="17"/>
    </row>
    <row r="38" spans="1:7" x14ac:dyDescent="0.25">
      <c r="A38" s="101" t="s">
        <v>283</v>
      </c>
      <c r="B38" s="17">
        <v>747713393</v>
      </c>
      <c r="C38" s="17">
        <v>158166000</v>
      </c>
      <c r="D38" s="17">
        <f t="shared" si="0"/>
        <v>158166000</v>
      </c>
      <c r="E38" s="49">
        <f>VLOOKUP($A38,'Data shares'!$C:$FA,128)*100</f>
        <v>21.81</v>
      </c>
      <c r="F38" s="49">
        <f>VLOOKUP($A38,'Data shares'!$C:$FA,129)</f>
        <v>19734000</v>
      </c>
      <c r="G38" s="17"/>
    </row>
    <row r="39" spans="1:7" x14ac:dyDescent="0.25">
      <c r="A39" s="101" t="s">
        <v>281</v>
      </c>
      <c r="B39" s="17">
        <v>648405756</v>
      </c>
      <c r="C39" s="17">
        <v>61815500</v>
      </c>
      <c r="D39" s="17">
        <f t="shared" si="0"/>
        <v>61815500</v>
      </c>
      <c r="E39" s="49">
        <f>VLOOKUP($A39,'Data shares'!$C:$FA,128)*100</f>
        <v>19.34</v>
      </c>
      <c r="F39" s="49">
        <f>VLOOKUP($A39,'Data shares'!$C:$FA,129)</f>
        <v>18485000</v>
      </c>
      <c r="G39" s="17"/>
    </row>
    <row r="40" spans="1:7" x14ac:dyDescent="0.25">
      <c r="A40" s="101" t="s">
        <v>198</v>
      </c>
      <c r="B40" s="17">
        <v>79546680</v>
      </c>
      <c r="C40" s="17">
        <v>13283750</v>
      </c>
      <c r="D40" s="17">
        <f t="shared" si="0"/>
        <v>13283750</v>
      </c>
      <c r="E40" s="49">
        <f>VLOOKUP($A40,'Data shares'!$C:$FA,128)*100</f>
        <v>5.1400000000000006</v>
      </c>
      <c r="F40" s="49">
        <f>VLOOKUP($A40,'Data shares'!$C:$FA,129)</f>
        <v>1008125</v>
      </c>
      <c r="G40" s="17"/>
    </row>
    <row r="41" spans="1:7" x14ac:dyDescent="0.25">
      <c r="A41" s="101" t="s">
        <v>299</v>
      </c>
      <c r="B41" s="17">
        <v>44634693</v>
      </c>
      <c r="C41" s="17">
        <v>3805500</v>
      </c>
      <c r="D41" s="17">
        <f t="shared" si="0"/>
        <v>3805500</v>
      </c>
      <c r="E41" s="49">
        <f>VLOOKUP($A41,'Data shares'!$C:$FA,128)*100</f>
        <v>0.24</v>
      </c>
      <c r="F41" s="49">
        <f>VLOOKUP($A41,'Data shares'!$C:$FA,129)</f>
        <v>6125</v>
      </c>
      <c r="G41" s="17"/>
    </row>
    <row r="42" spans="1:7" x14ac:dyDescent="0.25">
      <c r="A42" s="101" t="s">
        <v>273</v>
      </c>
      <c r="B42" s="17">
        <v>232357926</v>
      </c>
      <c r="C42" s="17">
        <v>67053000</v>
      </c>
      <c r="D42" s="17">
        <f t="shared" si="0"/>
        <v>67053000</v>
      </c>
      <c r="E42" s="49">
        <f>VLOOKUP($A42,'Data shares'!$C:$FA,128)*100</f>
        <v>2.67</v>
      </c>
      <c r="F42" s="49">
        <f>VLOOKUP($A42,'Data shares'!$C:$FA,129)</f>
        <v>1452100</v>
      </c>
      <c r="G42" s="17"/>
    </row>
    <row r="43" spans="1:7" x14ac:dyDescent="0.25">
      <c r="A43" s="101" t="s">
        <v>207</v>
      </c>
      <c r="B43" s="17">
        <v>124016568</v>
      </c>
      <c r="C43" s="17">
        <v>57530550</v>
      </c>
      <c r="D43" s="17">
        <f t="shared" si="0"/>
        <v>57530550</v>
      </c>
      <c r="E43" s="49">
        <f>VLOOKUP($A43,'Data shares'!$C:$FA,128)*100</f>
        <v>6.5299999999999994</v>
      </c>
      <c r="F43" s="49">
        <f>VLOOKUP($A43,'Data shares'!$C:$FA,129)</f>
        <v>2966675</v>
      </c>
      <c r="G43" s="17"/>
    </row>
    <row r="44" spans="1:7" x14ac:dyDescent="0.25">
      <c r="A44" s="101" t="s">
        <v>191</v>
      </c>
      <c r="B44" s="17">
        <v>92946457</v>
      </c>
      <c r="C44" s="17">
        <v>36478000</v>
      </c>
      <c r="D44" s="17">
        <f t="shared" si="0"/>
        <v>36478000</v>
      </c>
      <c r="E44" s="49">
        <f>VLOOKUP($A44,'Data shares'!$C:$FA,128)*100</f>
        <v>2.33</v>
      </c>
      <c r="F44" s="49">
        <f>VLOOKUP($A44,'Data shares'!$C:$FA,129)</f>
        <v>740000</v>
      </c>
      <c r="G44" s="17"/>
    </row>
    <row r="45" spans="1:7" x14ac:dyDescent="0.25">
      <c r="A45" s="101" t="s">
        <v>288</v>
      </c>
      <c r="B45" s="17">
        <v>218440087</v>
      </c>
      <c r="C45" s="17">
        <v>44080400</v>
      </c>
      <c r="D45" s="17">
        <f t="shared" si="0"/>
        <v>44080400</v>
      </c>
      <c r="E45" s="49">
        <f>VLOOKUP($A45,'Data shares'!$C:$FA,128)*100</f>
        <v>12.790000000000001</v>
      </c>
      <c r="F45" s="49">
        <f>VLOOKUP($A45,'Data shares'!$C:$FA,129)</f>
        <v>3521350</v>
      </c>
      <c r="G45" s="17"/>
    </row>
    <row r="46" spans="1:7" x14ac:dyDescent="0.25">
      <c r="A46" s="101" t="s">
        <v>275</v>
      </c>
      <c r="B46" s="17">
        <v>591377974</v>
      </c>
      <c r="C46" s="17">
        <v>493488000</v>
      </c>
      <c r="D46" s="17">
        <f t="shared" si="0"/>
        <v>493488000</v>
      </c>
      <c r="E46" s="49">
        <f>VLOOKUP($A46,'Data shares'!$C:$FA,128)*100</f>
        <v>7.39</v>
      </c>
      <c r="F46" s="49">
        <f>VLOOKUP($A46,'Data shares'!$C:$FA,129)</f>
        <v>18496000</v>
      </c>
      <c r="G46" s="17"/>
    </row>
    <row r="47" spans="1:7" x14ac:dyDescent="0.25">
      <c r="A47" s="101" t="s">
        <v>277</v>
      </c>
      <c r="B47" s="17">
        <v>10116165</v>
      </c>
      <c r="C47" s="17">
        <v>7378910</v>
      </c>
      <c r="D47" s="17">
        <f t="shared" si="0"/>
        <v>7378910</v>
      </c>
      <c r="E47" s="49">
        <f>VLOOKUP($A47,'Data shares'!$C:$FA,128)*100</f>
        <v>4.25</v>
      </c>
      <c r="F47" s="49">
        <f>VLOOKUP($A47,'Data shares'!$C:$FA,129)</f>
        <v>245700</v>
      </c>
      <c r="G47" s="17"/>
    </row>
    <row r="48" spans="1:7" x14ac:dyDescent="0.25">
      <c r="A48" s="101" t="s">
        <v>196</v>
      </c>
      <c r="B48" s="17">
        <v>134484114</v>
      </c>
      <c r="C48" s="17">
        <v>73278000</v>
      </c>
      <c r="D48" s="17">
        <f t="shared" si="0"/>
        <v>73278000</v>
      </c>
      <c r="E48" s="49">
        <f>VLOOKUP($A48,'Data shares'!$C:$FA,128)*100</f>
        <v>10.07</v>
      </c>
      <c r="F48" s="49">
        <f>VLOOKUP($A48,'Data shares'!$C:$FA,129)</f>
        <v>21147750</v>
      </c>
      <c r="G48" s="17"/>
    </row>
    <row r="49" spans="1:7" x14ac:dyDescent="0.25">
      <c r="A49" s="101" t="s">
        <v>287</v>
      </c>
      <c r="B49" s="17">
        <v>40005132</v>
      </c>
      <c r="C49" s="17">
        <v>6264400</v>
      </c>
      <c r="D49" s="17">
        <f t="shared" si="0"/>
        <v>6264400</v>
      </c>
      <c r="E49" s="49">
        <f>VLOOKUP($A49,'Data shares'!$C:$FA,128)*100</f>
        <v>1.5699999999999998</v>
      </c>
      <c r="F49" s="49">
        <f>VLOOKUP($A49,'Data shares'!$C:$FA,129)</f>
        <v>54800</v>
      </c>
      <c r="G49" s="17"/>
    </row>
    <row r="50" spans="1:7" x14ac:dyDescent="0.25">
      <c r="A50" s="101" t="s">
        <v>553</v>
      </c>
      <c r="B50" s="17">
        <v>10595418</v>
      </c>
      <c r="C50" s="17">
        <v>250250</v>
      </c>
      <c r="D50" s="17">
        <f t="shared" si="0"/>
        <v>250250</v>
      </c>
      <c r="E50" s="49">
        <f>VLOOKUP($A50,'Data shares'!$C:$FA,128)*100</f>
        <v>1.87</v>
      </c>
      <c r="F50" s="49">
        <f>VLOOKUP($A50,'Data shares'!$C:$FA,129)</f>
        <v>32750</v>
      </c>
      <c r="G50" s="17"/>
    </row>
    <row r="51" spans="1:7" x14ac:dyDescent="0.25">
      <c r="A51" s="101" t="s">
        <v>519</v>
      </c>
      <c r="B51" s="17">
        <v>9516271</v>
      </c>
      <c r="C51" s="17">
        <v>1000800</v>
      </c>
      <c r="D51" s="17">
        <f t="shared" si="0"/>
        <v>1000800</v>
      </c>
      <c r="E51" s="49">
        <f>VLOOKUP($A51,'Data shares'!$C:$FA,128)*100</f>
        <v>1.51</v>
      </c>
      <c r="F51" s="49">
        <f>VLOOKUP($A51,'Data shares'!$C:$FA,129)</f>
        <v>26875</v>
      </c>
      <c r="G51" s="17"/>
    </row>
    <row r="52" spans="1:7" x14ac:dyDescent="0.25">
      <c r="A52" s="101" t="s">
        <v>550</v>
      </c>
      <c r="B52" s="17">
        <v>137684181</v>
      </c>
      <c r="C52" s="17">
        <v>42696000</v>
      </c>
      <c r="D52" s="17">
        <f t="shared" si="0"/>
        <v>42696000</v>
      </c>
      <c r="E52" s="49">
        <f>VLOOKUP($A52,'Data shares'!$C:$FA,128)*100</f>
        <v>2.2800000000000002</v>
      </c>
      <c r="F52" s="49">
        <f>VLOOKUP($A52,'Data shares'!$C:$FA,129)</f>
        <v>1657500</v>
      </c>
      <c r="G52" s="17"/>
    </row>
    <row r="53" spans="1:7" x14ac:dyDescent="0.25">
      <c r="A53" s="101" t="s">
        <v>284</v>
      </c>
      <c r="B53" s="17">
        <v>2702190</v>
      </c>
      <c r="C53" s="17">
        <v>250575</v>
      </c>
      <c r="D53" s="17">
        <f t="shared" si="0"/>
        <v>250575</v>
      </c>
      <c r="E53" s="49">
        <f>VLOOKUP($A53,'Data shares'!$C:$FA,128)*100</f>
        <v>1.17</v>
      </c>
      <c r="F53" s="49">
        <f>VLOOKUP($A53,'Data shares'!$C:$FA,129)</f>
        <v>4825</v>
      </c>
      <c r="G53" s="17"/>
    </row>
    <row r="54" spans="1:7" x14ac:dyDescent="0.25">
      <c r="A54" s="101" t="s">
        <v>488</v>
      </c>
      <c r="B54" s="17">
        <v>5499709</v>
      </c>
      <c r="C54" s="17">
        <v>1097600</v>
      </c>
      <c r="D54" s="17">
        <f t="shared" si="0"/>
        <v>1097600</v>
      </c>
      <c r="E54" s="49">
        <f>VLOOKUP($A54,'Data shares'!$C:$FA,128)*100</f>
        <v>4.1500000000000004</v>
      </c>
      <c r="F54" s="49">
        <f>VLOOKUP($A54,'Data shares'!$C:$FA,129)</f>
        <v>112200</v>
      </c>
      <c r="G54" s="17"/>
    </row>
    <row r="55" spans="1:7" x14ac:dyDescent="0.25">
      <c r="A55" s="101" t="s">
        <v>523</v>
      </c>
      <c r="B55" s="17">
        <v>118085392</v>
      </c>
      <c r="C55" s="17">
        <v>6549400</v>
      </c>
      <c r="D55" s="17">
        <f t="shared" si="0"/>
        <v>6549400</v>
      </c>
      <c r="E55" s="49">
        <f>VLOOKUP($A55,'Data shares'!$C:$FA,128)*100</f>
        <v>1.41</v>
      </c>
      <c r="F55" s="49">
        <f>VLOOKUP($A55,'Data shares'!$C:$FA,129)</f>
        <v>702350</v>
      </c>
      <c r="G55" s="17"/>
    </row>
    <row r="56" spans="1:7" x14ac:dyDescent="0.25">
      <c r="A56" s="101" t="s">
        <v>485</v>
      </c>
      <c r="B56" s="17">
        <v>6917069</v>
      </c>
      <c r="C56" s="17">
        <v>762075</v>
      </c>
      <c r="D56" s="17">
        <f t="shared" si="0"/>
        <v>762075</v>
      </c>
      <c r="E56" s="49">
        <f>VLOOKUP($A56,'Data shares'!$C:$FA,128)*100</f>
        <v>1.2</v>
      </c>
      <c r="F56" s="49">
        <f>VLOOKUP($A56,'Data shares'!$C:$FA,129)</f>
        <v>122825</v>
      </c>
      <c r="G56" s="17"/>
    </row>
    <row r="57" spans="1:7" x14ac:dyDescent="0.25">
      <c r="A57" s="101" t="s">
        <v>178</v>
      </c>
      <c r="B57" s="17">
        <v>16125398</v>
      </c>
      <c r="C57" s="17">
        <v>1552600</v>
      </c>
      <c r="D57" s="17">
        <f t="shared" si="0"/>
        <v>1552600</v>
      </c>
      <c r="E57" s="49">
        <f>VLOOKUP($A57,'Data shares'!$C:$FA,128)*100</f>
        <v>15.079999999999998</v>
      </c>
      <c r="F57" s="49">
        <f>VLOOKUP($A57,'Data shares'!$C:$FA,129)</f>
        <v>10557000</v>
      </c>
      <c r="G57" s="17"/>
    </row>
    <row r="58" spans="1:7" x14ac:dyDescent="0.25">
      <c r="A58" s="101" t="s">
        <v>240</v>
      </c>
      <c r="B58" s="17">
        <v>727896180</v>
      </c>
      <c r="C58" s="17">
        <v>46526100</v>
      </c>
      <c r="D58" s="17">
        <f t="shared" si="0"/>
        <v>46526100</v>
      </c>
      <c r="E58" s="49">
        <f>VLOOKUP($A58,'Data shares'!$C:$FA,128)*100</f>
        <v>6.370000000000001</v>
      </c>
      <c r="F58" s="49">
        <f>VLOOKUP($A58,'Data shares'!$C:$FA,129)</f>
        <v>4821200</v>
      </c>
      <c r="G58" s="17"/>
    </row>
    <row r="59" spans="1:7" x14ac:dyDescent="0.25">
      <c r="A59" s="101" t="s">
        <v>202</v>
      </c>
      <c r="B59" s="17">
        <v>55081874</v>
      </c>
      <c r="C59" s="17">
        <v>10856000</v>
      </c>
      <c r="D59" s="17">
        <f t="shared" si="0"/>
        <v>10856000</v>
      </c>
      <c r="E59" s="49">
        <f>VLOOKUP($A59,'Data shares'!$C:$FA,128)*100</f>
        <v>2.12</v>
      </c>
      <c r="F59" s="49">
        <f>VLOOKUP($A59,'Data shares'!$C:$FA,129)</f>
        <v>478750</v>
      </c>
      <c r="G59" s="17"/>
    </row>
    <row r="60" spans="1:7" x14ac:dyDescent="0.25">
      <c r="A60" s="101" t="s">
        <v>245</v>
      </c>
      <c r="B60" s="17">
        <v>15273675</v>
      </c>
      <c r="C60" s="17">
        <v>5077125</v>
      </c>
      <c r="D60" s="17">
        <f t="shared" si="0"/>
        <v>5077125</v>
      </c>
      <c r="E60" s="49">
        <f>VLOOKUP($A60,'Data shares'!$C:$FA,128)*100</f>
        <v>4.09</v>
      </c>
      <c r="F60" s="49">
        <f>VLOOKUP($A60,'Data shares'!$C:$FA,129)</f>
        <v>1446250</v>
      </c>
      <c r="G60" s="17"/>
    </row>
    <row r="61" spans="1:7" x14ac:dyDescent="0.25">
      <c r="A61" s="101" t="s">
        <v>173</v>
      </c>
      <c r="B61" s="17">
        <v>541823383</v>
      </c>
      <c r="C61" s="17">
        <v>95378400</v>
      </c>
      <c r="D61" s="17">
        <f t="shared" si="0"/>
        <v>95378400</v>
      </c>
      <c r="E61" s="49">
        <f>VLOOKUP($A61,'Data shares'!$C:$FA,128)*100</f>
        <v>11.57</v>
      </c>
      <c r="F61" s="49">
        <f>VLOOKUP($A61,'Data shares'!$C:$FA,129)</f>
        <v>6991250</v>
      </c>
      <c r="G61" s="17"/>
    </row>
    <row r="62" spans="1:7" x14ac:dyDescent="0.25">
      <c r="A62" s="101" t="s">
        <v>234</v>
      </c>
      <c r="B62" s="17">
        <v>1606294231</v>
      </c>
      <c r="C62" s="17">
        <v>1302000000</v>
      </c>
      <c r="D62" s="17">
        <f t="shared" si="0"/>
        <v>1302000000</v>
      </c>
      <c r="E62" s="49">
        <f>VLOOKUP($A62,'Data shares'!$C:$FA,128)*100</f>
        <v>2.82</v>
      </c>
      <c r="F62" s="49">
        <f>VLOOKUP($A62,'Data shares'!$C:$FA,129)</f>
        <v>146094900</v>
      </c>
      <c r="G62" s="17"/>
    </row>
    <row r="63" spans="1:7" x14ac:dyDescent="0.25">
      <c r="A63" s="101" t="s">
        <v>235</v>
      </c>
      <c r="B63" s="17">
        <v>789260827</v>
      </c>
      <c r="C63" s="17">
        <v>462303900</v>
      </c>
      <c r="D63" s="17">
        <f t="shared" si="0"/>
        <v>462303900</v>
      </c>
      <c r="E63" s="49">
        <f>VLOOKUP($A63,'Data shares'!$C:$FA,128)*100</f>
        <v>10.489999999999998</v>
      </c>
      <c r="F63" s="49">
        <f>VLOOKUP($A63,'Data shares'!$C:$FA,129)</f>
        <v>41134625</v>
      </c>
      <c r="G63" s="17"/>
    </row>
    <row r="64" spans="1:7" x14ac:dyDescent="0.25">
      <c r="A64" s="101" t="s">
        <v>482</v>
      </c>
      <c r="B64" s="17">
        <v>44785930</v>
      </c>
      <c r="C64" s="17">
        <v>4025925</v>
      </c>
      <c r="D64" s="17">
        <f t="shared" si="0"/>
        <v>4025925</v>
      </c>
      <c r="E64" s="49">
        <f>VLOOKUP($A64,'Data shares'!$C:$FA,128)*100</f>
        <v>4.42</v>
      </c>
      <c r="F64" s="49">
        <f>VLOOKUP($A64,'Data shares'!$C:$FA,129)</f>
        <v>292000</v>
      </c>
      <c r="G64" s="17"/>
    </row>
    <row r="65" spans="1:7" x14ac:dyDescent="0.25">
      <c r="A65" s="101" t="s">
        <v>475</v>
      </c>
      <c r="B65" s="17">
        <v>13287700</v>
      </c>
      <c r="C65" s="17">
        <v>3968400</v>
      </c>
      <c r="D65" s="17">
        <f t="shared" si="0"/>
        <v>3968400</v>
      </c>
      <c r="E65" s="49">
        <f>VLOOKUP($A65,'Data shares'!$C:$FA,128)*100</f>
        <v>1.6500000000000001</v>
      </c>
      <c r="F65" s="49">
        <f>VLOOKUP($A65,'Data shares'!$C:$FA,129)</f>
        <v>105900</v>
      </c>
      <c r="G65" s="17"/>
    </row>
    <row r="66" spans="1:7" x14ac:dyDescent="0.25">
      <c r="A66" s="101" t="s">
        <v>306</v>
      </c>
      <c r="B66" s="17">
        <v>292716179</v>
      </c>
      <c r="C66" s="17">
        <v>57797600</v>
      </c>
      <c r="D66" s="17">
        <f t="shared" si="0"/>
        <v>57797600</v>
      </c>
      <c r="E66" s="49">
        <f>VLOOKUP($A66,'Data shares'!$C:$FA,128)*100</f>
        <v>9.5299999999999994</v>
      </c>
      <c r="F66" s="49">
        <f>VLOOKUP($A66,'Data shares'!$C:$FA,129)</f>
        <v>26253000</v>
      </c>
      <c r="G66" s="17"/>
    </row>
    <row r="67" spans="1:7" x14ac:dyDescent="0.25">
      <c r="A67" s="101" t="s">
        <v>262</v>
      </c>
      <c r="B67" s="17">
        <v>21376133</v>
      </c>
      <c r="C67" s="17">
        <v>5958375</v>
      </c>
      <c r="D67" s="17">
        <f t="shared" si="0"/>
        <v>5958375</v>
      </c>
      <c r="E67" s="49">
        <f>VLOOKUP($A67,'Data shares'!$C:$FA,128)*100</f>
        <v>1.6099999999999999</v>
      </c>
      <c r="F67" s="49">
        <f>VLOOKUP($A67,'Data shares'!$C:$FA,129)</f>
        <v>57750</v>
      </c>
      <c r="G67" s="17"/>
    </row>
    <row r="68" spans="1:7" x14ac:dyDescent="0.25">
      <c r="A68" s="101" t="s">
        <v>174</v>
      </c>
      <c r="B68" s="17">
        <v>26775498</v>
      </c>
      <c r="C68" s="17">
        <v>3494750</v>
      </c>
      <c r="D68" s="17">
        <f t="shared" si="0"/>
        <v>3494750</v>
      </c>
      <c r="E68" s="49">
        <f>VLOOKUP($A68,'Data shares'!$C:$FA,128)*100</f>
        <v>4.43</v>
      </c>
      <c r="F68" s="49">
        <f>VLOOKUP($A68,'Data shares'!$C:$FA,129)</f>
        <v>102150</v>
      </c>
      <c r="G68" s="17"/>
    </row>
    <row r="69" spans="1:7" x14ac:dyDescent="0.25">
      <c r="A69" s="101" t="s">
        <v>286</v>
      </c>
      <c r="B69" s="17">
        <v>29168705</v>
      </c>
      <c r="C69" s="17">
        <v>6373125</v>
      </c>
      <c r="D69" s="17">
        <f t="shared" si="0"/>
        <v>6373125</v>
      </c>
      <c r="E69" s="49">
        <f>VLOOKUP($A69,'Data shares'!$C:$FA,128)*100</f>
        <v>1.5699999999999998</v>
      </c>
      <c r="F69" s="49">
        <f>VLOOKUP($A69,'Data shares'!$C:$FA,129)</f>
        <v>54800</v>
      </c>
      <c r="G69" s="17"/>
    </row>
    <row r="70" spans="1:7" x14ac:dyDescent="0.25">
      <c r="A70" s="101" t="s">
        <v>297</v>
      </c>
      <c r="B70" s="17">
        <v>83636848</v>
      </c>
      <c r="C70" s="17">
        <v>13455750</v>
      </c>
      <c r="D70" s="17">
        <f t="shared" si="0"/>
        <v>13455750</v>
      </c>
      <c r="E70" s="49">
        <f>VLOOKUP($A70,'Data shares'!$C:$FA,128)*100</f>
        <v>10.040000000000001</v>
      </c>
      <c r="F70" s="49">
        <f>VLOOKUP($A70,'Data shares'!$C:$FA,129)</f>
        <v>796775</v>
      </c>
      <c r="G70" s="17"/>
    </row>
    <row r="71" spans="1:7" x14ac:dyDescent="0.25">
      <c r="A71" s="101" t="s">
        <v>302</v>
      </c>
      <c r="B71" s="17">
        <v>23058222</v>
      </c>
      <c r="C71" s="17">
        <v>3980500</v>
      </c>
      <c r="D71" s="17">
        <f t="shared" ref="D71:D134" si="1">C71</f>
        <v>3980500</v>
      </c>
      <c r="E71" s="49">
        <f>VLOOKUP($A71,'Data shares'!$C:$FA,128)*100</f>
        <v>16.12</v>
      </c>
      <c r="F71" s="49">
        <f>VLOOKUP($A71,'Data shares'!$C:$FA,129)</f>
        <v>446600</v>
      </c>
      <c r="G71" s="17"/>
    </row>
    <row r="72" spans="1:7" x14ac:dyDescent="0.25">
      <c r="A72" s="101" t="s">
        <v>307</v>
      </c>
      <c r="B72" s="17">
        <v>184439886</v>
      </c>
      <c r="C72" s="17">
        <v>122460000</v>
      </c>
      <c r="D72" s="17">
        <f t="shared" si="1"/>
        <v>122460000</v>
      </c>
      <c r="E72" s="49">
        <f>VLOOKUP($A72,'Data shares'!$C:$FA,128)*100</f>
        <v>6.74</v>
      </c>
      <c r="F72" s="49">
        <f>VLOOKUP($A72,'Data shares'!$C:$FA,129)</f>
        <v>72307500</v>
      </c>
      <c r="G72" s="17"/>
    </row>
    <row r="73" spans="1:7" x14ac:dyDescent="0.25">
      <c r="A73" s="101" t="s">
        <v>177</v>
      </c>
      <c r="B73" s="17">
        <v>52956314</v>
      </c>
      <c r="C73" s="17">
        <v>7784625</v>
      </c>
      <c r="D73" s="17">
        <f t="shared" si="1"/>
        <v>7784625</v>
      </c>
      <c r="E73" s="49">
        <f>VLOOKUP($A73,'Data shares'!$C:$FA,128)*100</f>
        <v>15.079999999999998</v>
      </c>
      <c r="F73" s="49">
        <f>VLOOKUP($A73,'Data shares'!$C:$FA,129)</f>
        <v>10557000</v>
      </c>
      <c r="G73" s="17"/>
    </row>
    <row r="74" spans="1:7" x14ac:dyDescent="0.25">
      <c r="A74" s="101" t="s">
        <v>545</v>
      </c>
      <c r="B74" s="17">
        <v>23498849</v>
      </c>
      <c r="C74" s="17">
        <v>15745600</v>
      </c>
      <c r="D74" s="17">
        <f t="shared" si="1"/>
        <v>15745600</v>
      </c>
      <c r="E74" s="49">
        <f>VLOOKUP($A74,'Data shares'!$C:$FA,128)*100</f>
        <v>15.079999999999998</v>
      </c>
      <c r="F74" s="49">
        <f>VLOOKUP($A74,'Data shares'!$C:$FA,129)</f>
        <v>10557000</v>
      </c>
      <c r="G74" s="17"/>
    </row>
    <row r="75" spans="1:7" x14ac:dyDescent="0.25">
      <c r="A75" s="101" t="s">
        <v>185</v>
      </c>
      <c r="B75" s="17">
        <v>238123793</v>
      </c>
      <c r="C75" s="17">
        <v>59926000</v>
      </c>
      <c r="D75" s="17">
        <f t="shared" si="1"/>
        <v>59926000</v>
      </c>
      <c r="E75" s="49">
        <f>VLOOKUP($A75,'Data shares'!$C:$FA,128)*100</f>
        <v>12.1</v>
      </c>
      <c r="F75" s="49">
        <f>VLOOKUP($A75,'Data shares'!$C:$FA,129)</f>
        <v>13360800</v>
      </c>
      <c r="G75" s="17"/>
    </row>
    <row r="76" spans="1:7" x14ac:dyDescent="0.25">
      <c r="A76" s="101" t="s">
        <v>219</v>
      </c>
      <c r="B76" s="17">
        <v>75317259</v>
      </c>
      <c r="C76" s="17">
        <v>12188500</v>
      </c>
      <c r="D76" s="17">
        <f t="shared" si="1"/>
        <v>12188500</v>
      </c>
      <c r="E76" s="49">
        <f>VLOOKUP($A76,'Data shares'!$C:$FA,128)*100</f>
        <v>5.46</v>
      </c>
      <c r="F76" s="49">
        <f>VLOOKUP($A76,'Data shares'!$C:$FA,129)</f>
        <v>780500</v>
      </c>
      <c r="G76" s="17"/>
    </row>
    <row r="77" spans="1:7" x14ac:dyDescent="0.25">
      <c r="A77" s="101" t="s">
        <v>534</v>
      </c>
      <c r="B77" s="17">
        <v>70381221</v>
      </c>
      <c r="C77" s="17">
        <v>3354100</v>
      </c>
      <c r="D77" s="17">
        <f t="shared" si="1"/>
        <v>3354100</v>
      </c>
      <c r="E77" s="49">
        <f>VLOOKUP($A77,'Data shares'!$C:$FA,128)*100</f>
        <v>5.46</v>
      </c>
      <c r="F77" s="49">
        <f>VLOOKUP($A77,'Data shares'!$C:$FA,129)</f>
        <v>780500</v>
      </c>
      <c r="G77" s="17"/>
    </row>
    <row r="78" spans="1:7" x14ac:dyDescent="0.25">
      <c r="A78" s="101" t="s">
        <v>516</v>
      </c>
      <c r="B78" s="17">
        <v>27254349</v>
      </c>
      <c r="C78" s="17">
        <v>1133550</v>
      </c>
      <c r="D78" s="17">
        <f t="shared" si="1"/>
        <v>1133550</v>
      </c>
      <c r="E78" s="49">
        <f>VLOOKUP($A78,'Data shares'!$C:$FA,128)*100</f>
        <v>7.51</v>
      </c>
      <c r="F78" s="49">
        <f>VLOOKUP($A78,'Data shares'!$C:$FA,129)</f>
        <v>8229000</v>
      </c>
      <c r="G78" s="17"/>
    </row>
    <row r="79" spans="1:7" x14ac:dyDescent="0.25">
      <c r="A79" s="101" t="s">
        <v>271</v>
      </c>
      <c r="B79" s="17">
        <v>26746179</v>
      </c>
      <c r="C79" s="17">
        <v>5445825</v>
      </c>
      <c r="D79" s="17">
        <f t="shared" si="1"/>
        <v>5445825</v>
      </c>
      <c r="E79" s="49">
        <f>VLOOKUP($A79,'Data shares'!$C:$FA,128)*100</f>
        <v>2.02</v>
      </c>
      <c r="F79" s="49">
        <f>VLOOKUP($A79,'Data shares'!$C:$FA,129)</f>
        <v>282750</v>
      </c>
      <c r="G79" s="17"/>
    </row>
    <row r="80" spans="1:7" x14ac:dyDescent="0.25">
      <c r="A80" s="101" t="s">
        <v>264</v>
      </c>
      <c r="B80" s="17">
        <v>15844192</v>
      </c>
      <c r="C80" s="17">
        <v>2354125</v>
      </c>
      <c r="D80" s="17">
        <f t="shared" si="1"/>
        <v>2354125</v>
      </c>
      <c r="E80" s="49">
        <f>VLOOKUP($A80,'Data shares'!$C:$FA,128)*100</f>
        <v>1.2</v>
      </c>
      <c r="F80" s="49">
        <f>VLOOKUP($A80,'Data shares'!$C:$FA,129)</f>
        <v>122825</v>
      </c>
      <c r="G80" s="17"/>
    </row>
    <row r="81" spans="1:7" x14ac:dyDescent="0.25">
      <c r="A81" s="101" t="s">
        <v>208</v>
      </c>
      <c r="B81" s="17">
        <v>24296838</v>
      </c>
      <c r="C81" s="17">
        <v>5125750</v>
      </c>
      <c r="D81" s="17">
        <f t="shared" si="1"/>
        <v>5125750</v>
      </c>
      <c r="E81" s="49">
        <f>VLOOKUP($A81,'Data shares'!$C:$FA,128)*100</f>
        <v>2.2800000000000002</v>
      </c>
      <c r="F81" s="49">
        <f>VLOOKUP($A81,'Data shares'!$C:$FA,129)</f>
        <v>291250</v>
      </c>
      <c r="G81" s="17"/>
    </row>
    <row r="82" spans="1:7" x14ac:dyDescent="0.25">
      <c r="A82" s="101" t="s">
        <v>552</v>
      </c>
      <c r="B82" s="17">
        <v>23447901</v>
      </c>
      <c r="C82" s="17">
        <v>3785600</v>
      </c>
      <c r="D82" s="17">
        <f t="shared" si="1"/>
        <v>3785600</v>
      </c>
      <c r="E82" s="49">
        <f>VLOOKUP($A82,'Data shares'!$C:$FA,128)*100</f>
        <v>2.82</v>
      </c>
      <c r="F82" s="49">
        <f>VLOOKUP($A82,'Data shares'!$C:$FA,129)</f>
        <v>1068225</v>
      </c>
      <c r="G82" s="17"/>
    </row>
    <row r="83" spans="1:7" x14ac:dyDescent="0.25">
      <c r="A83" s="101" t="s">
        <v>204</v>
      </c>
      <c r="B83" s="17">
        <v>115362060</v>
      </c>
      <c r="C83" s="17">
        <v>19043750</v>
      </c>
      <c r="D83" s="17">
        <f t="shared" si="1"/>
        <v>19043750</v>
      </c>
      <c r="E83" s="49">
        <f>VLOOKUP($A83,'Data shares'!$C:$FA,128)*100</f>
        <v>2.0500000000000003</v>
      </c>
      <c r="F83" s="49">
        <f>VLOOKUP($A83,'Data shares'!$C:$FA,129)</f>
        <v>511250</v>
      </c>
      <c r="G83" s="17"/>
    </row>
    <row r="84" spans="1:7" x14ac:dyDescent="0.25">
      <c r="A84" s="101" t="s">
        <v>528</v>
      </c>
      <c r="B84" s="17">
        <v>23485458</v>
      </c>
      <c r="C84" s="17">
        <v>4272800</v>
      </c>
      <c r="D84" s="17">
        <f t="shared" si="1"/>
        <v>4272800</v>
      </c>
      <c r="E84" s="49">
        <f>VLOOKUP($A84,'Data shares'!$C:$FA,128)*100</f>
        <v>0.94000000000000006</v>
      </c>
      <c r="F84" s="49">
        <f>VLOOKUP($A84,'Data shares'!$C:$FA,129)</f>
        <v>55300</v>
      </c>
      <c r="G84" s="17"/>
    </row>
    <row r="85" spans="1:7" x14ac:dyDescent="0.25">
      <c r="A85" s="101" t="s">
        <v>551</v>
      </c>
      <c r="B85" s="17">
        <v>39593365</v>
      </c>
      <c r="C85" s="17">
        <v>12215000</v>
      </c>
      <c r="D85" s="17">
        <f t="shared" si="1"/>
        <v>12215000</v>
      </c>
      <c r="E85" s="49">
        <f>VLOOKUP($A85,'Data shares'!$C:$FA,128)*100</f>
        <v>4.25</v>
      </c>
      <c r="F85" s="49">
        <f>VLOOKUP($A85,'Data shares'!$C:$FA,129)</f>
        <v>245700</v>
      </c>
      <c r="G85" s="17"/>
    </row>
    <row r="86" spans="1:7" x14ac:dyDescent="0.25">
      <c r="A86" s="101" t="s">
        <v>292</v>
      </c>
      <c r="B86" s="17">
        <v>355933451</v>
      </c>
      <c r="C86" s="17">
        <v>204117000</v>
      </c>
      <c r="D86" s="17">
        <f t="shared" si="1"/>
        <v>204117000</v>
      </c>
      <c r="E86" s="49">
        <f>VLOOKUP($A86,'Data shares'!$C:$FA,128)*100</f>
        <v>8.0399999999999991</v>
      </c>
      <c r="F86" s="49">
        <f>VLOOKUP($A86,'Data shares'!$C:$FA,129)</f>
        <v>181475</v>
      </c>
      <c r="G86" s="17"/>
    </row>
    <row r="87" spans="1:7" x14ac:dyDescent="0.25">
      <c r="A87" s="101" t="s">
        <v>239</v>
      </c>
      <c r="B87" s="17">
        <v>117569462</v>
      </c>
      <c r="C87" s="17">
        <v>39785400</v>
      </c>
      <c r="D87" s="17">
        <f t="shared" si="1"/>
        <v>39785400</v>
      </c>
      <c r="E87" s="49">
        <f>VLOOKUP($A87,'Data shares'!$C:$FA,128)*100</f>
        <v>4.21</v>
      </c>
      <c r="F87" s="49">
        <f>VLOOKUP($A87,'Data shares'!$C:$FA,129)</f>
        <v>1081500</v>
      </c>
      <c r="G87" s="17"/>
    </row>
    <row r="88" spans="1:7" x14ac:dyDescent="0.25">
      <c r="A88" s="101" t="s">
        <v>513</v>
      </c>
      <c r="B88" s="17">
        <v>16619018</v>
      </c>
      <c r="C88" s="17">
        <v>3155425</v>
      </c>
      <c r="D88" s="17">
        <f t="shared" si="1"/>
        <v>3155425</v>
      </c>
      <c r="E88" s="49">
        <f>VLOOKUP($A88,'Data shares'!$C:$FA,128)*100</f>
        <v>13.120000000000001</v>
      </c>
      <c r="F88" s="49">
        <f>VLOOKUP($A88,'Data shares'!$C:$FA,129)</f>
        <v>871500</v>
      </c>
      <c r="G88" s="17"/>
    </row>
    <row r="89" spans="1:7" x14ac:dyDescent="0.25">
      <c r="A89" s="101" t="s">
        <v>224</v>
      </c>
      <c r="B89" s="17">
        <v>669931623</v>
      </c>
      <c r="C89" s="17">
        <v>82663350</v>
      </c>
      <c r="D89" s="17">
        <f t="shared" si="1"/>
        <v>82663350</v>
      </c>
      <c r="E89" s="49">
        <f>VLOOKUP($A89,'Data shares'!$C:$FA,128)*100</f>
        <v>23.919999999999998</v>
      </c>
      <c r="F89" s="49">
        <f>VLOOKUP($A89,'Data shares'!$C:$FA,129)</f>
        <v>78625550</v>
      </c>
      <c r="G89" s="17"/>
    </row>
    <row r="90" spans="1:7" x14ac:dyDescent="0.25">
      <c r="A90" s="101" t="s">
        <v>232</v>
      </c>
      <c r="B90" s="17">
        <v>1110506052</v>
      </c>
      <c r="C90" s="17">
        <v>174065375</v>
      </c>
      <c r="D90" s="17">
        <f t="shared" si="1"/>
        <v>174065375</v>
      </c>
      <c r="E90" s="49">
        <f>VLOOKUP($A90,'Data shares'!$C:$FA,128)*100</f>
        <v>19.21</v>
      </c>
      <c r="F90" s="49">
        <f>VLOOKUP($A90,'Data shares'!$C:$FA,129)</f>
        <v>25541600</v>
      </c>
      <c r="G90" s="17"/>
    </row>
    <row r="91" spans="1:7" x14ac:dyDescent="0.25">
      <c r="A91" s="101" t="s">
        <v>223</v>
      </c>
      <c r="B91" s="17">
        <v>362202362</v>
      </c>
      <c r="C91" s="17">
        <v>34249800</v>
      </c>
      <c r="D91" s="17">
        <f t="shared" si="1"/>
        <v>34249800</v>
      </c>
      <c r="E91" s="49">
        <f>VLOOKUP($A91,'Data shares'!$C:$FA,128)*100</f>
        <v>4.8099999999999996</v>
      </c>
      <c r="F91" s="49">
        <f>VLOOKUP($A91,'Data shares'!$C:$FA,129)</f>
        <v>1932500</v>
      </c>
      <c r="G91" s="17"/>
    </row>
    <row r="92" spans="1:7" x14ac:dyDescent="0.25">
      <c r="A92" s="101" t="s">
        <v>218</v>
      </c>
      <c r="B92" s="17">
        <v>23110810</v>
      </c>
      <c r="C92" s="17">
        <v>6940375</v>
      </c>
      <c r="D92" s="17">
        <f t="shared" si="1"/>
        <v>6940375</v>
      </c>
      <c r="E92" s="49">
        <f>VLOOKUP($A92,'Data shares'!$C:$FA,128)*100</f>
        <v>10.83</v>
      </c>
      <c r="F92" s="49">
        <f>VLOOKUP($A92,'Data shares'!$C:$FA,129)</f>
        <v>785975</v>
      </c>
      <c r="G92" s="17"/>
    </row>
    <row r="93" spans="1:7" x14ac:dyDescent="0.25">
      <c r="A93" s="101" t="s">
        <v>236</v>
      </c>
      <c r="B93" s="17">
        <v>77000080</v>
      </c>
      <c r="C93" s="17">
        <v>25785375</v>
      </c>
      <c r="D93" s="17">
        <f t="shared" si="1"/>
        <v>25785375</v>
      </c>
      <c r="E93" s="49">
        <f>VLOOKUP($A93,'Data shares'!$C:$FA,128)*100</f>
        <v>4.5699999999999994</v>
      </c>
      <c r="F93" s="49">
        <f>VLOOKUP($A93,'Data shares'!$C:$FA,129)</f>
        <v>3327600</v>
      </c>
      <c r="G93" s="17"/>
    </row>
    <row r="94" spans="1:7" x14ac:dyDescent="0.25">
      <c r="A94" s="101" t="s">
        <v>246</v>
      </c>
      <c r="B94" s="17">
        <v>293666614</v>
      </c>
      <c r="C94" s="17">
        <v>30730800</v>
      </c>
      <c r="D94" s="17">
        <f t="shared" si="1"/>
        <v>30730800</v>
      </c>
      <c r="E94" s="49">
        <f>VLOOKUP($A94,'Data shares'!$C:$FA,128)*100</f>
        <v>18.11</v>
      </c>
      <c r="F94" s="49">
        <f>VLOOKUP($A94,'Data shares'!$C:$FA,129)</f>
        <v>38532000</v>
      </c>
      <c r="G94" s="17"/>
    </row>
    <row r="95" spans="1:7" x14ac:dyDescent="0.25">
      <c r="A95" s="101" t="s">
        <v>532</v>
      </c>
      <c r="B95" s="17">
        <v>32892110</v>
      </c>
      <c r="C95" s="17">
        <v>6216000</v>
      </c>
      <c r="D95" s="17">
        <f t="shared" si="1"/>
        <v>6216000</v>
      </c>
      <c r="E95" s="49">
        <f>VLOOKUP($A95,'Data shares'!$C:$FA,128)*100</f>
        <v>12.509999999999998</v>
      </c>
      <c r="F95" s="49">
        <f>VLOOKUP($A95,'Data shares'!$C:$FA,129)</f>
        <v>2717450</v>
      </c>
      <c r="G95" s="17"/>
    </row>
    <row r="96" spans="1:7" x14ac:dyDescent="0.25">
      <c r="A96" s="101" t="s">
        <v>242</v>
      </c>
      <c r="B96" s="17">
        <v>2461627231</v>
      </c>
      <c r="C96" s="17">
        <v>322832000</v>
      </c>
      <c r="D96" s="17">
        <f t="shared" si="1"/>
        <v>322832000</v>
      </c>
      <c r="E96" s="49">
        <f>VLOOKUP($A96,'Data shares'!$C:$FA,128)*100</f>
        <v>11.940000000000001</v>
      </c>
      <c r="F96" s="49">
        <f>VLOOKUP($A96,'Data shares'!$C:$FA,129)</f>
        <v>19640325</v>
      </c>
      <c r="G96" s="17"/>
    </row>
    <row r="97" spans="1:7" x14ac:dyDescent="0.25">
      <c r="A97" s="101" t="s">
        <v>165</v>
      </c>
      <c r="B97" s="17">
        <v>20321931</v>
      </c>
      <c r="C97" s="17">
        <v>3675125</v>
      </c>
      <c r="D97" s="17">
        <f t="shared" si="1"/>
        <v>3675125</v>
      </c>
      <c r="E97" s="49">
        <f>VLOOKUP($A97,'Data shares'!$C:$FA,128)*100</f>
        <v>8.57</v>
      </c>
      <c r="F97" s="49">
        <f>VLOOKUP($A97,'Data shares'!$C:$FA,129)</f>
        <v>168750</v>
      </c>
      <c r="G97" s="17"/>
    </row>
    <row r="98" spans="1:7" x14ac:dyDescent="0.25">
      <c r="A98" s="101" t="s">
        <v>503</v>
      </c>
      <c r="B98" s="17">
        <v>17788750</v>
      </c>
      <c r="C98" s="17">
        <v>925925</v>
      </c>
      <c r="D98" s="17">
        <f t="shared" si="1"/>
        <v>925925</v>
      </c>
      <c r="E98" s="49">
        <f>VLOOKUP($A98,'Data shares'!$C:$FA,128)*100</f>
        <v>4.78</v>
      </c>
      <c r="F98" s="49">
        <f>VLOOKUP($A98,'Data shares'!$C:$FA,129)</f>
        <v>326825</v>
      </c>
      <c r="G98" s="17"/>
    </row>
    <row r="99" spans="1:7" x14ac:dyDescent="0.25">
      <c r="A99" s="101" t="s">
        <v>192</v>
      </c>
      <c r="B99" s="17">
        <v>1737683</v>
      </c>
      <c r="C99" s="17">
        <v>235900</v>
      </c>
      <c r="D99" s="17">
        <f t="shared" si="1"/>
        <v>235900</v>
      </c>
      <c r="E99" s="49">
        <f>VLOOKUP($A99,'Data shares'!$C:$FA,128)*100</f>
        <v>1.1100000000000001</v>
      </c>
      <c r="F99" s="49">
        <f>VLOOKUP($A99,'Data shares'!$C:$FA,129)</f>
        <v>2125</v>
      </c>
      <c r="G99" s="17"/>
    </row>
    <row r="100" spans="1:7" x14ac:dyDescent="0.25">
      <c r="A100" s="101" t="s">
        <v>531</v>
      </c>
      <c r="B100" s="17">
        <v>33015657</v>
      </c>
      <c r="C100" s="17">
        <v>9033700</v>
      </c>
      <c r="D100" s="17">
        <f t="shared" si="1"/>
        <v>9033700</v>
      </c>
      <c r="E100" s="49">
        <f>VLOOKUP($A100,'Data shares'!$C:$FA,128)*100</f>
        <v>8.14</v>
      </c>
      <c r="F100" s="49">
        <f>VLOOKUP($A100,'Data shares'!$C:$FA,129)</f>
        <v>581800</v>
      </c>
      <c r="G100" s="17"/>
    </row>
    <row r="101" spans="1:7" x14ac:dyDescent="0.25">
      <c r="A101" s="101" t="s">
        <v>494</v>
      </c>
      <c r="B101" s="17">
        <v>147873568</v>
      </c>
      <c r="C101" s="17">
        <v>20386400</v>
      </c>
      <c r="D101" s="17">
        <f t="shared" si="1"/>
        <v>20386400</v>
      </c>
      <c r="E101" s="49">
        <f>VLOOKUP($A101,'Data shares'!$C:$FA,128)*100</f>
        <v>1.41</v>
      </c>
      <c r="F101" s="49">
        <f>VLOOKUP($A101,'Data shares'!$C:$FA,129)</f>
        <v>702350</v>
      </c>
      <c r="G101" s="17"/>
    </row>
    <row r="102" spans="1:7" x14ac:dyDescent="0.25">
      <c r="A102" s="101" t="s">
        <v>473</v>
      </c>
      <c r="B102" s="17">
        <v>162372116</v>
      </c>
      <c r="C102" s="17">
        <v>43206800</v>
      </c>
      <c r="D102" s="17">
        <f t="shared" si="1"/>
        <v>43206800</v>
      </c>
      <c r="E102" s="49">
        <f>VLOOKUP($A102,'Data shares'!$C:$FA,128)*100</f>
        <v>4.62</v>
      </c>
      <c r="F102" s="49">
        <f>VLOOKUP($A102,'Data shares'!$C:$FA,129)</f>
        <v>3483300</v>
      </c>
      <c r="G102" s="17"/>
    </row>
    <row r="103" spans="1:7" x14ac:dyDescent="0.25">
      <c r="A103" s="101" t="s">
        <v>225</v>
      </c>
      <c r="B103" s="17">
        <v>187118353</v>
      </c>
      <c r="C103" s="17">
        <v>49800300</v>
      </c>
      <c r="D103" s="17">
        <f t="shared" si="1"/>
        <v>49800300</v>
      </c>
      <c r="E103" s="49">
        <f>VLOOKUP($A103,'Data shares'!$C:$FA,128)*100</f>
        <v>9.7199999999999989</v>
      </c>
      <c r="F103" s="49">
        <f>VLOOKUP($A103,'Data shares'!$C:$FA,129)</f>
        <v>4090900</v>
      </c>
      <c r="G103" s="17"/>
    </row>
    <row r="104" spans="1:7" x14ac:dyDescent="0.25">
      <c r="A104" s="101" t="s">
        <v>504</v>
      </c>
      <c r="B104" s="17">
        <v>12641694</v>
      </c>
      <c r="C104" s="17">
        <v>6728400</v>
      </c>
      <c r="D104" s="17">
        <f t="shared" si="1"/>
        <v>6728400</v>
      </c>
      <c r="E104" s="49">
        <f>VLOOKUP($A104,'Data shares'!$C:$FA,128)*100</f>
        <v>1.5699999999999998</v>
      </c>
      <c r="F104" s="49">
        <f>VLOOKUP($A104,'Data shares'!$C:$FA,129)</f>
        <v>54800</v>
      </c>
      <c r="G104" s="17"/>
    </row>
    <row r="105" spans="1:7" x14ac:dyDescent="0.25">
      <c r="A105" s="101" t="s">
        <v>537</v>
      </c>
      <c r="B105" s="17">
        <v>6343591</v>
      </c>
      <c r="C105" s="17">
        <v>1262250</v>
      </c>
      <c r="D105" s="17">
        <f t="shared" si="1"/>
        <v>1262250</v>
      </c>
      <c r="E105" s="49">
        <f>VLOOKUP($A105,'Data shares'!$C:$FA,128)*100</f>
        <v>2.8899999999999997</v>
      </c>
      <c r="F105" s="49">
        <f>VLOOKUP($A105,'Data shares'!$C:$FA,129)</f>
        <v>156800</v>
      </c>
      <c r="G105" s="17"/>
    </row>
    <row r="106" spans="1:7" x14ac:dyDescent="0.25">
      <c r="A106" s="101" t="s">
        <v>256</v>
      </c>
      <c r="B106" s="17">
        <v>62880735</v>
      </c>
      <c r="C106" s="17">
        <v>20391250</v>
      </c>
      <c r="D106" s="17">
        <f t="shared" si="1"/>
        <v>20391250</v>
      </c>
      <c r="E106" s="49">
        <f>VLOOKUP($A106,'Data shares'!$C:$FA,128)*100</f>
        <v>4.8599999999999994</v>
      </c>
      <c r="F106" s="49">
        <f>VLOOKUP($A106,'Data shares'!$C:$FA,129)</f>
        <v>137025</v>
      </c>
      <c r="G106" s="17"/>
    </row>
    <row r="107" spans="1:7" x14ac:dyDescent="0.25">
      <c r="A107" s="101" t="s">
        <v>514</v>
      </c>
      <c r="B107" s="17">
        <v>179174844</v>
      </c>
      <c r="C107" s="17">
        <v>67477500</v>
      </c>
      <c r="D107" s="17">
        <f t="shared" si="1"/>
        <v>67477500</v>
      </c>
      <c r="E107" s="49">
        <f>VLOOKUP($A107,'Data shares'!$C:$FA,128)*100</f>
        <v>4.5699999999999994</v>
      </c>
      <c r="F107" s="49">
        <f>VLOOKUP($A107,'Data shares'!$C:$FA,129)</f>
        <v>3327600</v>
      </c>
      <c r="G107" s="17"/>
    </row>
    <row r="108" spans="1:7" x14ac:dyDescent="0.25">
      <c r="A108" s="101" t="s">
        <v>272</v>
      </c>
      <c r="B108" s="17">
        <v>150000017</v>
      </c>
      <c r="C108" s="17">
        <v>35217000</v>
      </c>
      <c r="D108" s="17">
        <f t="shared" si="1"/>
        <v>35217000</v>
      </c>
      <c r="E108" s="49">
        <f>VLOOKUP($A108,'Data shares'!$C:$FA,128)*100</f>
        <v>1.1100000000000001</v>
      </c>
      <c r="F108" s="49">
        <f>VLOOKUP($A108,'Data shares'!$C:$FA,129)</f>
        <v>338200</v>
      </c>
      <c r="G108" s="17"/>
    </row>
    <row r="109" spans="1:7" x14ac:dyDescent="0.25">
      <c r="A109" s="101" t="s">
        <v>470</v>
      </c>
      <c r="B109" s="17">
        <v>6091932</v>
      </c>
      <c r="C109" s="17">
        <v>1893300</v>
      </c>
      <c r="D109" s="17">
        <f t="shared" si="1"/>
        <v>1893300</v>
      </c>
      <c r="E109" s="49">
        <f>VLOOKUP($A109,'Data shares'!$C:$FA,128)*100</f>
        <v>2.86</v>
      </c>
      <c r="F109" s="49">
        <f>VLOOKUP($A109,'Data shares'!$C:$FA,129)</f>
        <v>482025</v>
      </c>
      <c r="G109" s="17"/>
    </row>
    <row r="110" spans="1:7" x14ac:dyDescent="0.25">
      <c r="A110" s="101" t="s">
        <v>176</v>
      </c>
      <c r="B110" s="17">
        <v>12437219</v>
      </c>
      <c r="C110" s="17">
        <v>1155950</v>
      </c>
      <c r="D110" s="17">
        <f t="shared" si="1"/>
        <v>1155950</v>
      </c>
      <c r="E110" s="49">
        <f>VLOOKUP($A110,'Data shares'!$C:$FA,128)*100</f>
        <v>8.83</v>
      </c>
      <c r="F110" s="49">
        <f>VLOOKUP($A110,'Data shares'!$C:$FA,129)</f>
        <v>935400</v>
      </c>
      <c r="G110" s="17"/>
    </row>
    <row r="111" spans="1:7" x14ac:dyDescent="0.25">
      <c r="A111" s="101" t="s">
        <v>524</v>
      </c>
      <c r="B111" s="17">
        <v>16479425</v>
      </c>
      <c r="C111" s="17">
        <v>1670750</v>
      </c>
      <c r="D111" s="17">
        <f t="shared" si="1"/>
        <v>1670750</v>
      </c>
      <c r="E111" s="49">
        <f>VLOOKUP($A111,'Data shares'!$C:$FA,128)*100</f>
        <v>0.92999999999999994</v>
      </c>
      <c r="F111" s="49">
        <f>VLOOKUP($A111,'Data shares'!$C:$FA,129)</f>
        <v>23075</v>
      </c>
      <c r="G111" s="17"/>
    </row>
    <row r="112" spans="1:7" x14ac:dyDescent="0.25">
      <c r="A112" s="101" t="s">
        <v>487</v>
      </c>
      <c r="B112" s="17">
        <v>16533935</v>
      </c>
      <c r="C112" s="17">
        <v>1807050</v>
      </c>
      <c r="D112" s="17">
        <f t="shared" si="1"/>
        <v>1807050</v>
      </c>
      <c r="E112" s="49">
        <f>VLOOKUP($A112,'Data shares'!$C:$FA,128)*100</f>
        <v>0.74</v>
      </c>
      <c r="F112" s="49">
        <f>VLOOKUP($A112,'Data shares'!$C:$FA,129)</f>
        <v>34925</v>
      </c>
      <c r="G112" s="17"/>
    </row>
    <row r="113" spans="1:7" x14ac:dyDescent="0.25">
      <c r="A113" s="101" t="s">
        <v>305</v>
      </c>
      <c r="B113" s="17">
        <v>46126252</v>
      </c>
      <c r="C113" s="17">
        <v>7513500</v>
      </c>
      <c r="D113" s="17">
        <f t="shared" si="1"/>
        <v>7513500</v>
      </c>
      <c r="E113" s="49">
        <f>VLOOKUP($A113,'Data shares'!$C:$FA,128)*100</f>
        <v>2.5100000000000002</v>
      </c>
      <c r="F113" s="49">
        <f>VLOOKUP($A113,'Data shares'!$C:$FA,129)</f>
        <v>245250</v>
      </c>
      <c r="G113" s="17"/>
    </row>
    <row r="114" spans="1:7" x14ac:dyDescent="0.25">
      <c r="A114" s="101" t="s">
        <v>238</v>
      </c>
      <c r="B114" s="17">
        <v>19428657</v>
      </c>
      <c r="C114" s="17">
        <v>5637750</v>
      </c>
      <c r="D114" s="17">
        <f t="shared" si="1"/>
        <v>5637750</v>
      </c>
      <c r="E114" s="49">
        <f>VLOOKUP($A114,'Data shares'!$C:$FA,128)*100</f>
        <v>3.26</v>
      </c>
      <c r="F114" s="49">
        <f>VLOOKUP($A114,'Data shares'!$C:$FA,129)</f>
        <v>217500</v>
      </c>
      <c r="G114" s="17"/>
    </row>
    <row r="115" spans="1:7" x14ac:dyDescent="0.25">
      <c r="A115" s="101" t="s">
        <v>527</v>
      </c>
      <c r="B115" s="17">
        <v>7494363</v>
      </c>
      <c r="C115" s="17">
        <v>739375</v>
      </c>
      <c r="D115" s="17">
        <f t="shared" si="1"/>
        <v>739375</v>
      </c>
      <c r="E115" s="49">
        <f>VLOOKUP($A115,'Data shares'!$C:$FA,128)*100</f>
        <v>10.25</v>
      </c>
      <c r="F115" s="49">
        <f>VLOOKUP($A115,'Data shares'!$C:$FA,129)</f>
        <v>19192450</v>
      </c>
      <c r="G115" s="17"/>
    </row>
    <row r="116" spans="1:7" x14ac:dyDescent="0.25">
      <c r="A116" s="101" t="s">
        <v>489</v>
      </c>
      <c r="B116" s="17">
        <v>9087752</v>
      </c>
      <c r="C116" s="17">
        <v>1575750</v>
      </c>
      <c r="D116" s="17">
        <f t="shared" si="1"/>
        <v>1575750</v>
      </c>
      <c r="E116" s="49">
        <f>VLOOKUP($A116,'Data shares'!$C:$FA,128)*100</f>
        <v>2.0500000000000003</v>
      </c>
      <c r="F116" s="49">
        <f>VLOOKUP($A116,'Data shares'!$C:$FA,129)</f>
        <v>693000</v>
      </c>
      <c r="G116" s="17"/>
    </row>
    <row r="117" spans="1:7" x14ac:dyDescent="0.25">
      <c r="A117" s="101" t="s">
        <v>484</v>
      </c>
      <c r="B117" s="17">
        <v>3300938</v>
      </c>
      <c r="C117" s="17">
        <v>190125</v>
      </c>
      <c r="D117" s="17">
        <f t="shared" si="1"/>
        <v>190125</v>
      </c>
      <c r="E117" s="49">
        <f>VLOOKUP($A117,'Data shares'!$C:$FA,128)*100</f>
        <v>2.67</v>
      </c>
      <c r="F117" s="49">
        <f>VLOOKUP($A117,'Data shares'!$C:$FA,129)</f>
        <v>1452100</v>
      </c>
      <c r="G117" s="17"/>
    </row>
    <row r="118" spans="1:7" x14ac:dyDescent="0.25">
      <c r="A118" s="101" t="s">
        <v>285</v>
      </c>
      <c r="B118" s="17">
        <v>17806068</v>
      </c>
      <c r="C118" s="17">
        <v>1857900</v>
      </c>
      <c r="D118" s="17">
        <f t="shared" si="1"/>
        <v>1857900</v>
      </c>
      <c r="E118" s="49">
        <f>VLOOKUP($A118,'Data shares'!$C:$FA,128)*100</f>
        <v>1.3599999999999999</v>
      </c>
      <c r="F118" s="49">
        <f>VLOOKUP($A118,'Data shares'!$C:$FA,129)</f>
        <v>43925</v>
      </c>
      <c r="G118" s="17"/>
    </row>
    <row r="119" spans="1:7" x14ac:dyDescent="0.25">
      <c r="A119" s="101" t="s">
        <v>554</v>
      </c>
      <c r="B119" s="17">
        <v>18562709</v>
      </c>
      <c r="C119" s="17">
        <v>2173500</v>
      </c>
      <c r="D119" s="17">
        <f t="shared" si="1"/>
        <v>2173500</v>
      </c>
      <c r="E119" s="49">
        <f>VLOOKUP($A119,'Data shares'!$C:$FA,128)*100</f>
        <v>3.36</v>
      </c>
      <c r="F119" s="49">
        <f>VLOOKUP($A119,'Data shares'!$C:$FA,129)</f>
        <v>2945525</v>
      </c>
      <c r="G119" s="17"/>
    </row>
    <row r="120" spans="1:7" x14ac:dyDescent="0.25">
      <c r="A120" s="101" t="s">
        <v>293</v>
      </c>
      <c r="B120" s="17">
        <v>339616396</v>
      </c>
      <c r="C120" s="17">
        <v>214528500</v>
      </c>
      <c r="D120" s="17">
        <f t="shared" si="1"/>
        <v>214528500</v>
      </c>
      <c r="E120" s="49">
        <f>VLOOKUP($A120,'Data shares'!$C:$FA,128)*100</f>
        <v>2.76</v>
      </c>
      <c r="F120" s="49">
        <f>VLOOKUP($A120,'Data shares'!$C:$FA,129)</f>
        <v>1210750</v>
      </c>
      <c r="G120" s="17"/>
    </row>
    <row r="121" spans="1:7" x14ac:dyDescent="0.25">
      <c r="A121" s="101" t="s">
        <v>282</v>
      </c>
      <c r="B121" s="17">
        <v>289139949</v>
      </c>
      <c r="C121" s="17">
        <v>230878500</v>
      </c>
      <c r="D121" s="17">
        <f t="shared" si="1"/>
        <v>230878500</v>
      </c>
      <c r="E121" s="49">
        <f>VLOOKUP($A121,'Data shares'!$C:$FA,128)*100</f>
        <v>1.2</v>
      </c>
      <c r="F121" s="49">
        <f>VLOOKUP($A121,'Data shares'!$C:$FA,129)</f>
        <v>1602700</v>
      </c>
      <c r="G121" s="17"/>
    </row>
    <row r="122" spans="1:7" x14ac:dyDescent="0.25">
      <c r="A122" s="101" t="s">
        <v>248</v>
      </c>
      <c r="B122" s="17">
        <v>60244101</v>
      </c>
      <c r="C122" s="17">
        <v>36578000</v>
      </c>
      <c r="D122" s="17">
        <f t="shared" si="1"/>
        <v>36578000</v>
      </c>
      <c r="E122" s="49">
        <f>VLOOKUP($A122,'Data shares'!$C:$FA,128)*100</f>
        <v>1.34</v>
      </c>
      <c r="F122" s="49">
        <f>VLOOKUP($A122,'Data shares'!$C:$FA,129)</f>
        <v>388000</v>
      </c>
      <c r="G122" s="17"/>
    </row>
    <row r="123" spans="1:7" x14ac:dyDescent="0.25">
      <c r="A123" s="101" t="s">
        <v>189</v>
      </c>
      <c r="B123" s="17">
        <v>510707358</v>
      </c>
      <c r="C123" s="17">
        <v>94385350</v>
      </c>
      <c r="D123" s="17">
        <f t="shared" si="1"/>
        <v>94385350</v>
      </c>
      <c r="E123" s="49">
        <f>VLOOKUP($A123,'Data shares'!$C:$FA,128)*100</f>
        <v>16.82</v>
      </c>
      <c r="F123" s="49">
        <f>VLOOKUP($A123,'Data shares'!$C:$FA,129)</f>
        <v>9340400</v>
      </c>
      <c r="G123" s="17"/>
    </row>
    <row r="124" spans="1:7" x14ac:dyDescent="0.25">
      <c r="A124" s="101" t="s">
        <v>213</v>
      </c>
      <c r="B124" s="17">
        <v>425164259</v>
      </c>
      <c r="C124" s="17">
        <v>85375600</v>
      </c>
      <c r="D124" s="17">
        <f t="shared" si="1"/>
        <v>85375600</v>
      </c>
      <c r="E124" s="49">
        <f>VLOOKUP($A124,'Data shares'!$C:$FA,128)*100</f>
        <v>7.86</v>
      </c>
      <c r="F124" s="49">
        <f>VLOOKUP($A124,'Data shares'!$C:$FA,129)</f>
        <v>5950000</v>
      </c>
      <c r="G124" s="17"/>
    </row>
    <row r="125" spans="1:7" x14ac:dyDescent="0.25">
      <c r="A125" s="101" t="s">
        <v>295</v>
      </c>
      <c r="B125" s="17">
        <v>205769415</v>
      </c>
      <c r="C125" s="17">
        <v>21452100</v>
      </c>
      <c r="D125" s="17">
        <f t="shared" si="1"/>
        <v>21452100</v>
      </c>
      <c r="E125" s="49">
        <f>VLOOKUP($A125,'Data shares'!$C:$FA,128)*100</f>
        <v>7.1999999999999993</v>
      </c>
      <c r="F125" s="49">
        <f>VLOOKUP($A125,'Data shares'!$C:$FA,129)</f>
        <v>2469475</v>
      </c>
      <c r="G125" s="17"/>
    </row>
    <row r="126" spans="1:7" x14ac:dyDescent="0.25">
      <c r="A126" s="101" t="s">
        <v>490</v>
      </c>
      <c r="B126" s="17">
        <v>52165566</v>
      </c>
      <c r="C126" s="17">
        <v>22212750</v>
      </c>
      <c r="D126" s="17">
        <f t="shared" si="1"/>
        <v>22212750</v>
      </c>
      <c r="E126" s="49">
        <f>VLOOKUP($A126,'Data shares'!$C:$FA,128)*100</f>
        <v>7.51</v>
      </c>
      <c r="F126" s="49">
        <f>VLOOKUP($A126,'Data shares'!$C:$FA,129)</f>
        <v>8229000</v>
      </c>
      <c r="G126" s="17"/>
    </row>
    <row r="127" spans="1:7" x14ac:dyDescent="0.25">
      <c r="A127" s="101" t="s">
        <v>260</v>
      </c>
      <c r="B127" s="17">
        <v>241729538</v>
      </c>
      <c r="C127" s="17">
        <v>65383500</v>
      </c>
      <c r="D127" s="17">
        <f t="shared" si="1"/>
        <v>65383500</v>
      </c>
      <c r="E127" s="49">
        <f>VLOOKUP($A127,'Data shares'!$C:$FA,128)*100</f>
        <v>7.7299999999999995</v>
      </c>
      <c r="F127" s="49">
        <f>VLOOKUP($A127,'Data shares'!$C:$FA,129)</f>
        <v>10264350</v>
      </c>
      <c r="G127" s="17"/>
    </row>
    <row r="128" spans="1:7" x14ac:dyDescent="0.25">
      <c r="A128" s="101" t="s">
        <v>171</v>
      </c>
      <c r="B128" s="17">
        <v>56444627</v>
      </c>
      <c r="C128" s="17">
        <v>23336250</v>
      </c>
      <c r="D128" s="17">
        <f t="shared" si="1"/>
        <v>23336250</v>
      </c>
      <c r="E128" s="49">
        <f>VLOOKUP($A128,'Data shares'!$C:$FA,128)*100</f>
        <v>0.25</v>
      </c>
      <c r="F128" s="49">
        <f>VLOOKUP($A128,'Data shares'!$C:$FA,129)</f>
        <v>36300</v>
      </c>
      <c r="G128" s="17"/>
    </row>
    <row r="129" spans="1:7" x14ac:dyDescent="0.25">
      <c r="A129" s="101" t="s">
        <v>462</v>
      </c>
      <c r="B129" s="17">
        <v>88648462</v>
      </c>
      <c r="C129" s="17">
        <v>11150250</v>
      </c>
      <c r="D129" s="17">
        <f t="shared" si="1"/>
        <v>11150250</v>
      </c>
      <c r="E129" s="49">
        <f>VLOOKUP($A129,'Data shares'!$C:$FA,128)*100</f>
        <v>12.4</v>
      </c>
      <c r="F129" s="49">
        <f>VLOOKUP($A129,'Data shares'!$C:$FA,129)</f>
        <v>1258875</v>
      </c>
      <c r="G129" s="17"/>
    </row>
    <row r="130" spans="1:7" x14ac:dyDescent="0.25">
      <c r="A130" s="101" t="s">
        <v>274</v>
      </c>
      <c r="B130" s="17">
        <v>30511703</v>
      </c>
      <c r="C130" s="17">
        <v>3556000</v>
      </c>
      <c r="D130" s="17">
        <f t="shared" si="1"/>
        <v>3556000</v>
      </c>
      <c r="E130" s="49">
        <f>VLOOKUP($A130,'Data shares'!$C:$FA,128)*100</f>
        <v>1.02</v>
      </c>
      <c r="F130" s="49">
        <f>VLOOKUP($A130,'Data shares'!$C:$FA,129)</f>
        <v>65500</v>
      </c>
      <c r="G130" s="17"/>
    </row>
    <row r="131" spans="1:7" x14ac:dyDescent="0.25">
      <c r="A131" s="101" t="s">
        <v>279</v>
      </c>
      <c r="B131" s="17">
        <v>119890099</v>
      </c>
      <c r="C131" s="17">
        <v>77232800</v>
      </c>
      <c r="D131" s="17">
        <f t="shared" si="1"/>
        <v>77232800</v>
      </c>
      <c r="E131" s="49">
        <f>VLOOKUP($A131,'Data shares'!$C:$FA,128)*100</f>
        <v>0.74</v>
      </c>
      <c r="F131" s="49">
        <f>VLOOKUP($A131,'Data shares'!$C:$FA,129)</f>
        <v>425450</v>
      </c>
      <c r="G131" s="17"/>
    </row>
    <row r="132" spans="1:7" x14ac:dyDescent="0.25">
      <c r="A132" s="101" t="s">
        <v>247</v>
      </c>
      <c r="B132" s="17">
        <v>180580821</v>
      </c>
      <c r="C132" s="17">
        <v>128041552</v>
      </c>
      <c r="D132" s="17">
        <f t="shared" si="1"/>
        <v>128041552</v>
      </c>
      <c r="E132" s="49">
        <f>VLOOKUP($A132,'Data shares'!$C:$FA,128)*100</f>
        <v>3.51</v>
      </c>
      <c r="F132" s="49">
        <f>VLOOKUP($A132,'Data shares'!$C:$FA,129)</f>
        <v>212925</v>
      </c>
      <c r="G132" s="17"/>
    </row>
    <row r="133" spans="1:7" x14ac:dyDescent="0.25">
      <c r="A133" s="101" t="s">
        <v>291</v>
      </c>
      <c r="B133" s="17">
        <v>120211514</v>
      </c>
      <c r="C133" s="17">
        <v>18359325</v>
      </c>
      <c r="D133" s="17">
        <f t="shared" si="1"/>
        <v>18359325</v>
      </c>
      <c r="E133" s="49">
        <f>VLOOKUP($A133,'Data shares'!$C:$FA,128)*100</f>
        <v>10.489999999999998</v>
      </c>
      <c r="F133" s="49">
        <f>VLOOKUP($A133,'Data shares'!$C:$FA,129)</f>
        <v>934450</v>
      </c>
      <c r="G133" s="17"/>
    </row>
    <row r="134" spans="1:7" x14ac:dyDescent="0.25">
      <c r="A134" s="101" t="s">
        <v>269</v>
      </c>
      <c r="B134" s="17">
        <v>996134149</v>
      </c>
      <c r="C134" s="17">
        <v>204565900</v>
      </c>
      <c r="D134" s="17">
        <f t="shared" si="1"/>
        <v>204565900</v>
      </c>
      <c r="E134" s="49">
        <f>VLOOKUP($A134,'Data shares'!$C:$FA,128)*100</f>
        <v>18.13</v>
      </c>
      <c r="F134" s="49">
        <f>VLOOKUP($A134,'Data shares'!$C:$FA,129)</f>
        <v>18130500</v>
      </c>
      <c r="G134" s="17"/>
    </row>
    <row r="135" spans="1:7" x14ac:dyDescent="0.25">
      <c r="A135" s="101" t="s">
        <v>217</v>
      </c>
      <c r="B135" s="17">
        <v>75218562</v>
      </c>
      <c r="C135" s="17">
        <v>11613000</v>
      </c>
      <c r="D135" s="17">
        <f t="shared" ref="D135:D161" si="2">C135</f>
        <v>11613000</v>
      </c>
      <c r="E135" s="49">
        <f>VLOOKUP($A135,'Data shares'!$C:$FA,128)*100</f>
        <v>5.0500000000000007</v>
      </c>
      <c r="F135" s="49">
        <f>VLOOKUP($A135,'Data shares'!$C:$FA,129)</f>
        <v>663000</v>
      </c>
      <c r="G135" s="17"/>
    </row>
    <row r="136" spans="1:7" x14ac:dyDescent="0.25">
      <c r="A136" s="101" t="s">
        <v>495</v>
      </c>
      <c r="B136" s="17">
        <v>44974045</v>
      </c>
      <c r="C136" s="17">
        <v>4232500</v>
      </c>
      <c r="D136" s="17">
        <f t="shared" si="2"/>
        <v>4232500</v>
      </c>
      <c r="E136" s="49">
        <f>VLOOKUP($A136,'Data shares'!$C:$FA,128)*100</f>
        <v>4.5999999999999996</v>
      </c>
      <c r="F136" s="49">
        <f>VLOOKUP($A136,'Data shares'!$C:$FA,129)</f>
        <v>1106000</v>
      </c>
      <c r="G136" s="17"/>
    </row>
    <row r="137" spans="1:7" x14ac:dyDescent="0.25">
      <c r="A137" s="101" t="s">
        <v>250</v>
      </c>
      <c r="B137" s="17">
        <v>48318354</v>
      </c>
      <c r="C137" s="17">
        <v>18007250</v>
      </c>
      <c r="D137" s="17">
        <f t="shared" si="2"/>
        <v>18007250</v>
      </c>
      <c r="E137" s="49">
        <f>VLOOKUP($A137,'Data shares'!$C:$FA,128)*100</f>
        <v>5.6000000000000005</v>
      </c>
      <c r="F137" s="49">
        <f>VLOOKUP($A137,'Data shares'!$C:$FA,129)</f>
        <v>379525</v>
      </c>
      <c r="G137" s="17"/>
    </row>
    <row r="138" spans="1:7" x14ac:dyDescent="0.25">
      <c r="A138" s="101" t="s">
        <v>278</v>
      </c>
      <c r="B138" s="17">
        <v>27187764</v>
      </c>
      <c r="C138" s="17">
        <v>3521550</v>
      </c>
      <c r="D138" s="17">
        <f t="shared" si="2"/>
        <v>3521550</v>
      </c>
      <c r="E138" s="49">
        <f>VLOOKUP($A138,'Data shares'!$C:$FA,128)*100</f>
        <v>4.25</v>
      </c>
      <c r="F138" s="49">
        <f>VLOOKUP($A138,'Data shares'!$C:$FA,129)</f>
        <v>245700</v>
      </c>
      <c r="G138" s="17"/>
    </row>
    <row r="139" spans="1:7" x14ac:dyDescent="0.25">
      <c r="A139" s="101" t="s">
        <v>163</v>
      </c>
      <c r="B139" s="17">
        <v>24576009</v>
      </c>
      <c r="C139" s="17">
        <v>11979000</v>
      </c>
      <c r="D139" s="17">
        <f t="shared" si="2"/>
        <v>11979000</v>
      </c>
      <c r="E139" s="49">
        <f>VLOOKUP($A139,'Data shares'!$C:$FA,128)*100</f>
        <v>0.65</v>
      </c>
      <c r="F139" s="49">
        <f>VLOOKUP($A139,'Data shares'!$C:$FA,129)</f>
        <v>3250</v>
      </c>
      <c r="G139" s="17"/>
    </row>
    <row r="140" spans="1:7" x14ac:dyDescent="0.25">
      <c r="A140" s="101" t="s">
        <v>289</v>
      </c>
      <c r="B140" s="17">
        <v>19704232</v>
      </c>
      <c r="C140" s="17">
        <v>15520500</v>
      </c>
      <c r="D140" s="17">
        <f t="shared" si="2"/>
        <v>15520500</v>
      </c>
      <c r="E140" s="49">
        <f>VLOOKUP($A140,'Data shares'!$C:$FA,128)*100</f>
        <v>12.790000000000001</v>
      </c>
      <c r="F140" s="49">
        <f>VLOOKUP($A140,'Data shares'!$C:$FA,129)</f>
        <v>3521350</v>
      </c>
      <c r="G140" s="17"/>
    </row>
    <row r="141" spans="1:7" x14ac:dyDescent="0.25">
      <c r="A141" s="101" t="s">
        <v>529</v>
      </c>
      <c r="B141" s="17">
        <v>10012679</v>
      </c>
      <c r="C141" s="17">
        <v>530550</v>
      </c>
      <c r="D141" s="17">
        <f t="shared" si="2"/>
        <v>530550</v>
      </c>
      <c r="E141" s="49">
        <f>VLOOKUP($A141,'Data shares'!$C:$FA,128)*100</f>
        <v>2.78</v>
      </c>
      <c r="F141" s="49">
        <f>VLOOKUP($A141,'Data shares'!$C:$FA,129)</f>
        <v>111100</v>
      </c>
      <c r="G141" s="17"/>
    </row>
    <row r="142" spans="1:7" x14ac:dyDescent="0.25">
      <c r="A142" s="101" t="s">
        <v>265</v>
      </c>
      <c r="B142" s="17">
        <v>7180127</v>
      </c>
      <c r="C142" s="17">
        <v>429550</v>
      </c>
      <c r="D142" s="17">
        <f t="shared" si="2"/>
        <v>429550</v>
      </c>
      <c r="E142" s="49">
        <f>VLOOKUP($A142,'Data shares'!$C:$FA,128)*100</f>
        <v>7.3</v>
      </c>
      <c r="F142" s="49">
        <f>VLOOKUP($A142,'Data shares'!$C:$FA,129)</f>
        <v>1047000</v>
      </c>
      <c r="G142" s="17"/>
    </row>
    <row r="143" spans="1:7" x14ac:dyDescent="0.25">
      <c r="A143" s="101" t="s">
        <v>486</v>
      </c>
      <c r="B143" s="17">
        <v>32559242</v>
      </c>
      <c r="C143" s="17">
        <v>4156800</v>
      </c>
      <c r="D143" s="17">
        <f t="shared" si="2"/>
        <v>4156800</v>
      </c>
      <c r="E143" s="49">
        <f>VLOOKUP($A143,'Data shares'!$C:$FA,128)*100</f>
        <v>1.44</v>
      </c>
      <c r="F143" s="49">
        <f>VLOOKUP($A143,'Data shares'!$C:$FA,129)</f>
        <v>48125</v>
      </c>
      <c r="G143" s="17"/>
    </row>
    <row r="144" spans="1:7" x14ac:dyDescent="0.25">
      <c r="A144" s="101" t="s">
        <v>190</v>
      </c>
      <c r="B144" s="17">
        <v>256482590</v>
      </c>
      <c r="C144" s="17">
        <v>208761000</v>
      </c>
      <c r="D144" s="17">
        <f t="shared" si="2"/>
        <v>208761000</v>
      </c>
      <c r="E144" s="49">
        <f>VLOOKUP($A144,'Data shares'!$C:$FA,128)*100</f>
        <v>3.29</v>
      </c>
      <c r="F144" s="49">
        <f>VLOOKUP($A144,'Data shares'!$C:$FA,129)</f>
        <v>3451875</v>
      </c>
      <c r="G144" s="17"/>
    </row>
    <row r="145" spans="1:7" x14ac:dyDescent="0.25">
      <c r="A145" s="101" t="s">
        <v>303</v>
      </c>
      <c r="B145" s="17">
        <v>109653438</v>
      </c>
      <c r="C145" s="17">
        <v>37709100</v>
      </c>
      <c r="D145" s="17">
        <f t="shared" si="2"/>
        <v>37709100</v>
      </c>
      <c r="E145" s="49">
        <f>VLOOKUP($A145,'Data shares'!$C:$FA,128)*100</f>
        <v>1.08</v>
      </c>
      <c r="F145" s="49">
        <f>VLOOKUP($A145,'Data shares'!$C:$FA,129)</f>
        <v>295390</v>
      </c>
      <c r="G145" s="17"/>
    </row>
    <row r="146" spans="1:7" x14ac:dyDescent="0.25">
      <c r="A146" s="101" t="s">
        <v>255</v>
      </c>
      <c r="B146" s="17">
        <v>26359259</v>
      </c>
      <c r="C146" s="17">
        <v>6916100</v>
      </c>
      <c r="D146" s="17">
        <f t="shared" si="2"/>
        <v>6916100</v>
      </c>
      <c r="E146" s="49">
        <f>VLOOKUP($A146,'Data shares'!$C:$FA,128)*100</f>
        <v>19.62</v>
      </c>
      <c r="F146" s="49">
        <f>VLOOKUP($A146,'Data shares'!$C:$FA,129)</f>
        <v>570800</v>
      </c>
      <c r="G146" s="17"/>
    </row>
    <row r="147" spans="1:7" x14ac:dyDescent="0.25">
      <c r="A147" s="101" t="s">
        <v>180</v>
      </c>
      <c r="B147" s="17">
        <v>372635498</v>
      </c>
      <c r="C147" s="17">
        <v>233426700</v>
      </c>
      <c r="D147" s="17">
        <f t="shared" si="2"/>
        <v>233426700</v>
      </c>
      <c r="E147" s="49">
        <f>VLOOKUP($A147,'Data shares'!$C:$FA,128)*100</f>
        <v>8.18</v>
      </c>
      <c r="F147" s="49">
        <f>VLOOKUP($A147,'Data shares'!$C:$FA,129)</f>
        <v>8815950</v>
      </c>
      <c r="G147" s="17"/>
    </row>
    <row r="148" spans="1:7" x14ac:dyDescent="0.25">
      <c r="A148" s="101" t="s">
        <v>179</v>
      </c>
      <c r="B148" s="17">
        <v>193321473</v>
      </c>
      <c r="C148" s="17">
        <v>47098800</v>
      </c>
      <c r="D148" s="17">
        <f t="shared" si="2"/>
        <v>47098800</v>
      </c>
      <c r="E148" s="49">
        <f>VLOOKUP($A148,'Data shares'!$C:$FA,128)*100</f>
        <v>2.25</v>
      </c>
      <c r="F148" s="49">
        <f>VLOOKUP($A148,'Data shares'!$C:$FA,129)</f>
        <v>2026800</v>
      </c>
    </row>
    <row r="149" spans="1:7" x14ac:dyDescent="0.25">
      <c r="A149" s="101" t="s">
        <v>253</v>
      </c>
      <c r="B149" s="17">
        <v>109926618</v>
      </c>
      <c r="C149" s="17">
        <v>54285000</v>
      </c>
      <c r="D149" s="17">
        <f t="shared" si="2"/>
        <v>54285000</v>
      </c>
      <c r="E149" s="49">
        <f>VLOOKUP($A149,'Data shares'!$C:$FA,128)*100</f>
        <v>0.64</v>
      </c>
      <c r="F149" s="49">
        <f>VLOOKUP($A149,'Data shares'!$C:$FA,129)</f>
        <v>300000</v>
      </c>
    </row>
    <row r="150" spans="1:7" x14ac:dyDescent="0.25">
      <c r="A150" s="101" t="s">
        <v>261</v>
      </c>
      <c r="B150" s="17">
        <v>611563</v>
      </c>
      <c r="C150" s="17">
        <v>120180</v>
      </c>
      <c r="D150" s="17">
        <f t="shared" si="2"/>
        <v>120180</v>
      </c>
      <c r="E150" s="49">
        <f>VLOOKUP($A150,'Data shares'!$C:$FA,128)*100</f>
        <v>0.74</v>
      </c>
      <c r="F150" s="49">
        <f>VLOOKUP($A150,'Data shares'!$C:$FA,129)</f>
        <v>34925</v>
      </c>
    </row>
    <row r="151" spans="1:7" x14ac:dyDescent="0.25">
      <c r="A151" s="101" t="s">
        <v>164</v>
      </c>
      <c r="B151" s="17">
        <v>145854205</v>
      </c>
      <c r="C151" s="17">
        <v>46824000</v>
      </c>
      <c r="D151" s="17">
        <f t="shared" si="2"/>
        <v>46824000</v>
      </c>
      <c r="E151" s="49">
        <f>VLOOKUP($A151,'Data shares'!$C:$FA,128)*100</f>
        <v>1.96</v>
      </c>
      <c r="F151" s="49">
        <f>VLOOKUP($A151,'Data shares'!$C:$FA,129)</f>
        <v>1087500</v>
      </c>
    </row>
    <row r="152" spans="1:7" x14ac:dyDescent="0.25">
      <c r="A152" s="101" t="s">
        <v>526</v>
      </c>
      <c r="B152" s="17">
        <v>44365911</v>
      </c>
      <c r="C152" s="17">
        <v>20668300</v>
      </c>
      <c r="D152" s="17">
        <f t="shared" si="2"/>
        <v>20668300</v>
      </c>
      <c r="E152" s="49">
        <f>VLOOKUP($A152,'Data shares'!$C:$FA,128)*100</f>
        <v>8.06</v>
      </c>
      <c r="F152" s="49">
        <f>VLOOKUP($A152,'Data shares'!$C:$FA,129)</f>
        <v>1732000</v>
      </c>
    </row>
    <row r="153" spans="1:7" x14ac:dyDescent="0.25">
      <c r="A153" s="101" t="s">
        <v>515</v>
      </c>
      <c r="B153" s="17">
        <v>3083179</v>
      </c>
      <c r="C153" s="17">
        <v>492075</v>
      </c>
      <c r="D153" s="17">
        <f t="shared" si="2"/>
        <v>492075</v>
      </c>
      <c r="E153" s="49">
        <f>VLOOKUP($A153,'Data shares'!$C:$FA,128)*100</f>
        <v>8.06</v>
      </c>
      <c r="F153" s="49">
        <f>VLOOKUP($A153,'Data shares'!$C:$FA,129)</f>
        <v>1732000</v>
      </c>
    </row>
    <row r="154" spans="1:7" x14ac:dyDescent="0.25">
      <c r="A154" s="101" t="s">
        <v>226</v>
      </c>
      <c r="B154" s="17">
        <v>26072630</v>
      </c>
      <c r="C154" s="17">
        <v>9897900</v>
      </c>
      <c r="D154" s="17">
        <f t="shared" si="2"/>
        <v>9897900</v>
      </c>
      <c r="E154" s="49">
        <f>VLOOKUP($A154,'Data shares'!$C:$FA,128)*100</f>
        <v>6.72</v>
      </c>
      <c r="F154" s="49">
        <f>VLOOKUP($A154,'Data shares'!$C:$FA,129)</f>
        <v>276600</v>
      </c>
    </row>
    <row r="155" spans="1:7" x14ac:dyDescent="0.25">
      <c r="A155" s="101" t="s">
        <v>544</v>
      </c>
      <c r="B155" s="17">
        <v>139989683</v>
      </c>
      <c r="C155" s="17">
        <v>28415200</v>
      </c>
      <c r="D155" s="17">
        <f t="shared" si="2"/>
        <v>28415200</v>
      </c>
      <c r="E155" s="49">
        <f>VLOOKUP($A155,'Data shares'!$C:$FA,128)*100</f>
        <v>1.8800000000000001</v>
      </c>
      <c r="F155" s="49">
        <f>VLOOKUP($A155,'Data shares'!$C:$FA,129)</f>
        <v>722300</v>
      </c>
    </row>
    <row r="156" spans="1:7" x14ac:dyDescent="0.25">
      <c r="A156" s="101" t="s">
        <v>547</v>
      </c>
      <c r="B156" s="17">
        <v>65482129</v>
      </c>
      <c r="C156" s="17">
        <v>33944200</v>
      </c>
      <c r="D156" s="17">
        <f t="shared" si="2"/>
        <v>33944200</v>
      </c>
      <c r="E156" s="49">
        <f>VLOOKUP($A156,'Data shares'!$C:$FA,128)*100</f>
        <v>9.4700000000000006</v>
      </c>
      <c r="F156" s="49">
        <f>VLOOKUP($A156,'Data shares'!$C:$FA,129)</f>
        <v>2986900</v>
      </c>
    </row>
    <row r="157" spans="1:7" x14ac:dyDescent="0.25">
      <c r="A157" s="101" t="s">
        <v>499</v>
      </c>
      <c r="B157" s="17">
        <v>66687240</v>
      </c>
      <c r="C157" s="17">
        <v>16125200</v>
      </c>
      <c r="D157" s="17">
        <f t="shared" si="2"/>
        <v>16125200</v>
      </c>
      <c r="E157" s="49">
        <f>VLOOKUP($A157,'Data shares'!$C:$FA,128)*100</f>
        <v>1.8800000000000001</v>
      </c>
      <c r="F157" s="49">
        <f>VLOOKUP($A157,'Data shares'!$C:$FA,129)</f>
        <v>722300</v>
      </c>
    </row>
    <row r="158" spans="1:7" x14ac:dyDescent="0.25">
      <c r="A158" s="101" t="s">
        <v>483</v>
      </c>
      <c r="B158" s="17">
        <v>16146181</v>
      </c>
      <c r="C158" s="17">
        <v>1914250</v>
      </c>
      <c r="D158" s="17">
        <f t="shared" si="2"/>
        <v>1914250</v>
      </c>
      <c r="E158" s="49">
        <f>VLOOKUP($A158,'Data shares'!$C:$FA,128)*100</f>
        <v>2.0500000000000003</v>
      </c>
      <c r="F158" s="49">
        <f>VLOOKUP($A158,'Data shares'!$C:$FA,129)</f>
        <v>52150</v>
      </c>
    </row>
    <row r="159" spans="1:7" x14ac:dyDescent="0.25">
      <c r="A159" s="101" t="s">
        <v>546</v>
      </c>
      <c r="B159" s="17">
        <v>18282414</v>
      </c>
      <c r="C159" s="17">
        <v>13742300</v>
      </c>
      <c r="D159" s="17">
        <f t="shared" si="2"/>
        <v>13742300</v>
      </c>
      <c r="E159" s="49">
        <f>VLOOKUP($A159,'Data shares'!$C:$FA,128)*100</f>
        <v>4.99</v>
      </c>
      <c r="F159" s="49">
        <f>VLOOKUP($A159,'Data shares'!$C:$FA,129)</f>
        <v>6779700</v>
      </c>
    </row>
    <row r="160" spans="1:7" x14ac:dyDescent="0.25">
      <c r="A160" s="101" t="s">
        <v>220</v>
      </c>
      <c r="B160" s="17">
        <v>50687734</v>
      </c>
      <c r="C160" s="17">
        <v>6783500</v>
      </c>
      <c r="D160" s="17">
        <f t="shared" si="2"/>
        <v>6783500</v>
      </c>
      <c r="E160" s="49">
        <f>VLOOKUP($A160,'Data shares'!$C:$FA,128)*100</f>
        <v>4.47</v>
      </c>
      <c r="F160" s="49">
        <f>VLOOKUP($A160,'Data shares'!$C:$FA,129)</f>
        <v>470000</v>
      </c>
    </row>
    <row r="161" spans="1:6" x14ac:dyDescent="0.25">
      <c r="A161" s="101" t="s">
        <v>472</v>
      </c>
      <c r="B161" s="17">
        <v>50993734</v>
      </c>
      <c r="C161" s="17">
        <v>3803750</v>
      </c>
      <c r="D161" s="17">
        <f t="shared" si="2"/>
        <v>3803750</v>
      </c>
      <c r="E161" s="49">
        <f>VLOOKUP($A161,'Data shares'!$C:$FA,128)*100</f>
        <v>5.6899999999999995</v>
      </c>
      <c r="F161" s="49">
        <f>VLOOKUP($A161,'Data shares'!$C:$FA,129)</f>
        <v>296075</v>
      </c>
    </row>
    <row r="162" spans="1:6" x14ac:dyDescent="0.25">
      <c r="A162" t="s">
        <v>535</v>
      </c>
      <c r="B162">
        <v>78168147</v>
      </c>
      <c r="C162">
        <v>9571500</v>
      </c>
      <c r="D162" s="17">
        <f t="shared" ref="D162:D204" si="3">C162</f>
        <v>9571500</v>
      </c>
      <c r="E162" s="49">
        <f>VLOOKUP($A162,'Data shares'!$C:$FA,128)*100</f>
        <v>1.1900000000000002</v>
      </c>
      <c r="F162" s="49">
        <f>VLOOKUP($A162,'Data shares'!$C:$FA,129)</f>
        <v>186150</v>
      </c>
    </row>
    <row r="163" spans="1:6" x14ac:dyDescent="0.25">
      <c r="A163" t="s">
        <v>492</v>
      </c>
      <c r="B163">
        <v>28779078</v>
      </c>
      <c r="C163">
        <v>14404150</v>
      </c>
      <c r="D163" s="17">
        <f t="shared" si="3"/>
        <v>14404150</v>
      </c>
      <c r="E163" s="49">
        <f>VLOOKUP($A163,'Data shares'!$C:$FA,128)*100</f>
        <v>10.83</v>
      </c>
      <c r="F163" s="49">
        <f>VLOOKUP($A163,'Data shares'!$C:$FA,129)</f>
        <v>785975</v>
      </c>
    </row>
    <row r="164" spans="1:6" x14ac:dyDescent="0.25">
      <c r="A164" t="s">
        <v>298</v>
      </c>
      <c r="B164">
        <v>9731600</v>
      </c>
      <c r="C164">
        <v>863500</v>
      </c>
      <c r="D164" s="17">
        <f t="shared" si="3"/>
        <v>863500</v>
      </c>
      <c r="E164" s="49">
        <f>VLOOKUP($A164,'Data shares'!$C:$FA,128)*100</f>
        <v>0.24</v>
      </c>
      <c r="F164" s="49">
        <f>VLOOKUP($A164,'Data shares'!$C:$FA,129)</f>
        <v>6125</v>
      </c>
    </row>
    <row r="165" spans="1:6" x14ac:dyDescent="0.25">
      <c r="A165" t="s">
        <v>548</v>
      </c>
      <c r="B165">
        <v>442076</v>
      </c>
      <c r="C165">
        <v>9615</v>
      </c>
      <c r="D165" s="17">
        <f t="shared" si="3"/>
        <v>9615</v>
      </c>
      <c r="E165" s="49">
        <f>VLOOKUP($A165,'Data shares'!$C:$FA,128)*100</f>
        <v>3.35</v>
      </c>
      <c r="F165" s="49">
        <f>VLOOKUP($A165,'Data shares'!$C:$FA,129)</f>
        <v>1021650</v>
      </c>
    </row>
    <row r="166" spans="1:6" x14ac:dyDescent="0.25">
      <c r="A166" t="s">
        <v>530</v>
      </c>
      <c r="B166">
        <v>3258166</v>
      </c>
      <c r="C166">
        <v>219750</v>
      </c>
      <c r="D166" s="17">
        <f t="shared" si="3"/>
        <v>219750</v>
      </c>
      <c r="E166" s="49">
        <f>VLOOKUP($A166,'Data shares'!$C:$FA,128)*100</f>
        <v>4.78</v>
      </c>
      <c r="F166" s="49">
        <f>VLOOKUP($A166,'Data shares'!$C:$FA,129)</f>
        <v>326825</v>
      </c>
    </row>
    <row r="167" spans="1:6" x14ac:dyDescent="0.25">
      <c r="A167" t="s">
        <v>249</v>
      </c>
      <c r="B167">
        <v>277168216</v>
      </c>
      <c r="C167">
        <v>21795375</v>
      </c>
      <c r="D167" s="17">
        <f t="shared" si="3"/>
        <v>21795375</v>
      </c>
      <c r="E167" s="49">
        <f>VLOOKUP($A167,'Data shares'!$C:$FA,128)*100</f>
        <v>4.74</v>
      </c>
      <c r="F167" s="49">
        <f>VLOOKUP($A167,'Data shares'!$C:$FA,129)</f>
        <v>635425</v>
      </c>
    </row>
    <row r="168" spans="1:6" x14ac:dyDescent="0.25">
      <c r="A168" t="s">
        <v>216</v>
      </c>
      <c r="B168">
        <v>484955219</v>
      </c>
      <c r="C168">
        <v>230400000</v>
      </c>
      <c r="D168" s="17">
        <f t="shared" si="3"/>
        <v>230400000</v>
      </c>
      <c r="E168" s="49">
        <f>VLOOKUP($A168,'Data shares'!$C:$FA,128)*100</f>
        <v>4.99</v>
      </c>
      <c r="F168" s="49">
        <f>VLOOKUP($A168,'Data shares'!$C:$FA,129)</f>
        <v>6779700</v>
      </c>
    </row>
    <row r="169" spans="1:6" x14ac:dyDescent="0.25">
      <c r="A169" t="s">
        <v>252</v>
      </c>
      <c r="B169">
        <v>117640832</v>
      </c>
      <c r="C169">
        <v>52456000</v>
      </c>
      <c r="D169" s="17">
        <f t="shared" si="3"/>
        <v>52456000</v>
      </c>
      <c r="E169" s="49">
        <f>VLOOKUP($A169,'Data shares'!$C:$FA,128)*100</f>
        <v>14.05</v>
      </c>
      <c r="F169" s="49">
        <f>VLOOKUP($A169,'Data shares'!$C:$FA,129)</f>
        <v>2769000</v>
      </c>
    </row>
    <row r="170" spans="1:6" x14ac:dyDescent="0.25">
      <c r="A170" t="s">
        <v>205</v>
      </c>
      <c r="B170">
        <v>25513876</v>
      </c>
      <c r="C170">
        <v>3302300</v>
      </c>
      <c r="D170" s="17">
        <f t="shared" si="3"/>
        <v>3302300</v>
      </c>
      <c r="E170" s="49">
        <f>VLOOKUP($A170,'Data shares'!$C:$FA,128)*100</f>
        <v>12.049999999999999</v>
      </c>
      <c r="F170" s="49">
        <f>VLOOKUP($A170,'Data shares'!$C:$FA,129)</f>
        <v>290100</v>
      </c>
    </row>
    <row r="171" spans="1:6" x14ac:dyDescent="0.25">
      <c r="A171" t="s">
        <v>194</v>
      </c>
      <c r="B171">
        <v>202646440</v>
      </c>
      <c r="C171">
        <v>52470000</v>
      </c>
      <c r="D171" s="17">
        <f t="shared" si="3"/>
        <v>52470000</v>
      </c>
      <c r="E171" s="49">
        <f>VLOOKUP($A171,'Data shares'!$C:$FA,128)*100</f>
        <v>9.0399999999999991</v>
      </c>
      <c r="F171" s="49">
        <f>VLOOKUP($A171,'Data shares'!$C:$FA,129)</f>
        <v>4892075</v>
      </c>
    </row>
    <row r="172" spans="1:6" x14ac:dyDescent="0.25">
      <c r="A172" t="s">
        <v>263</v>
      </c>
      <c r="B172">
        <v>178967755</v>
      </c>
      <c r="C172">
        <v>142910500</v>
      </c>
      <c r="D172" s="17">
        <f t="shared" si="3"/>
        <v>142910500</v>
      </c>
      <c r="E172" s="49">
        <f>VLOOKUP($A172,'Data shares'!$C:$FA,128)*100</f>
        <v>2.39</v>
      </c>
      <c r="F172" s="49">
        <f>VLOOKUP($A172,'Data shares'!$C:$FA,129)</f>
        <v>1171875</v>
      </c>
    </row>
    <row r="173" spans="1:6" x14ac:dyDescent="0.25">
      <c r="A173" t="s">
        <v>476</v>
      </c>
      <c r="B173">
        <v>40446155</v>
      </c>
      <c r="C173">
        <v>4358800</v>
      </c>
      <c r="D173" s="17">
        <f t="shared" si="3"/>
        <v>4358800</v>
      </c>
      <c r="E173" s="49">
        <f>VLOOKUP($A173,'Data shares'!$C:$FA,128)*100</f>
        <v>0.95</v>
      </c>
      <c r="F173" s="49">
        <f>VLOOKUP($A173,'Data shares'!$C:$FA,129)</f>
        <v>39500</v>
      </c>
    </row>
    <row r="174" spans="1:6" x14ac:dyDescent="0.25">
      <c r="A174" t="s">
        <v>187</v>
      </c>
      <c r="B174">
        <v>51436398</v>
      </c>
      <c r="C174">
        <v>7413750</v>
      </c>
      <c r="D174" s="17">
        <f t="shared" si="3"/>
        <v>7413750</v>
      </c>
      <c r="E174" s="49">
        <f>VLOOKUP($A174,'Data shares'!$C:$FA,128)*100</f>
        <v>1.0999999999999999</v>
      </c>
      <c r="F174" s="49">
        <f>VLOOKUP($A174,'Data shares'!$C:$FA,129)</f>
        <v>70000</v>
      </c>
    </row>
    <row r="175" spans="1:6" x14ac:dyDescent="0.25">
      <c r="A175" t="s">
        <v>493</v>
      </c>
      <c r="B175">
        <v>14814614</v>
      </c>
      <c r="C175">
        <v>3344250</v>
      </c>
      <c r="D175" s="17">
        <f t="shared" si="3"/>
        <v>3344250</v>
      </c>
      <c r="E175" s="49">
        <f>VLOOKUP($A175,'Data shares'!$C:$FA,128)*100</f>
        <v>0.92999999999999994</v>
      </c>
      <c r="F175" s="49">
        <f>VLOOKUP($A175,'Data shares'!$C:$FA,129)</f>
        <v>23075</v>
      </c>
    </row>
    <row r="176" spans="1:6" x14ac:dyDescent="0.25">
      <c r="A176" t="s">
        <v>525</v>
      </c>
      <c r="B176">
        <v>35635456</v>
      </c>
      <c r="C176">
        <v>28959300</v>
      </c>
      <c r="D176" s="17">
        <f t="shared" si="3"/>
        <v>28959300</v>
      </c>
      <c r="E176" s="49">
        <f>VLOOKUP($A176,'Data shares'!$C:$FA,128)*100</f>
        <v>0.91999999999999993</v>
      </c>
      <c r="F176" s="49">
        <f>VLOOKUP($A176,'Data shares'!$C:$FA,129)</f>
        <v>251075</v>
      </c>
    </row>
    <row r="177" spans="1:6" x14ac:dyDescent="0.25">
      <c r="A177" t="s">
        <v>512</v>
      </c>
      <c r="B177">
        <v>7771646</v>
      </c>
      <c r="C177">
        <v>1119375</v>
      </c>
      <c r="D177" s="17">
        <f t="shared" si="3"/>
        <v>1119375</v>
      </c>
      <c r="E177" s="49">
        <f>VLOOKUP($A177,'Data shares'!$C:$FA,128)*100</f>
        <v>5.34</v>
      </c>
      <c r="F177" s="49">
        <f>VLOOKUP($A177,'Data shares'!$C:$FA,129)</f>
        <v>152300</v>
      </c>
    </row>
    <row r="178" spans="1:6" x14ac:dyDescent="0.25">
      <c r="A178" t="s">
        <v>233</v>
      </c>
      <c r="B178">
        <v>76432837</v>
      </c>
      <c r="C178">
        <v>9804000</v>
      </c>
      <c r="D178" s="17">
        <f t="shared" si="3"/>
        <v>9804000</v>
      </c>
      <c r="E178" s="49">
        <f>VLOOKUP($A178,'Data shares'!$C:$FA,128)*100</f>
        <v>1.0900000000000001</v>
      </c>
      <c r="F178" s="49">
        <f>VLOOKUP($A178,'Data shares'!$C:$FA,129)</f>
        <v>176675</v>
      </c>
    </row>
    <row r="179" spans="1:6" x14ac:dyDescent="0.25">
      <c r="A179" t="s">
        <v>183</v>
      </c>
      <c r="B179">
        <v>12092405</v>
      </c>
      <c r="C179">
        <v>2606450</v>
      </c>
      <c r="D179" s="17">
        <f t="shared" si="3"/>
        <v>2606450</v>
      </c>
      <c r="E179" s="49">
        <f>VLOOKUP($A179,'Data shares'!$C:$FA,128)*100</f>
        <v>10.14</v>
      </c>
      <c r="F179" s="49">
        <f>VLOOKUP($A179,'Data shares'!$C:$FA,129)</f>
        <v>226770</v>
      </c>
    </row>
    <row r="180" spans="1:6" x14ac:dyDescent="0.25">
      <c r="A180" t="s">
        <v>280</v>
      </c>
      <c r="B180">
        <v>187084550</v>
      </c>
      <c r="C180">
        <v>50568000</v>
      </c>
      <c r="D180" s="17">
        <f t="shared" si="3"/>
        <v>50568000</v>
      </c>
      <c r="E180" s="49">
        <f>VLOOKUP($A180,'Data shares'!$C:$FA,128)*100</f>
        <v>5.74</v>
      </c>
      <c r="F180" s="49">
        <f>VLOOKUP($A180,'Data shares'!$C:$FA,129)</f>
        <v>3645075</v>
      </c>
    </row>
    <row r="181" spans="1:6" x14ac:dyDescent="0.25">
      <c r="A181" t="s">
        <v>166</v>
      </c>
      <c r="B181">
        <v>79597108</v>
      </c>
      <c r="C181">
        <v>26630000</v>
      </c>
      <c r="D181" s="17">
        <f t="shared" si="3"/>
        <v>26630000</v>
      </c>
      <c r="E181" s="49">
        <f>VLOOKUP($A181,'Data shares'!$C:$FA,128)*100</f>
        <v>8.57</v>
      </c>
      <c r="F181" s="49">
        <f>VLOOKUP($A181,'Data shares'!$C:$FA,129)</f>
        <v>168750</v>
      </c>
    </row>
    <row r="182" spans="1:6" x14ac:dyDescent="0.25">
      <c r="A182" t="s">
        <v>241</v>
      </c>
      <c r="B182">
        <v>913205148</v>
      </c>
      <c r="C182">
        <v>118527500</v>
      </c>
      <c r="D182" s="17">
        <f t="shared" si="3"/>
        <v>118527500</v>
      </c>
      <c r="E182" s="49">
        <f>VLOOKUP($A182,'Data shares'!$C:$FA,128)*100</f>
        <v>7.51</v>
      </c>
      <c r="F182" s="49">
        <f>VLOOKUP($A182,'Data shares'!$C:$FA,129)</f>
        <v>8229000</v>
      </c>
    </row>
    <row r="183" spans="1:6" x14ac:dyDescent="0.25">
      <c r="A183" t="s">
        <v>517</v>
      </c>
      <c r="B183">
        <v>10180563</v>
      </c>
      <c r="C183">
        <v>3926650</v>
      </c>
      <c r="D183" s="17">
        <f t="shared" si="3"/>
        <v>3926650</v>
      </c>
      <c r="E183" s="49">
        <f>VLOOKUP($A183,'Data shares'!$C:$FA,128)*100</f>
        <v>3.5000000000000004</v>
      </c>
      <c r="F183" s="49">
        <f>VLOOKUP($A183,'Data shares'!$C:$FA,129)</f>
        <v>391900</v>
      </c>
    </row>
    <row r="184" spans="1:6" x14ac:dyDescent="0.25">
      <c r="A184" t="s">
        <v>211</v>
      </c>
      <c r="B184">
        <v>91809066</v>
      </c>
      <c r="C184">
        <v>33516000</v>
      </c>
      <c r="D184" s="17">
        <f t="shared" si="3"/>
        <v>33516000</v>
      </c>
      <c r="E184" s="49">
        <f>VLOOKUP($A184,'Data shares'!$C:$FA,128)*100</f>
        <v>3.83</v>
      </c>
      <c r="F184" s="49">
        <f>VLOOKUP($A184,'Data shares'!$C:$FA,129)</f>
        <v>1026000</v>
      </c>
    </row>
    <row r="185" spans="1:6" x14ac:dyDescent="0.25">
      <c r="A185" t="s">
        <v>518</v>
      </c>
      <c r="B185">
        <v>4636018</v>
      </c>
      <c r="C185">
        <v>608375</v>
      </c>
      <c r="D185" s="17">
        <f t="shared" si="3"/>
        <v>608375</v>
      </c>
      <c r="E185" s="49">
        <f>VLOOKUP($A185,'Data shares'!$C:$FA,128)*100</f>
        <v>1.63</v>
      </c>
      <c r="F185" s="49">
        <f>VLOOKUP($A185,'Data shares'!$C:$FA,129)</f>
        <v>18725</v>
      </c>
    </row>
    <row r="186" spans="1:6" x14ac:dyDescent="0.25">
      <c r="A186" t="s">
        <v>511</v>
      </c>
      <c r="B186">
        <v>18644752</v>
      </c>
      <c r="C186">
        <v>4227600</v>
      </c>
      <c r="D186" s="17">
        <f t="shared" si="3"/>
        <v>4227600</v>
      </c>
      <c r="E186" s="49">
        <f>VLOOKUP($A186,'Data shares'!$C:$FA,128)*100</f>
        <v>10.07</v>
      </c>
      <c r="F186" s="49">
        <f>VLOOKUP($A186,'Data shares'!$C:$FA,129)</f>
        <v>21147750</v>
      </c>
    </row>
    <row r="187" spans="1:6" x14ac:dyDescent="0.25">
      <c r="A187" t="s">
        <v>186</v>
      </c>
      <c r="B187">
        <v>48589957</v>
      </c>
      <c r="C187">
        <v>5942200</v>
      </c>
      <c r="D187" s="17">
        <f t="shared" si="3"/>
        <v>5942200</v>
      </c>
      <c r="E187" s="49">
        <f>VLOOKUP($A187,'Data shares'!$C:$FA,128)*100</f>
        <v>12.1</v>
      </c>
      <c r="F187" s="49">
        <f>VLOOKUP($A187,'Data shares'!$C:$FA,129)</f>
        <v>13360800</v>
      </c>
    </row>
    <row r="188" spans="1:6" x14ac:dyDescent="0.25">
      <c r="A188" t="s">
        <v>522</v>
      </c>
      <c r="B188">
        <v>1063050</v>
      </c>
      <c r="C188">
        <v>54050</v>
      </c>
      <c r="D188" s="17">
        <f t="shared" si="3"/>
        <v>54050</v>
      </c>
      <c r="E188" s="49">
        <f>VLOOKUP($A188,'Data shares'!$C:$FA,128)*100</f>
        <v>1.87</v>
      </c>
      <c r="F188" s="49">
        <f>VLOOKUP($A188,'Data shares'!$C:$FA,129)</f>
        <v>32750</v>
      </c>
    </row>
    <row r="189" spans="1:6" x14ac:dyDescent="0.25">
      <c r="A189" t="s">
        <v>300</v>
      </c>
      <c r="B189">
        <v>45360865</v>
      </c>
      <c r="C189">
        <v>14277200</v>
      </c>
      <c r="D189" s="17">
        <f t="shared" si="3"/>
        <v>14277200</v>
      </c>
      <c r="E189" s="49">
        <f>VLOOKUP($A189,'Data shares'!$C:$FA,128)*100</f>
        <v>4.42</v>
      </c>
      <c r="F189" s="49">
        <f>VLOOKUP($A189,'Data shares'!$C:$FA,129)</f>
        <v>378525</v>
      </c>
    </row>
    <row r="190" spans="1:6" x14ac:dyDescent="0.25">
      <c r="A190" t="s">
        <v>520</v>
      </c>
      <c r="B190">
        <v>23139622</v>
      </c>
      <c r="C190">
        <v>1555500</v>
      </c>
      <c r="D190" s="17">
        <f t="shared" si="3"/>
        <v>1555500</v>
      </c>
      <c r="E190" s="49">
        <f>VLOOKUP($A190,'Data shares'!$C:$FA,128)*100</f>
        <v>2.82</v>
      </c>
      <c r="F190" s="49">
        <f>VLOOKUP($A190,'Data shares'!$C:$FA,129)</f>
        <v>1068225</v>
      </c>
    </row>
    <row r="191" spans="1:6" x14ac:dyDescent="0.25">
      <c r="A191" t="s">
        <v>294</v>
      </c>
      <c r="B191">
        <v>161436977</v>
      </c>
      <c r="C191">
        <v>59382700</v>
      </c>
      <c r="D191" s="17">
        <f t="shared" si="3"/>
        <v>59382700</v>
      </c>
      <c r="E191" s="49">
        <f>VLOOKUP($A191,'Data shares'!$C:$FA,128)*100</f>
        <v>7.31</v>
      </c>
      <c r="F191" s="49">
        <f>VLOOKUP($A191,'Data shares'!$C:$FA,129)</f>
        <v>13238500</v>
      </c>
    </row>
    <row r="192" spans="1:6" x14ac:dyDescent="0.25">
      <c r="A192" t="s">
        <v>244</v>
      </c>
      <c r="B192">
        <v>265685393</v>
      </c>
      <c r="C192">
        <v>44023500</v>
      </c>
      <c r="D192" s="17">
        <f t="shared" si="3"/>
        <v>44023500</v>
      </c>
      <c r="E192" s="49">
        <f>VLOOKUP($A192,'Data shares'!$C:$FA,128)*100</f>
        <v>2.12</v>
      </c>
      <c r="F192" s="49">
        <f>VLOOKUP($A192,'Data shares'!$C:$FA,129)</f>
        <v>990225</v>
      </c>
    </row>
    <row r="193" spans="1:6" x14ac:dyDescent="0.25">
      <c r="A193" t="s">
        <v>160</v>
      </c>
      <c r="B193">
        <v>145684825</v>
      </c>
      <c r="C193">
        <v>110820000</v>
      </c>
      <c r="D193" s="17">
        <f t="shared" si="3"/>
        <v>110820000</v>
      </c>
      <c r="E193" s="49">
        <f>VLOOKUP($A193,'Data shares'!$C:$FA,128)*100</f>
        <v>4.4799999999999995</v>
      </c>
      <c r="F193" s="49">
        <f>VLOOKUP($A193,'Data shares'!$C:$FA,129)</f>
        <v>824600</v>
      </c>
    </row>
    <row r="194" spans="1:6" x14ac:dyDescent="0.25">
      <c r="A194" t="s">
        <v>496</v>
      </c>
      <c r="B194">
        <v>11999202</v>
      </c>
      <c r="C194">
        <v>2345700</v>
      </c>
      <c r="D194" s="17">
        <f t="shared" si="3"/>
        <v>2345700</v>
      </c>
      <c r="E194" s="49">
        <f>VLOOKUP($A194,'Data shares'!$C:$FA,128)*100</f>
        <v>9.35</v>
      </c>
      <c r="F194" s="49">
        <f>VLOOKUP($A194,'Data shares'!$C:$FA,129)</f>
        <v>515900</v>
      </c>
    </row>
    <row r="195" spans="1:6" x14ac:dyDescent="0.25">
      <c r="A195" t="s">
        <v>230</v>
      </c>
      <c r="B195">
        <v>179034270</v>
      </c>
      <c r="C195">
        <v>24257400</v>
      </c>
      <c r="D195" s="17">
        <f t="shared" si="3"/>
        <v>24257400</v>
      </c>
      <c r="E195" s="49">
        <f>VLOOKUP($A195,'Data shares'!$C:$FA,128)*100</f>
        <v>4.2299999999999995</v>
      </c>
      <c r="F195" s="49">
        <f>VLOOKUP($A195,'Data shares'!$C:$FA,129)</f>
        <v>625800</v>
      </c>
    </row>
    <row r="196" spans="1:6" x14ac:dyDescent="0.25">
      <c r="A196" t="s">
        <v>203</v>
      </c>
      <c r="B196">
        <v>27165463</v>
      </c>
      <c r="C196">
        <v>3318000</v>
      </c>
      <c r="D196" s="17">
        <f t="shared" si="3"/>
        <v>3318000</v>
      </c>
      <c r="E196" s="49">
        <f>VLOOKUP($A196,'Data shares'!$C:$FA,128)*100</f>
        <v>7.5399999999999991</v>
      </c>
      <c r="F196" s="49">
        <f>VLOOKUP($A196,'Data shares'!$C:$FA,129)</f>
        <v>295200</v>
      </c>
    </row>
    <row r="197" spans="1:6" x14ac:dyDescent="0.25">
      <c r="A197" t="s">
        <v>251</v>
      </c>
      <c r="B197">
        <v>184464522</v>
      </c>
      <c r="C197">
        <v>32566800</v>
      </c>
      <c r="D197" s="17">
        <f t="shared" si="3"/>
        <v>32566800</v>
      </c>
      <c r="E197" s="49">
        <f>VLOOKUP($A197,'Data shares'!$C:$FA,128)*100</f>
        <v>14.05</v>
      </c>
      <c r="F197" s="49">
        <f>VLOOKUP($A197,'Data shares'!$C:$FA,129)</f>
        <v>2769000</v>
      </c>
    </row>
    <row r="198" spans="1:6" x14ac:dyDescent="0.25">
      <c r="A198" t="s">
        <v>254</v>
      </c>
      <c r="B198">
        <v>104419539</v>
      </c>
      <c r="C198">
        <v>12741000</v>
      </c>
      <c r="D198" s="17">
        <f t="shared" si="3"/>
        <v>12741000</v>
      </c>
      <c r="E198" s="49">
        <f>VLOOKUP($A198,'Data shares'!$C:$FA,128)*100</f>
        <v>5.67</v>
      </c>
      <c r="F198" s="49">
        <f>VLOOKUP($A198,'Data shares'!$C:$FA,129)</f>
        <v>1249200</v>
      </c>
    </row>
    <row r="199" spans="1:6" x14ac:dyDescent="0.25">
      <c r="A199" t="s">
        <v>159</v>
      </c>
      <c r="B199">
        <v>55169320</v>
      </c>
      <c r="C199">
        <v>29565500</v>
      </c>
      <c r="D199" s="17">
        <f t="shared" si="3"/>
        <v>29565500</v>
      </c>
      <c r="E199" s="49">
        <f>VLOOKUP($A199,'Data shares'!$C:$FA,128)*100</f>
        <v>2.15</v>
      </c>
      <c r="F199" s="49">
        <f>VLOOKUP($A199,'Data shares'!$C:$FA,129)</f>
        <v>396447</v>
      </c>
    </row>
    <row r="200" spans="1:6" x14ac:dyDescent="0.25">
      <c r="A200" t="s">
        <v>201</v>
      </c>
      <c r="B200">
        <v>26654592</v>
      </c>
      <c r="C200">
        <v>3469200</v>
      </c>
      <c r="D200" s="17">
        <f t="shared" si="3"/>
        <v>3469200</v>
      </c>
      <c r="E200" s="49">
        <f>VLOOKUP($A200,'Data shares'!$C:$FA,128)*100</f>
        <v>3.1399999999999997</v>
      </c>
      <c r="F200" s="49">
        <f>VLOOKUP($A200,'Data shares'!$C:$FA,129)</f>
        <v>148600</v>
      </c>
    </row>
    <row r="201" spans="1:6" x14ac:dyDescent="0.25">
      <c r="A201" t="s">
        <v>199</v>
      </c>
      <c r="B201">
        <v>102562642</v>
      </c>
      <c r="C201">
        <v>20641400</v>
      </c>
      <c r="D201" s="17">
        <f t="shared" si="3"/>
        <v>20641400</v>
      </c>
      <c r="E201" s="49">
        <f>VLOOKUP($A201,'Data shares'!$C:$FA,128)*100</f>
        <v>2.4899999999999998</v>
      </c>
      <c r="F201" s="49">
        <f>VLOOKUP($A201,'Data shares'!$C:$FA,129)</f>
        <v>310525</v>
      </c>
    </row>
    <row r="202" spans="1:6" x14ac:dyDescent="0.25">
      <c r="A202" t="s">
        <v>296</v>
      </c>
      <c r="B202">
        <v>124861039</v>
      </c>
      <c r="C202">
        <v>20543400</v>
      </c>
      <c r="D202" s="17">
        <f t="shared" si="3"/>
        <v>20543400</v>
      </c>
      <c r="E202" s="49">
        <f>VLOOKUP($A202,'Data shares'!$C:$FA,128)*100</f>
        <v>2.34</v>
      </c>
      <c r="F202" s="49">
        <f>VLOOKUP($A202,'Data shares'!$C:$FA,129)</f>
        <v>360000</v>
      </c>
    </row>
    <row r="203" spans="1:6" x14ac:dyDescent="0.25">
      <c r="A203" t="s">
        <v>229</v>
      </c>
      <c r="B203">
        <v>127940594</v>
      </c>
      <c r="C203">
        <v>33552900</v>
      </c>
      <c r="D203" s="17">
        <f t="shared" si="3"/>
        <v>33552900</v>
      </c>
      <c r="E203" s="49">
        <f>VLOOKUP($A203,'Data shares'!$C:$FA,128)*100</f>
        <v>3.46</v>
      </c>
      <c r="F203" s="49">
        <f>VLOOKUP($A203,'Data shares'!$C:$FA,129)</f>
        <v>1200825</v>
      </c>
    </row>
    <row r="204" spans="1:6" x14ac:dyDescent="0.25">
      <c r="A204" t="s">
        <v>497</v>
      </c>
      <c r="B204">
        <v>10251929</v>
      </c>
      <c r="C204">
        <v>266200</v>
      </c>
      <c r="D204" s="17">
        <f t="shared" si="3"/>
        <v>266200</v>
      </c>
      <c r="E204" s="49">
        <f>VLOOKUP($A204,'Data shares'!$C:$FA,128)*100</f>
        <v>0.65</v>
      </c>
      <c r="F204" s="49">
        <f>VLOOKUP($A204,'Data shares'!$C:$FA,129)</f>
        <v>3250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J9" sqref="J9"/>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K14" sqref="K14"/>
    </sheetView>
  </sheetViews>
  <sheetFormatPr defaultRowHeight="15" x14ac:dyDescent="0.25"/>
  <cols>
    <col min="1" max="1" width="12.8554687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9"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57031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46146</v>
      </c>
      <c r="B2" s="227" t="s">
        <v>215</v>
      </c>
      <c r="C2" s="227" t="s">
        <v>159</v>
      </c>
      <c r="D2" s="231">
        <v>2490.6999999999998</v>
      </c>
      <c r="E2" s="231">
        <v>2421.8000000000002</v>
      </c>
      <c r="F2" s="228">
        <v>68.900000000000006</v>
      </c>
      <c r="G2" s="229">
        <v>2.8400000000000002E-2</v>
      </c>
      <c r="H2" s="231">
        <v>2485.6999999999998</v>
      </c>
      <c r="I2" s="231">
        <v>2408.4</v>
      </c>
      <c r="J2" s="228">
        <v>77.3</v>
      </c>
      <c r="K2" s="229">
        <v>3.2099999999999997E-2</v>
      </c>
      <c r="L2" s="231">
        <v>2490.6999999999998</v>
      </c>
      <c r="M2" s="231">
        <v>2421.8000000000002</v>
      </c>
      <c r="N2" s="228">
        <v>68.900000000000006</v>
      </c>
      <c r="O2" s="229">
        <v>2.8400000000000002E-2</v>
      </c>
      <c r="P2" s="231">
        <v>2503.5</v>
      </c>
      <c r="Q2" s="231">
        <v>2434.8000000000002</v>
      </c>
      <c r="R2" s="228">
        <v>68.7</v>
      </c>
      <c r="S2" s="229">
        <v>2.8199999999999999E-2</v>
      </c>
      <c r="T2" s="231">
        <v>2515.5</v>
      </c>
      <c r="U2" s="231">
        <v>2446.9</v>
      </c>
      <c r="V2" s="228">
        <v>68.599999999999994</v>
      </c>
      <c r="W2" s="229">
        <v>2.8000000000000001E-2</v>
      </c>
      <c r="X2" s="228">
        <v>5</v>
      </c>
      <c r="Y2" s="228">
        <v>13.4</v>
      </c>
      <c r="Z2" s="228">
        <v>-8.4</v>
      </c>
      <c r="AA2" s="229">
        <v>2E-3</v>
      </c>
      <c r="AB2" s="228">
        <v>5</v>
      </c>
      <c r="AC2" s="228">
        <v>13.4</v>
      </c>
      <c r="AD2" s="228">
        <v>-8.4</v>
      </c>
      <c r="AE2" s="229">
        <v>2E-3</v>
      </c>
      <c r="AF2" s="228">
        <v>17.8</v>
      </c>
      <c r="AG2" s="228">
        <v>26.4</v>
      </c>
      <c r="AH2" s="228">
        <v>-8.6</v>
      </c>
      <c r="AI2" s="229">
        <v>7.1999999999999998E-3</v>
      </c>
      <c r="AJ2" s="228">
        <v>29.8</v>
      </c>
      <c r="AK2" s="228">
        <v>38.5</v>
      </c>
      <c r="AL2" s="228">
        <v>-8.6999999999999993</v>
      </c>
      <c r="AM2" s="229">
        <v>1.2E-2</v>
      </c>
      <c r="AN2" s="231">
        <v>2473.35</v>
      </c>
      <c r="AO2" s="231">
        <v>2483.13</v>
      </c>
      <c r="AP2" s="228">
        <v>0</v>
      </c>
      <c r="AQ2" s="230">
        <v>27333</v>
      </c>
      <c r="AR2" s="230">
        <v>18088</v>
      </c>
      <c r="AS2" s="230">
        <v>9245</v>
      </c>
      <c r="AT2" s="229">
        <v>0.5111</v>
      </c>
      <c r="AU2" s="230">
        <v>26282</v>
      </c>
      <c r="AV2" s="230">
        <v>17550</v>
      </c>
      <c r="AW2" s="230">
        <v>8732</v>
      </c>
      <c r="AX2" s="229">
        <v>0.4975</v>
      </c>
      <c r="AY2" s="228">
        <v>915</v>
      </c>
      <c r="AZ2" s="228">
        <v>470</v>
      </c>
      <c r="BA2" s="228">
        <v>445</v>
      </c>
      <c r="BB2" s="229">
        <v>0.94679999999999997</v>
      </c>
      <c r="BC2" s="228">
        <v>136</v>
      </c>
      <c r="BD2" s="228">
        <v>68</v>
      </c>
      <c r="BE2" s="228">
        <v>68</v>
      </c>
      <c r="BF2" s="229">
        <v>1</v>
      </c>
      <c r="BG2" s="230">
        <v>80428</v>
      </c>
      <c r="BH2" s="230">
        <v>43333</v>
      </c>
      <c r="BI2" s="230">
        <v>37095</v>
      </c>
      <c r="BJ2" s="229">
        <v>0.85599999999999998</v>
      </c>
      <c r="BK2" s="230">
        <v>48164</v>
      </c>
      <c r="BL2" s="230">
        <v>22656</v>
      </c>
      <c r="BM2" s="230">
        <v>25508</v>
      </c>
      <c r="BN2" s="229">
        <v>1.1258999999999999</v>
      </c>
      <c r="BO2" s="230">
        <v>155925</v>
      </c>
      <c r="BP2" s="230">
        <v>84077</v>
      </c>
      <c r="BQ2" s="230">
        <v>71848</v>
      </c>
      <c r="BR2" s="229">
        <v>0.85450000000000004</v>
      </c>
      <c r="BS2" s="230">
        <v>6260245</v>
      </c>
      <c r="BT2" s="230">
        <v>3900124</v>
      </c>
      <c r="BU2" s="230">
        <v>2360121</v>
      </c>
      <c r="BV2" s="229">
        <v>0.60509999999999997</v>
      </c>
      <c r="BW2" s="230">
        <v>19658889</v>
      </c>
      <c r="BX2" s="230">
        <v>19551048</v>
      </c>
      <c r="BY2" s="230">
        <v>107841</v>
      </c>
      <c r="BZ2" s="229">
        <v>5.4999999999999997E-3</v>
      </c>
      <c r="CA2" s="230">
        <v>19236795</v>
      </c>
      <c r="CB2" s="230">
        <v>19154601</v>
      </c>
      <c r="CC2" s="230">
        <v>82194</v>
      </c>
      <c r="CD2" s="229">
        <v>4.3E-3</v>
      </c>
      <c r="CE2" s="230">
        <v>399537</v>
      </c>
      <c r="CF2" s="230">
        <v>374508</v>
      </c>
      <c r="CG2" s="230">
        <v>25029</v>
      </c>
      <c r="CH2" s="229">
        <v>6.6799999999999998E-2</v>
      </c>
      <c r="CI2" s="230">
        <v>22557</v>
      </c>
      <c r="CJ2" s="230">
        <v>21939</v>
      </c>
      <c r="CK2" s="228">
        <v>618</v>
      </c>
      <c r="CL2" s="229">
        <v>2.8199999999999999E-2</v>
      </c>
      <c r="CM2" s="230">
        <v>7337205</v>
      </c>
      <c r="CN2" s="230">
        <v>6538131</v>
      </c>
      <c r="CO2" s="230">
        <v>799074</v>
      </c>
      <c r="CP2" s="229">
        <v>0.1222</v>
      </c>
      <c r="CQ2" s="230">
        <v>5591355</v>
      </c>
      <c r="CR2" s="230">
        <v>4901976</v>
      </c>
      <c r="CS2" s="230">
        <v>689379</v>
      </c>
      <c r="CT2" s="229">
        <v>0.1406</v>
      </c>
      <c r="CU2" s="230">
        <v>32587449</v>
      </c>
      <c r="CV2" s="230">
        <v>30991155</v>
      </c>
      <c r="CW2" s="230">
        <v>1596294</v>
      </c>
      <c r="CX2" s="229">
        <v>5.1499999999999997E-2</v>
      </c>
      <c r="CY2" s="228">
        <v>40.020000000000003</v>
      </c>
      <c r="CZ2" s="228">
        <v>42.32</v>
      </c>
      <c r="DA2" s="228">
        <v>-2.2999999999999998</v>
      </c>
      <c r="DB2" s="228">
        <v>-2.2999999999999998</v>
      </c>
      <c r="DC2" s="228">
        <v>48.97</v>
      </c>
      <c r="DD2" s="228">
        <v>48.94</v>
      </c>
      <c r="DE2" s="228">
        <v>-8.9499999999999993</v>
      </c>
      <c r="DF2" s="228">
        <v>0.03</v>
      </c>
      <c r="DG2" s="228">
        <v>39.28</v>
      </c>
      <c r="DH2" s="228">
        <v>41.67</v>
      </c>
      <c r="DI2" s="228">
        <v>-2.39</v>
      </c>
      <c r="DJ2" s="228">
        <v>-2.39</v>
      </c>
      <c r="DK2" s="228">
        <v>41.25</v>
      </c>
      <c r="DL2" s="228">
        <v>43.57</v>
      </c>
      <c r="DM2" s="228">
        <v>-2.3199999999999998</v>
      </c>
      <c r="DN2" s="228">
        <v>-2.3199999999999998</v>
      </c>
      <c r="DO2" s="228">
        <v>0.76</v>
      </c>
      <c r="DP2" s="228">
        <v>0.75</v>
      </c>
      <c r="DQ2" s="228">
        <v>0.01</v>
      </c>
      <c r="DR2" s="229">
        <v>1.3299999999999999E-2</v>
      </c>
      <c r="DS2" s="231">
        <v>2500</v>
      </c>
      <c r="DT2" s="231">
        <v>2400</v>
      </c>
      <c r="DU2" s="228">
        <v>0.6</v>
      </c>
      <c r="DV2" s="228">
        <v>0.52</v>
      </c>
      <c r="DW2" s="228">
        <v>0.08</v>
      </c>
      <c r="DX2" s="229">
        <v>0.15379999999999999</v>
      </c>
      <c r="DY2" s="229">
        <v>2.1499999999999998E-2</v>
      </c>
      <c r="DZ2" s="230">
        <v>396447</v>
      </c>
      <c r="EA2" s="229">
        <v>5.1000000000000004E-3</v>
      </c>
      <c r="EB2" s="229">
        <v>2.1499999999999998E-2</v>
      </c>
      <c r="EC2" s="228">
        <v>9.7799999999999994</v>
      </c>
      <c r="ED2" s="229">
        <v>4.0000000000000001E-3</v>
      </c>
      <c r="EE2" s="230">
        <v>1870030</v>
      </c>
      <c r="EF2" s="230">
        <v>1292712</v>
      </c>
      <c r="EG2" s="229">
        <v>0.4466</v>
      </c>
      <c r="EH2" s="229">
        <v>0.29870000000000002</v>
      </c>
      <c r="EI2" s="231">
        <v>646330.42000000004</v>
      </c>
      <c r="EJ2" s="231">
        <v>361690.55</v>
      </c>
      <c r="EK2" s="231">
        <v>208937.28</v>
      </c>
      <c r="EL2" s="231">
        <v>29494</v>
      </c>
      <c r="EM2" s="231">
        <v>1216958.25</v>
      </c>
      <c r="EN2" s="231">
        <v>641437.99</v>
      </c>
      <c r="EO2" s="231">
        <v>575520.26</v>
      </c>
      <c r="EP2" s="229">
        <v>0.8972</v>
      </c>
      <c r="EQ2" s="231">
        <v>180524</v>
      </c>
      <c r="ER2" s="231">
        <v>129000</v>
      </c>
      <c r="ES2" s="231">
        <v>489701</v>
      </c>
      <c r="ET2" s="231">
        <v>33645895</v>
      </c>
      <c r="EU2" s="231">
        <v>799225</v>
      </c>
      <c r="EV2" s="231">
        <v>744849</v>
      </c>
      <c r="EW2" s="231">
        <v>54376</v>
      </c>
      <c r="EX2" s="229">
        <v>7.2999999999999995E-2</v>
      </c>
      <c r="EY2" s="229">
        <v>0.96850000000000003</v>
      </c>
    </row>
    <row r="3" spans="1:155" ht="17.25" thickBot="1" x14ac:dyDescent="0.3">
      <c r="A3" s="226">
        <v>46146</v>
      </c>
      <c r="B3" s="227" t="s">
        <v>215</v>
      </c>
      <c r="C3" s="227" t="s">
        <v>160</v>
      </c>
      <c r="D3" s="231">
        <v>1748</v>
      </c>
      <c r="E3" s="231">
        <v>1662.9</v>
      </c>
      <c r="F3" s="228">
        <v>85.1</v>
      </c>
      <c r="G3" s="229">
        <v>5.1200000000000002E-2</v>
      </c>
      <c r="H3" s="231">
        <v>1742.6</v>
      </c>
      <c r="I3" s="231">
        <v>1657.3</v>
      </c>
      <c r="J3" s="228">
        <v>85.3</v>
      </c>
      <c r="K3" s="229">
        <v>5.1499999999999997E-2</v>
      </c>
      <c r="L3" s="231">
        <v>1748</v>
      </c>
      <c r="M3" s="231">
        <v>1662.9</v>
      </c>
      <c r="N3" s="228">
        <v>85.1</v>
      </c>
      <c r="O3" s="229">
        <v>5.1200000000000002E-2</v>
      </c>
      <c r="P3" s="231">
        <v>1751.9</v>
      </c>
      <c r="Q3" s="231">
        <v>1670.5</v>
      </c>
      <c r="R3" s="228">
        <v>81.400000000000006</v>
      </c>
      <c r="S3" s="229">
        <v>4.87E-2</v>
      </c>
      <c r="T3" s="231">
        <v>1760.4</v>
      </c>
      <c r="U3" s="231">
        <v>1677.6</v>
      </c>
      <c r="V3" s="228">
        <v>82.8</v>
      </c>
      <c r="W3" s="229">
        <v>4.9399999999999999E-2</v>
      </c>
      <c r="X3" s="228">
        <v>5.4</v>
      </c>
      <c r="Y3" s="228">
        <v>5.6</v>
      </c>
      <c r="Z3" s="228">
        <v>-0.2</v>
      </c>
      <c r="AA3" s="229">
        <v>3.0999999999999999E-3</v>
      </c>
      <c r="AB3" s="228">
        <v>5.4</v>
      </c>
      <c r="AC3" s="228">
        <v>5.6</v>
      </c>
      <c r="AD3" s="228">
        <v>-0.2</v>
      </c>
      <c r="AE3" s="229">
        <v>3.0999999999999999E-3</v>
      </c>
      <c r="AF3" s="228">
        <v>9.3000000000000007</v>
      </c>
      <c r="AG3" s="228">
        <v>13.2</v>
      </c>
      <c r="AH3" s="228">
        <v>-3.9</v>
      </c>
      <c r="AI3" s="229">
        <v>5.3E-3</v>
      </c>
      <c r="AJ3" s="228">
        <v>17.8</v>
      </c>
      <c r="AK3" s="228">
        <v>20.3</v>
      </c>
      <c r="AL3" s="228">
        <v>-2.5</v>
      </c>
      <c r="AM3" s="229">
        <v>1.0200000000000001E-2</v>
      </c>
      <c r="AN3" s="231">
        <v>1728.74</v>
      </c>
      <c r="AO3" s="231">
        <v>1735.44</v>
      </c>
      <c r="AP3" s="228">
        <v>0</v>
      </c>
      <c r="AQ3" s="230">
        <v>19915</v>
      </c>
      <c r="AR3" s="230">
        <v>21059</v>
      </c>
      <c r="AS3" s="230">
        <v>-1144</v>
      </c>
      <c r="AT3" s="229">
        <v>-5.4300000000000001E-2</v>
      </c>
      <c r="AU3" s="230">
        <v>18770</v>
      </c>
      <c r="AV3" s="230">
        <v>20436</v>
      </c>
      <c r="AW3" s="230">
        <v>-1666</v>
      </c>
      <c r="AX3" s="229">
        <v>-8.1500000000000003E-2</v>
      </c>
      <c r="AY3" s="228">
        <v>939</v>
      </c>
      <c r="AZ3" s="228">
        <v>478</v>
      </c>
      <c r="BA3" s="228">
        <v>461</v>
      </c>
      <c r="BB3" s="229">
        <v>0.96440000000000003</v>
      </c>
      <c r="BC3" s="228">
        <v>206</v>
      </c>
      <c r="BD3" s="228">
        <v>145</v>
      </c>
      <c r="BE3" s="228">
        <v>61</v>
      </c>
      <c r="BF3" s="229">
        <v>0.42070000000000002</v>
      </c>
      <c r="BG3" s="230">
        <v>92144</v>
      </c>
      <c r="BH3" s="230">
        <v>57689</v>
      </c>
      <c r="BI3" s="230">
        <v>34455</v>
      </c>
      <c r="BJ3" s="229">
        <v>0.59730000000000005</v>
      </c>
      <c r="BK3" s="230">
        <v>45497</v>
      </c>
      <c r="BL3" s="230">
        <v>34323</v>
      </c>
      <c r="BM3" s="230">
        <v>11174</v>
      </c>
      <c r="BN3" s="229">
        <v>0.3256</v>
      </c>
      <c r="BO3" s="230">
        <v>157556</v>
      </c>
      <c r="BP3" s="230">
        <v>113071</v>
      </c>
      <c r="BQ3" s="230">
        <v>44485</v>
      </c>
      <c r="BR3" s="229">
        <v>0.39340000000000003</v>
      </c>
      <c r="BS3" s="230">
        <v>53469006</v>
      </c>
      <c r="BT3" s="230">
        <v>6621997</v>
      </c>
      <c r="BU3" s="230">
        <v>46847009</v>
      </c>
      <c r="BV3" s="229">
        <v>7.0744999999999996</v>
      </c>
      <c r="BW3" s="230">
        <v>22219550</v>
      </c>
      <c r="BX3" s="230">
        <v>20777450</v>
      </c>
      <c r="BY3" s="230">
        <v>1442100</v>
      </c>
      <c r="BZ3" s="229">
        <v>6.9400000000000003E-2</v>
      </c>
      <c r="CA3" s="230">
        <v>21224900</v>
      </c>
      <c r="CB3" s="230">
        <v>19952850</v>
      </c>
      <c r="CC3" s="230">
        <v>1272050</v>
      </c>
      <c r="CD3" s="229">
        <v>6.3799999999999996E-2</v>
      </c>
      <c r="CE3" s="230">
        <v>938125</v>
      </c>
      <c r="CF3" s="230">
        <v>773775</v>
      </c>
      <c r="CG3" s="230">
        <v>164350</v>
      </c>
      <c r="CH3" s="229">
        <v>0.21240000000000001</v>
      </c>
      <c r="CI3" s="230">
        <v>56525</v>
      </c>
      <c r="CJ3" s="230">
        <v>50825</v>
      </c>
      <c r="CK3" s="230">
        <v>5700</v>
      </c>
      <c r="CL3" s="229">
        <v>0.11210000000000001</v>
      </c>
      <c r="CM3" s="230">
        <v>7983800</v>
      </c>
      <c r="CN3" s="230">
        <v>6005425</v>
      </c>
      <c r="CO3" s="230">
        <v>1978375</v>
      </c>
      <c r="CP3" s="229">
        <v>0.32940000000000003</v>
      </c>
      <c r="CQ3" s="230">
        <v>6502750</v>
      </c>
      <c r="CR3" s="230">
        <v>4829800</v>
      </c>
      <c r="CS3" s="230">
        <v>1672950</v>
      </c>
      <c r="CT3" s="229">
        <v>0.34639999999999999</v>
      </c>
      <c r="CU3" s="230">
        <v>36706100</v>
      </c>
      <c r="CV3" s="230">
        <v>31612675</v>
      </c>
      <c r="CW3" s="230">
        <v>5093425</v>
      </c>
      <c r="CX3" s="229">
        <v>0.16109999999999999</v>
      </c>
      <c r="CY3" s="228">
        <v>33.01</v>
      </c>
      <c r="CZ3" s="228">
        <v>32.909999999999997</v>
      </c>
      <c r="DA3" s="228">
        <v>0.1</v>
      </c>
      <c r="DB3" s="228">
        <v>0.1</v>
      </c>
      <c r="DC3" s="228">
        <v>40.17</v>
      </c>
      <c r="DD3" s="228">
        <v>39.69</v>
      </c>
      <c r="DE3" s="228">
        <v>-7.16</v>
      </c>
      <c r="DF3" s="228">
        <v>0.48</v>
      </c>
      <c r="DG3" s="228">
        <v>31.86</v>
      </c>
      <c r="DH3" s="228">
        <v>32.229999999999997</v>
      </c>
      <c r="DI3" s="228">
        <v>-0.37</v>
      </c>
      <c r="DJ3" s="228">
        <v>-0.37</v>
      </c>
      <c r="DK3" s="228">
        <v>35.340000000000003</v>
      </c>
      <c r="DL3" s="228">
        <v>34.04</v>
      </c>
      <c r="DM3" s="228">
        <v>1.3</v>
      </c>
      <c r="DN3" s="228">
        <v>1.3</v>
      </c>
      <c r="DO3" s="228">
        <v>0.81</v>
      </c>
      <c r="DP3" s="228">
        <v>0.8</v>
      </c>
      <c r="DQ3" s="228">
        <v>0.01</v>
      </c>
      <c r="DR3" s="229">
        <v>1.2500000000000001E-2</v>
      </c>
      <c r="DS3" s="231">
        <v>1800</v>
      </c>
      <c r="DT3" s="231">
        <v>1600</v>
      </c>
      <c r="DU3" s="228">
        <v>0.49</v>
      </c>
      <c r="DV3" s="228">
        <v>0.59</v>
      </c>
      <c r="DW3" s="228">
        <v>-0.1</v>
      </c>
      <c r="DX3" s="229">
        <v>-0.16950000000000001</v>
      </c>
      <c r="DY3" s="229">
        <v>4.48E-2</v>
      </c>
      <c r="DZ3" s="230">
        <v>824600</v>
      </c>
      <c r="EA3" s="229">
        <v>2.2000000000000001E-3</v>
      </c>
      <c r="EB3" s="229">
        <v>4.48E-2</v>
      </c>
      <c r="EC3" s="228">
        <v>6.7</v>
      </c>
      <c r="ED3" s="229">
        <v>3.8999999999999998E-3</v>
      </c>
      <c r="EE3" s="230">
        <v>48235819</v>
      </c>
      <c r="EF3" s="230">
        <v>2801329</v>
      </c>
      <c r="EG3" s="229">
        <v>16.218900000000001</v>
      </c>
      <c r="EH3" s="229">
        <v>0.90210000000000001</v>
      </c>
      <c r="EI3" s="231">
        <v>790404.01</v>
      </c>
      <c r="EJ3" s="231">
        <v>362093.68</v>
      </c>
      <c r="EK3" s="231">
        <v>163576.98000000001</v>
      </c>
      <c r="EL3" s="231">
        <v>18266</v>
      </c>
      <c r="EM3" s="231">
        <v>1316074.67</v>
      </c>
      <c r="EN3" s="231">
        <v>902711.37</v>
      </c>
      <c r="EO3" s="231">
        <v>413363.3</v>
      </c>
      <c r="EP3" s="229">
        <v>0.45789999999999997</v>
      </c>
      <c r="EQ3" s="231">
        <v>136744</v>
      </c>
      <c r="ER3" s="231">
        <v>103241</v>
      </c>
      <c r="ES3" s="231">
        <v>388441</v>
      </c>
      <c r="ET3" s="231">
        <v>88142691</v>
      </c>
      <c r="EU3" s="231">
        <v>628426</v>
      </c>
      <c r="EV3" s="231">
        <v>520831</v>
      </c>
      <c r="EW3" s="231">
        <v>107595</v>
      </c>
      <c r="EX3" s="229">
        <v>0.20660000000000001</v>
      </c>
      <c r="EY3" s="229">
        <v>0.41639999999999999</v>
      </c>
    </row>
    <row r="4" spans="1:155" ht="17.25" thickBot="1" x14ac:dyDescent="0.3">
      <c r="A4" s="226">
        <v>46146</v>
      </c>
      <c r="B4" s="227" t="s">
        <v>170</v>
      </c>
      <c r="C4" s="227" t="s">
        <v>165</v>
      </c>
      <c r="D4" s="231">
        <v>7780</v>
      </c>
      <c r="E4" s="231">
        <v>7679.5</v>
      </c>
      <c r="F4" s="228">
        <v>100.5</v>
      </c>
      <c r="G4" s="229">
        <v>1.3100000000000001E-2</v>
      </c>
      <c r="H4" s="231">
        <v>7737.5</v>
      </c>
      <c r="I4" s="231">
        <v>7636.5</v>
      </c>
      <c r="J4" s="228">
        <v>101</v>
      </c>
      <c r="K4" s="229">
        <v>1.32E-2</v>
      </c>
      <c r="L4" s="231">
        <v>7780</v>
      </c>
      <c r="M4" s="231">
        <v>7679.5</v>
      </c>
      <c r="N4" s="228">
        <v>100.5</v>
      </c>
      <c r="O4" s="229">
        <v>1.3100000000000001E-2</v>
      </c>
      <c r="P4" s="231">
        <v>7833.5</v>
      </c>
      <c r="Q4" s="231">
        <v>7727</v>
      </c>
      <c r="R4" s="228">
        <v>106.5</v>
      </c>
      <c r="S4" s="229">
        <v>1.38E-2</v>
      </c>
      <c r="T4" s="231">
        <v>7865.5</v>
      </c>
      <c r="U4" s="231">
        <v>7768</v>
      </c>
      <c r="V4" s="228">
        <v>97.5</v>
      </c>
      <c r="W4" s="229">
        <v>1.26E-2</v>
      </c>
      <c r="X4" s="228">
        <v>42.5</v>
      </c>
      <c r="Y4" s="228">
        <v>43</v>
      </c>
      <c r="Z4" s="228">
        <v>-0.5</v>
      </c>
      <c r="AA4" s="229">
        <v>5.4999999999999997E-3</v>
      </c>
      <c r="AB4" s="228">
        <v>42.5</v>
      </c>
      <c r="AC4" s="228">
        <v>43</v>
      </c>
      <c r="AD4" s="228">
        <v>-0.5</v>
      </c>
      <c r="AE4" s="229">
        <v>5.4999999999999997E-3</v>
      </c>
      <c r="AF4" s="228">
        <v>96</v>
      </c>
      <c r="AG4" s="228">
        <v>90.5</v>
      </c>
      <c r="AH4" s="228">
        <v>5.5</v>
      </c>
      <c r="AI4" s="229">
        <v>1.24E-2</v>
      </c>
      <c r="AJ4" s="228">
        <v>128</v>
      </c>
      <c r="AK4" s="228">
        <v>131.5</v>
      </c>
      <c r="AL4" s="228">
        <v>-3.5</v>
      </c>
      <c r="AM4" s="229">
        <v>1.6500000000000001E-2</v>
      </c>
      <c r="AN4" s="231">
        <v>7785.63</v>
      </c>
      <c r="AO4" s="231">
        <v>7836.9</v>
      </c>
      <c r="AP4" s="228">
        <v>0</v>
      </c>
      <c r="AQ4" s="230">
        <v>1789</v>
      </c>
      <c r="AR4" s="230">
        <v>2089</v>
      </c>
      <c r="AS4" s="228">
        <v>-300</v>
      </c>
      <c r="AT4" s="229">
        <v>-0.14360000000000001</v>
      </c>
      <c r="AU4" s="230">
        <v>1691</v>
      </c>
      <c r="AV4" s="230">
        <v>1988</v>
      </c>
      <c r="AW4" s="228">
        <v>-297</v>
      </c>
      <c r="AX4" s="229">
        <v>-0.14940000000000001</v>
      </c>
      <c r="AY4" s="228">
        <v>93</v>
      </c>
      <c r="AZ4" s="228">
        <v>95</v>
      </c>
      <c r="BA4" s="228">
        <v>-2</v>
      </c>
      <c r="BB4" s="229">
        <v>-2.1100000000000001E-2</v>
      </c>
      <c r="BC4" s="228">
        <v>5</v>
      </c>
      <c r="BD4" s="228">
        <v>6</v>
      </c>
      <c r="BE4" s="228">
        <v>-1</v>
      </c>
      <c r="BF4" s="229">
        <v>-0.16669999999999999</v>
      </c>
      <c r="BG4" s="230">
        <v>6090</v>
      </c>
      <c r="BH4" s="230">
        <v>5047</v>
      </c>
      <c r="BI4" s="230">
        <v>1043</v>
      </c>
      <c r="BJ4" s="229">
        <v>0.20669999999999999</v>
      </c>
      <c r="BK4" s="230">
        <v>3787</v>
      </c>
      <c r="BL4" s="230">
        <v>4122</v>
      </c>
      <c r="BM4" s="228">
        <v>-335</v>
      </c>
      <c r="BN4" s="229">
        <v>-8.1299999999999997E-2</v>
      </c>
      <c r="BO4" s="230">
        <v>11666</v>
      </c>
      <c r="BP4" s="230">
        <v>11258</v>
      </c>
      <c r="BQ4" s="228">
        <v>408</v>
      </c>
      <c r="BR4" s="229">
        <v>3.6200000000000003E-2</v>
      </c>
      <c r="BS4" s="230">
        <v>341517</v>
      </c>
      <c r="BT4" s="230">
        <v>402780</v>
      </c>
      <c r="BU4" s="230">
        <v>-61263</v>
      </c>
      <c r="BV4" s="229">
        <v>-0.15210000000000001</v>
      </c>
      <c r="BW4" s="230">
        <v>2022000</v>
      </c>
      <c r="BX4" s="230">
        <v>2011625</v>
      </c>
      <c r="BY4" s="230">
        <v>10375</v>
      </c>
      <c r="BZ4" s="229">
        <v>5.1999999999999998E-3</v>
      </c>
      <c r="CA4" s="230">
        <v>1848625</v>
      </c>
      <c r="CB4" s="230">
        <v>1842875</v>
      </c>
      <c r="CC4" s="230">
        <v>5750</v>
      </c>
      <c r="CD4" s="229">
        <v>3.0999999999999999E-3</v>
      </c>
      <c r="CE4" s="230">
        <v>170000</v>
      </c>
      <c r="CF4" s="230">
        <v>165750</v>
      </c>
      <c r="CG4" s="230">
        <v>4250</v>
      </c>
      <c r="CH4" s="229">
        <v>2.5600000000000001E-2</v>
      </c>
      <c r="CI4" s="230">
        <v>3375</v>
      </c>
      <c r="CJ4" s="230">
        <v>3000</v>
      </c>
      <c r="CK4" s="228">
        <v>375</v>
      </c>
      <c r="CL4" s="229">
        <v>0.125</v>
      </c>
      <c r="CM4" s="230">
        <v>644750</v>
      </c>
      <c r="CN4" s="230">
        <v>559375</v>
      </c>
      <c r="CO4" s="230">
        <v>85375</v>
      </c>
      <c r="CP4" s="229">
        <v>0.15260000000000001</v>
      </c>
      <c r="CQ4" s="230">
        <v>416500</v>
      </c>
      <c r="CR4" s="230">
        <v>365125</v>
      </c>
      <c r="CS4" s="230">
        <v>51375</v>
      </c>
      <c r="CT4" s="229">
        <v>0.14069999999999999</v>
      </c>
      <c r="CU4" s="230">
        <v>3083250</v>
      </c>
      <c r="CV4" s="230">
        <v>2936125</v>
      </c>
      <c r="CW4" s="230">
        <v>147125</v>
      </c>
      <c r="CX4" s="229">
        <v>5.0099999999999999E-2</v>
      </c>
      <c r="CY4" s="228">
        <v>26.86</v>
      </c>
      <c r="CZ4" s="228">
        <v>26.3</v>
      </c>
      <c r="DA4" s="228">
        <v>0.56000000000000005</v>
      </c>
      <c r="DB4" s="228">
        <v>0.56000000000000005</v>
      </c>
      <c r="DC4" s="228">
        <v>24.99</v>
      </c>
      <c r="DD4" s="228">
        <v>24.99</v>
      </c>
      <c r="DE4" s="228">
        <v>1.87</v>
      </c>
      <c r="DF4" s="228">
        <v>0</v>
      </c>
      <c r="DG4" s="228">
        <v>26.67</v>
      </c>
      <c r="DH4" s="228">
        <v>26.13</v>
      </c>
      <c r="DI4" s="228">
        <v>0.54</v>
      </c>
      <c r="DJ4" s="228">
        <v>0.54</v>
      </c>
      <c r="DK4" s="228">
        <v>27.18</v>
      </c>
      <c r="DL4" s="228">
        <v>26.51</v>
      </c>
      <c r="DM4" s="228">
        <v>0.67</v>
      </c>
      <c r="DN4" s="228">
        <v>0.67</v>
      </c>
      <c r="DO4" s="228">
        <v>0.65</v>
      </c>
      <c r="DP4" s="228">
        <v>0.65</v>
      </c>
      <c r="DQ4" s="228">
        <v>0</v>
      </c>
      <c r="DR4" s="229">
        <v>0</v>
      </c>
      <c r="DS4" s="231">
        <v>7800</v>
      </c>
      <c r="DT4" s="231">
        <v>7000</v>
      </c>
      <c r="DU4" s="228">
        <v>0.62</v>
      </c>
      <c r="DV4" s="228">
        <v>0.82</v>
      </c>
      <c r="DW4" s="228">
        <v>-0.2</v>
      </c>
      <c r="DX4" s="229">
        <v>-0.24390000000000001</v>
      </c>
      <c r="DY4" s="229">
        <v>8.5699999999999998E-2</v>
      </c>
      <c r="DZ4" s="230">
        <v>168750</v>
      </c>
      <c r="EA4" s="229">
        <v>6.8999999999999999E-3</v>
      </c>
      <c r="EB4" s="229">
        <v>8.5699999999999998E-2</v>
      </c>
      <c r="EC4" s="228">
        <v>51.27</v>
      </c>
      <c r="ED4" s="229">
        <v>6.6E-3</v>
      </c>
      <c r="EE4" s="230">
        <v>215511</v>
      </c>
      <c r="EF4" s="230">
        <v>265029</v>
      </c>
      <c r="EG4" s="229">
        <v>-0.18679999999999999</v>
      </c>
      <c r="EH4" s="229">
        <v>0.63100000000000001</v>
      </c>
      <c r="EI4" s="231">
        <v>62205.2</v>
      </c>
      <c r="EJ4" s="231">
        <v>35328.65</v>
      </c>
      <c r="EK4" s="231">
        <v>17417.11</v>
      </c>
      <c r="EL4" s="231">
        <v>4797</v>
      </c>
      <c r="EM4" s="231">
        <v>114950.96</v>
      </c>
      <c r="EN4" s="231">
        <v>108940.7</v>
      </c>
      <c r="EO4" s="231">
        <v>6010.26</v>
      </c>
      <c r="EP4" s="229">
        <v>5.5199999999999999E-2</v>
      </c>
      <c r="EQ4" s="231">
        <v>52128</v>
      </c>
      <c r="ER4" s="231">
        <v>30583</v>
      </c>
      <c r="ES4" s="231">
        <v>157405</v>
      </c>
      <c r="ET4" s="231">
        <v>15524629</v>
      </c>
      <c r="EU4" s="231">
        <v>240116</v>
      </c>
      <c r="EV4" s="231">
        <v>226350</v>
      </c>
      <c r="EW4" s="231">
        <v>13766</v>
      </c>
      <c r="EX4" s="229">
        <v>6.08E-2</v>
      </c>
      <c r="EY4" s="229">
        <v>0.1986</v>
      </c>
    </row>
    <row r="5" spans="1:155" ht="17.25" thickBot="1" x14ac:dyDescent="0.3">
      <c r="A5" s="226">
        <v>46146</v>
      </c>
      <c r="B5" s="227" t="s">
        <v>168</v>
      </c>
      <c r="C5" s="227" t="s">
        <v>169</v>
      </c>
      <c r="D5" s="231">
        <v>2461.9</v>
      </c>
      <c r="E5" s="231">
        <v>2457.1999999999998</v>
      </c>
      <c r="F5" s="228">
        <v>4.7</v>
      </c>
      <c r="G5" s="229">
        <v>1.9E-3</v>
      </c>
      <c r="H5" s="231">
        <v>2448.1</v>
      </c>
      <c r="I5" s="231">
        <v>2444.5</v>
      </c>
      <c r="J5" s="228">
        <v>3.6</v>
      </c>
      <c r="K5" s="229">
        <v>1.5E-3</v>
      </c>
      <c r="L5" s="231">
        <v>2461.9</v>
      </c>
      <c r="M5" s="231">
        <v>2457.1999999999998</v>
      </c>
      <c r="N5" s="228">
        <v>4.7</v>
      </c>
      <c r="O5" s="229">
        <v>1.9E-3</v>
      </c>
      <c r="P5" s="231">
        <v>2460.5</v>
      </c>
      <c r="Q5" s="231">
        <v>2453.4</v>
      </c>
      <c r="R5" s="228">
        <v>7.1</v>
      </c>
      <c r="S5" s="229">
        <v>2.8999999999999998E-3</v>
      </c>
      <c r="T5" s="231">
        <v>2481.8000000000002</v>
      </c>
      <c r="U5" s="231">
        <v>2461.5</v>
      </c>
      <c r="V5" s="228">
        <v>20.3</v>
      </c>
      <c r="W5" s="229">
        <v>8.2000000000000007E-3</v>
      </c>
      <c r="X5" s="228">
        <v>13.8</v>
      </c>
      <c r="Y5" s="228">
        <v>12.7</v>
      </c>
      <c r="Z5" s="228">
        <v>1.1000000000000001</v>
      </c>
      <c r="AA5" s="229">
        <v>5.5999999999999999E-3</v>
      </c>
      <c r="AB5" s="228">
        <v>13.8</v>
      </c>
      <c r="AC5" s="228">
        <v>12.7</v>
      </c>
      <c r="AD5" s="228">
        <v>1.1000000000000001</v>
      </c>
      <c r="AE5" s="229">
        <v>5.5999999999999999E-3</v>
      </c>
      <c r="AF5" s="228">
        <v>12.4</v>
      </c>
      <c r="AG5" s="228">
        <v>8.9</v>
      </c>
      <c r="AH5" s="228">
        <v>3.5</v>
      </c>
      <c r="AI5" s="229">
        <v>5.1000000000000004E-3</v>
      </c>
      <c r="AJ5" s="228">
        <v>33.700000000000003</v>
      </c>
      <c r="AK5" s="228">
        <v>17</v>
      </c>
      <c r="AL5" s="228">
        <v>16.7</v>
      </c>
      <c r="AM5" s="229">
        <v>1.38E-2</v>
      </c>
      <c r="AN5" s="231">
        <v>2487.13</v>
      </c>
      <c r="AO5" s="231">
        <v>2479.36</v>
      </c>
      <c r="AP5" s="228">
        <v>0</v>
      </c>
      <c r="AQ5" s="230">
        <v>4752</v>
      </c>
      <c r="AR5" s="230">
        <v>7125</v>
      </c>
      <c r="AS5" s="230">
        <v>-2373</v>
      </c>
      <c r="AT5" s="229">
        <v>-0.33310000000000001</v>
      </c>
      <c r="AU5" s="230">
        <v>4441</v>
      </c>
      <c r="AV5" s="230">
        <v>6900</v>
      </c>
      <c r="AW5" s="230">
        <v>-2459</v>
      </c>
      <c r="AX5" s="229">
        <v>-0.35639999999999999</v>
      </c>
      <c r="AY5" s="228">
        <v>288</v>
      </c>
      <c r="AZ5" s="228">
        <v>169</v>
      </c>
      <c r="BA5" s="228">
        <v>119</v>
      </c>
      <c r="BB5" s="229">
        <v>0.70409999999999995</v>
      </c>
      <c r="BC5" s="228">
        <v>23</v>
      </c>
      <c r="BD5" s="228">
        <v>56</v>
      </c>
      <c r="BE5" s="228">
        <v>-33</v>
      </c>
      <c r="BF5" s="229">
        <v>-0.58930000000000005</v>
      </c>
      <c r="BG5" s="230">
        <v>24459</v>
      </c>
      <c r="BH5" s="230">
        <v>14527</v>
      </c>
      <c r="BI5" s="230">
        <v>9932</v>
      </c>
      <c r="BJ5" s="229">
        <v>0.68369999999999997</v>
      </c>
      <c r="BK5" s="230">
        <v>15769</v>
      </c>
      <c r="BL5" s="230">
        <v>16006</v>
      </c>
      <c r="BM5" s="228">
        <v>-237</v>
      </c>
      <c r="BN5" s="229">
        <v>-1.4800000000000001E-2</v>
      </c>
      <c r="BO5" s="230">
        <v>44980</v>
      </c>
      <c r="BP5" s="230">
        <v>37658</v>
      </c>
      <c r="BQ5" s="230">
        <v>7322</v>
      </c>
      <c r="BR5" s="229">
        <v>0.19439999999999999</v>
      </c>
      <c r="BS5" s="230">
        <v>623591</v>
      </c>
      <c r="BT5" s="230">
        <v>881697</v>
      </c>
      <c r="BU5" s="230">
        <v>-258106</v>
      </c>
      <c r="BV5" s="229">
        <v>-0.29270000000000002</v>
      </c>
      <c r="BW5" s="230">
        <v>14212250</v>
      </c>
      <c r="BX5" s="230">
        <v>13907250</v>
      </c>
      <c r="BY5" s="230">
        <v>305000</v>
      </c>
      <c r="BZ5" s="229">
        <v>2.1899999999999999E-2</v>
      </c>
      <c r="CA5" s="230">
        <v>13051250</v>
      </c>
      <c r="CB5" s="230">
        <v>12788500</v>
      </c>
      <c r="CC5" s="230">
        <v>262750</v>
      </c>
      <c r="CD5" s="229">
        <v>2.0500000000000001E-2</v>
      </c>
      <c r="CE5" s="230">
        <v>1143000</v>
      </c>
      <c r="CF5" s="230">
        <v>1105000</v>
      </c>
      <c r="CG5" s="230">
        <v>38000</v>
      </c>
      <c r="CH5" s="229">
        <v>3.44E-2</v>
      </c>
      <c r="CI5" s="230">
        <v>18000</v>
      </c>
      <c r="CJ5" s="230">
        <v>13750</v>
      </c>
      <c r="CK5" s="230">
        <v>4250</v>
      </c>
      <c r="CL5" s="229">
        <v>0.30909999999999999</v>
      </c>
      <c r="CM5" s="230">
        <v>3746500</v>
      </c>
      <c r="CN5" s="230">
        <v>2638000</v>
      </c>
      <c r="CO5" s="230">
        <v>1108500</v>
      </c>
      <c r="CP5" s="229">
        <v>0.42020000000000002</v>
      </c>
      <c r="CQ5" s="230">
        <v>3170000</v>
      </c>
      <c r="CR5" s="230">
        <v>2747000</v>
      </c>
      <c r="CS5" s="230">
        <v>423000</v>
      </c>
      <c r="CT5" s="229">
        <v>0.154</v>
      </c>
      <c r="CU5" s="230">
        <v>21128750</v>
      </c>
      <c r="CV5" s="230">
        <v>19292250</v>
      </c>
      <c r="CW5" s="230">
        <v>1836500</v>
      </c>
      <c r="CX5" s="229">
        <v>9.5200000000000007E-2</v>
      </c>
      <c r="CY5" s="228">
        <v>27.52</v>
      </c>
      <c r="CZ5" s="228">
        <v>31.36</v>
      </c>
      <c r="DA5" s="228">
        <v>-3.84</v>
      </c>
      <c r="DB5" s="228">
        <v>-3.84</v>
      </c>
      <c r="DC5" s="228">
        <v>28.84</v>
      </c>
      <c r="DD5" s="228">
        <v>28.91</v>
      </c>
      <c r="DE5" s="228">
        <v>-1.32</v>
      </c>
      <c r="DF5" s="228">
        <v>-7.0000000000000007E-2</v>
      </c>
      <c r="DG5" s="228">
        <v>26.28</v>
      </c>
      <c r="DH5" s="228">
        <v>30.1</v>
      </c>
      <c r="DI5" s="228">
        <v>-3.82</v>
      </c>
      <c r="DJ5" s="228">
        <v>-3.82</v>
      </c>
      <c r="DK5" s="228">
        <v>29.46</v>
      </c>
      <c r="DL5" s="228">
        <v>32.5</v>
      </c>
      <c r="DM5" s="228">
        <v>-3.04</v>
      </c>
      <c r="DN5" s="228">
        <v>-3.04</v>
      </c>
      <c r="DO5" s="228">
        <v>0.85</v>
      </c>
      <c r="DP5" s="228">
        <v>1.04</v>
      </c>
      <c r="DQ5" s="228">
        <v>-0.19</v>
      </c>
      <c r="DR5" s="229">
        <v>-0.1827</v>
      </c>
      <c r="DS5" s="231">
        <v>2500</v>
      </c>
      <c r="DT5" s="231">
        <v>2400</v>
      </c>
      <c r="DU5" s="228">
        <v>0.64</v>
      </c>
      <c r="DV5" s="228">
        <v>1.1000000000000001</v>
      </c>
      <c r="DW5" s="228">
        <v>-0.46</v>
      </c>
      <c r="DX5" s="229">
        <v>-0.41820000000000002</v>
      </c>
      <c r="DY5" s="229">
        <v>8.1699999999999995E-2</v>
      </c>
      <c r="DZ5" s="230">
        <v>1118750</v>
      </c>
      <c r="EA5" s="229">
        <v>-5.9999999999999995E-4</v>
      </c>
      <c r="EB5" s="229">
        <v>8.1699999999999995E-2</v>
      </c>
      <c r="EC5" s="228">
        <v>-7.77</v>
      </c>
      <c r="ED5" s="229">
        <v>-3.0999999999999999E-3</v>
      </c>
      <c r="EE5" s="230">
        <v>281439</v>
      </c>
      <c r="EF5" s="230">
        <v>298509</v>
      </c>
      <c r="EG5" s="229">
        <v>-5.7200000000000001E-2</v>
      </c>
      <c r="EH5" s="229">
        <v>0.45129999999999998</v>
      </c>
      <c r="EI5" s="231">
        <v>160185.20000000001</v>
      </c>
      <c r="EJ5" s="231">
        <v>95556.91</v>
      </c>
      <c r="EK5" s="231">
        <v>29542.27</v>
      </c>
      <c r="EL5" s="231">
        <v>16047</v>
      </c>
      <c r="EM5" s="231">
        <v>285284.38</v>
      </c>
      <c r="EN5" s="231">
        <v>233106.24</v>
      </c>
      <c r="EO5" s="231">
        <v>52178.14</v>
      </c>
      <c r="EP5" s="229">
        <v>0.2238</v>
      </c>
      <c r="EQ5" s="231">
        <v>96602</v>
      </c>
      <c r="ER5" s="231">
        <v>74121</v>
      </c>
      <c r="ES5" s="231">
        <v>349879</v>
      </c>
      <c r="ET5" s="231">
        <v>62818628</v>
      </c>
      <c r="EU5" s="231">
        <v>520602</v>
      </c>
      <c r="EV5" s="231">
        <v>473776</v>
      </c>
      <c r="EW5" s="231">
        <v>46826</v>
      </c>
      <c r="EX5" s="229">
        <v>9.8799999999999999E-2</v>
      </c>
      <c r="EY5" s="229">
        <v>0.33629999999999999</v>
      </c>
    </row>
    <row r="6" spans="1:155" ht="17.25" thickBot="1" x14ac:dyDescent="0.3">
      <c r="A6" s="226">
        <v>46146</v>
      </c>
      <c r="B6" s="227" t="s">
        <v>172</v>
      </c>
      <c r="C6" s="227" t="s">
        <v>173</v>
      </c>
      <c r="D6" s="231">
        <v>1282.2</v>
      </c>
      <c r="E6" s="231">
        <v>1275.9000000000001</v>
      </c>
      <c r="F6" s="228">
        <v>6.3</v>
      </c>
      <c r="G6" s="229">
        <v>4.8999999999999998E-3</v>
      </c>
      <c r="H6" s="231">
        <v>1275.0999999999999</v>
      </c>
      <c r="I6" s="231">
        <v>1268.3</v>
      </c>
      <c r="J6" s="228">
        <v>6.8</v>
      </c>
      <c r="K6" s="229">
        <v>5.4000000000000003E-3</v>
      </c>
      <c r="L6" s="231">
        <v>1282.2</v>
      </c>
      <c r="M6" s="231">
        <v>1275.9000000000001</v>
      </c>
      <c r="N6" s="228">
        <v>6.3</v>
      </c>
      <c r="O6" s="229">
        <v>4.8999999999999998E-3</v>
      </c>
      <c r="P6" s="231">
        <v>1290.5</v>
      </c>
      <c r="Q6" s="231">
        <v>1283.7</v>
      </c>
      <c r="R6" s="228">
        <v>6.8</v>
      </c>
      <c r="S6" s="229">
        <v>5.3E-3</v>
      </c>
      <c r="T6" s="231">
        <v>1297.4000000000001</v>
      </c>
      <c r="U6" s="231">
        <v>1290.4000000000001</v>
      </c>
      <c r="V6" s="228">
        <v>7</v>
      </c>
      <c r="W6" s="229">
        <v>5.4000000000000003E-3</v>
      </c>
      <c r="X6" s="228">
        <v>7.1</v>
      </c>
      <c r="Y6" s="228">
        <v>7.6</v>
      </c>
      <c r="Z6" s="228">
        <v>-0.5</v>
      </c>
      <c r="AA6" s="229">
        <v>5.5999999999999999E-3</v>
      </c>
      <c r="AB6" s="228">
        <v>7.1</v>
      </c>
      <c r="AC6" s="228">
        <v>7.6</v>
      </c>
      <c r="AD6" s="228">
        <v>-0.5</v>
      </c>
      <c r="AE6" s="229">
        <v>5.5999999999999999E-3</v>
      </c>
      <c r="AF6" s="228">
        <v>15.4</v>
      </c>
      <c r="AG6" s="228">
        <v>15.4</v>
      </c>
      <c r="AH6" s="228">
        <v>0</v>
      </c>
      <c r="AI6" s="229">
        <v>1.21E-2</v>
      </c>
      <c r="AJ6" s="228">
        <v>22.3</v>
      </c>
      <c r="AK6" s="228">
        <v>22.1</v>
      </c>
      <c r="AL6" s="228">
        <v>0.2</v>
      </c>
      <c r="AM6" s="229">
        <v>1.7500000000000002E-2</v>
      </c>
      <c r="AN6" s="231">
        <v>1285.04</v>
      </c>
      <c r="AO6" s="231">
        <v>1291.75</v>
      </c>
      <c r="AP6" s="228">
        <v>0</v>
      </c>
      <c r="AQ6" s="230">
        <v>11726</v>
      </c>
      <c r="AR6" s="230">
        <v>16675</v>
      </c>
      <c r="AS6" s="230">
        <v>-4949</v>
      </c>
      <c r="AT6" s="229">
        <v>-0.29680000000000001</v>
      </c>
      <c r="AU6" s="230">
        <v>10260</v>
      </c>
      <c r="AV6" s="230">
        <v>14813</v>
      </c>
      <c r="AW6" s="230">
        <v>-4553</v>
      </c>
      <c r="AX6" s="229">
        <v>-0.30740000000000001</v>
      </c>
      <c r="AY6" s="230">
        <v>1439</v>
      </c>
      <c r="AZ6" s="230">
        <v>1783</v>
      </c>
      <c r="BA6" s="228">
        <v>-344</v>
      </c>
      <c r="BB6" s="229">
        <v>-0.19289999999999999</v>
      </c>
      <c r="BC6" s="228">
        <v>27</v>
      </c>
      <c r="BD6" s="228">
        <v>79</v>
      </c>
      <c r="BE6" s="228">
        <v>-52</v>
      </c>
      <c r="BF6" s="229">
        <v>-0.65820000000000001</v>
      </c>
      <c r="BG6" s="230">
        <v>31764</v>
      </c>
      <c r="BH6" s="230">
        <v>39365</v>
      </c>
      <c r="BI6" s="230">
        <v>-7601</v>
      </c>
      <c r="BJ6" s="229">
        <v>-0.19309999999999999</v>
      </c>
      <c r="BK6" s="230">
        <v>15719</v>
      </c>
      <c r="BL6" s="230">
        <v>27853</v>
      </c>
      <c r="BM6" s="230">
        <v>-12134</v>
      </c>
      <c r="BN6" s="229">
        <v>-0.43559999999999999</v>
      </c>
      <c r="BO6" s="230">
        <v>59209</v>
      </c>
      <c r="BP6" s="230">
        <v>83893</v>
      </c>
      <c r="BQ6" s="230">
        <v>-24684</v>
      </c>
      <c r="BR6" s="229">
        <v>-0.29420000000000002</v>
      </c>
      <c r="BS6" s="230">
        <v>10542787</v>
      </c>
      <c r="BT6" s="230">
        <v>17248371</v>
      </c>
      <c r="BU6" s="230">
        <v>-6705584</v>
      </c>
      <c r="BV6" s="229">
        <v>-0.38879999999999998</v>
      </c>
      <c r="BW6" s="230">
        <v>66586250</v>
      </c>
      <c r="BX6" s="230">
        <v>64493750</v>
      </c>
      <c r="BY6" s="230">
        <v>2092500</v>
      </c>
      <c r="BZ6" s="229">
        <v>3.2399999999999998E-2</v>
      </c>
      <c r="CA6" s="230">
        <v>58879375</v>
      </c>
      <c r="CB6" s="230">
        <v>57502500</v>
      </c>
      <c r="CC6" s="230">
        <v>1376875</v>
      </c>
      <c r="CD6" s="229">
        <v>2.3900000000000001E-2</v>
      </c>
      <c r="CE6" s="230">
        <v>7646875</v>
      </c>
      <c r="CF6" s="230">
        <v>6939375</v>
      </c>
      <c r="CG6" s="230">
        <v>707500</v>
      </c>
      <c r="CH6" s="229">
        <v>0.10199999999999999</v>
      </c>
      <c r="CI6" s="230">
        <v>60000</v>
      </c>
      <c r="CJ6" s="230">
        <v>51875</v>
      </c>
      <c r="CK6" s="230">
        <v>8125</v>
      </c>
      <c r="CL6" s="229">
        <v>0.15659999999999999</v>
      </c>
      <c r="CM6" s="230">
        <v>14793750</v>
      </c>
      <c r="CN6" s="230">
        <v>12561875</v>
      </c>
      <c r="CO6" s="230">
        <v>2231875</v>
      </c>
      <c r="CP6" s="229">
        <v>0.1777</v>
      </c>
      <c r="CQ6" s="230">
        <v>10312500</v>
      </c>
      <c r="CR6" s="230">
        <v>8807500</v>
      </c>
      <c r="CS6" s="230">
        <v>1505000</v>
      </c>
      <c r="CT6" s="229">
        <v>0.1709</v>
      </c>
      <c r="CU6" s="230">
        <v>91692500</v>
      </c>
      <c r="CV6" s="230">
        <v>85863125</v>
      </c>
      <c r="CW6" s="230">
        <v>5829375</v>
      </c>
      <c r="CX6" s="229">
        <v>6.7900000000000002E-2</v>
      </c>
      <c r="CY6" s="228">
        <v>26.04</v>
      </c>
      <c r="CZ6" s="228">
        <v>25.98</v>
      </c>
      <c r="DA6" s="228">
        <v>0.06</v>
      </c>
      <c r="DB6" s="228">
        <v>0.06</v>
      </c>
      <c r="DC6" s="228">
        <v>30.1</v>
      </c>
      <c r="DD6" s="228">
        <v>30.16</v>
      </c>
      <c r="DE6" s="228">
        <v>-4.0599999999999996</v>
      </c>
      <c r="DF6" s="228">
        <v>-0.06</v>
      </c>
      <c r="DG6" s="228">
        <v>25.8</v>
      </c>
      <c r="DH6" s="228">
        <v>25.79</v>
      </c>
      <c r="DI6" s="228">
        <v>0.01</v>
      </c>
      <c r="DJ6" s="228">
        <v>0.01</v>
      </c>
      <c r="DK6" s="228">
        <v>26.53</v>
      </c>
      <c r="DL6" s="228">
        <v>26.25</v>
      </c>
      <c r="DM6" s="228">
        <v>0.28000000000000003</v>
      </c>
      <c r="DN6" s="228">
        <v>0.28000000000000003</v>
      </c>
      <c r="DO6" s="228">
        <v>0.7</v>
      </c>
      <c r="DP6" s="228">
        <v>0.7</v>
      </c>
      <c r="DQ6" s="228">
        <v>0</v>
      </c>
      <c r="DR6" s="229">
        <v>0</v>
      </c>
      <c r="DS6" s="231">
        <v>1400</v>
      </c>
      <c r="DT6" s="231">
        <v>1200</v>
      </c>
      <c r="DU6" s="228">
        <v>0.49</v>
      </c>
      <c r="DV6" s="228">
        <v>0.71</v>
      </c>
      <c r="DW6" s="228">
        <v>-0.22</v>
      </c>
      <c r="DX6" s="229">
        <v>-0.30990000000000001</v>
      </c>
      <c r="DY6" s="229">
        <v>0.1157</v>
      </c>
      <c r="DZ6" s="230">
        <v>6991250</v>
      </c>
      <c r="EA6" s="229">
        <v>6.4999999999999997E-3</v>
      </c>
      <c r="EB6" s="229">
        <v>0.1157</v>
      </c>
      <c r="EC6" s="228">
        <v>6.71</v>
      </c>
      <c r="ED6" s="229">
        <v>5.1999999999999998E-3</v>
      </c>
      <c r="EE6" s="230">
        <v>7214989</v>
      </c>
      <c r="EF6" s="230">
        <v>11666879</v>
      </c>
      <c r="EG6" s="229">
        <v>-0.38159999999999999</v>
      </c>
      <c r="EH6" s="229">
        <v>0.68440000000000001</v>
      </c>
      <c r="EI6" s="231">
        <v>268163.20000000001</v>
      </c>
      <c r="EJ6" s="231">
        <v>124192.45</v>
      </c>
      <c r="EK6" s="231">
        <v>94240.1</v>
      </c>
      <c r="EL6" s="231">
        <v>29291</v>
      </c>
      <c r="EM6" s="231">
        <v>486595.75</v>
      </c>
      <c r="EN6" s="231">
        <v>684644.07</v>
      </c>
      <c r="EO6" s="231">
        <v>-198048.32</v>
      </c>
      <c r="EP6" s="229">
        <v>-0.2893</v>
      </c>
      <c r="EQ6" s="231">
        <v>200542</v>
      </c>
      <c r="ER6" s="231">
        <v>128741</v>
      </c>
      <c r="ES6" s="231">
        <v>854413</v>
      </c>
      <c r="ET6" s="231">
        <v>331596880</v>
      </c>
      <c r="EU6" s="231">
        <v>1183696</v>
      </c>
      <c r="EV6" s="231">
        <v>1104370</v>
      </c>
      <c r="EW6" s="231">
        <v>79326</v>
      </c>
      <c r="EX6" s="229">
        <v>7.1800000000000003E-2</v>
      </c>
      <c r="EY6" s="229">
        <v>0.27650000000000002</v>
      </c>
    </row>
    <row r="7" spans="1:155" ht="17.25" thickBot="1" x14ac:dyDescent="0.3">
      <c r="A7" s="226">
        <v>46146</v>
      </c>
      <c r="B7" s="227" t="s">
        <v>162</v>
      </c>
      <c r="C7" s="227" t="s">
        <v>174</v>
      </c>
      <c r="D7" s="231">
        <v>10170.5</v>
      </c>
      <c r="E7" s="231">
        <v>10039</v>
      </c>
      <c r="F7" s="228">
        <v>131.5</v>
      </c>
      <c r="G7" s="229">
        <v>1.3100000000000001E-2</v>
      </c>
      <c r="H7" s="231">
        <v>10132</v>
      </c>
      <c r="I7" s="231">
        <v>9994</v>
      </c>
      <c r="J7" s="228">
        <v>138</v>
      </c>
      <c r="K7" s="229">
        <v>1.38E-2</v>
      </c>
      <c r="L7" s="231">
        <v>10170.5</v>
      </c>
      <c r="M7" s="231">
        <v>10039</v>
      </c>
      <c r="N7" s="228">
        <v>131.5</v>
      </c>
      <c r="O7" s="229">
        <v>1.3100000000000001E-2</v>
      </c>
      <c r="P7" s="231">
        <v>10074.5</v>
      </c>
      <c r="Q7" s="231">
        <v>9959</v>
      </c>
      <c r="R7" s="228">
        <v>115.5</v>
      </c>
      <c r="S7" s="229">
        <v>1.1599999999999999E-2</v>
      </c>
      <c r="T7" s="231">
        <v>9982.5</v>
      </c>
      <c r="U7" s="231">
        <v>9866</v>
      </c>
      <c r="V7" s="228">
        <v>116.5</v>
      </c>
      <c r="W7" s="229">
        <v>1.18E-2</v>
      </c>
      <c r="X7" s="228">
        <v>38.5</v>
      </c>
      <c r="Y7" s="228">
        <v>45</v>
      </c>
      <c r="Z7" s="228">
        <v>-6.5</v>
      </c>
      <c r="AA7" s="229">
        <v>3.8E-3</v>
      </c>
      <c r="AB7" s="228">
        <v>38.5</v>
      </c>
      <c r="AC7" s="228">
        <v>45</v>
      </c>
      <c r="AD7" s="228">
        <v>-6.5</v>
      </c>
      <c r="AE7" s="229">
        <v>3.8E-3</v>
      </c>
      <c r="AF7" s="228">
        <v>-57.5</v>
      </c>
      <c r="AG7" s="228">
        <v>-35</v>
      </c>
      <c r="AH7" s="228">
        <v>-22.5</v>
      </c>
      <c r="AI7" s="229">
        <v>-5.7000000000000002E-3</v>
      </c>
      <c r="AJ7" s="228">
        <v>-149.5</v>
      </c>
      <c r="AK7" s="228">
        <v>-128</v>
      </c>
      <c r="AL7" s="228">
        <v>-21.5</v>
      </c>
      <c r="AM7" s="229">
        <v>-1.4800000000000001E-2</v>
      </c>
      <c r="AN7" s="231">
        <v>10288.02</v>
      </c>
      <c r="AO7" s="231">
        <v>10183.9</v>
      </c>
      <c r="AP7" s="228">
        <v>0</v>
      </c>
      <c r="AQ7" s="230">
        <v>10966</v>
      </c>
      <c r="AR7" s="230">
        <v>22614</v>
      </c>
      <c r="AS7" s="230">
        <v>-11648</v>
      </c>
      <c r="AT7" s="229">
        <v>-0.5151</v>
      </c>
      <c r="AU7" s="230">
        <v>10304</v>
      </c>
      <c r="AV7" s="230">
        <v>21170</v>
      </c>
      <c r="AW7" s="230">
        <v>-10866</v>
      </c>
      <c r="AX7" s="229">
        <v>-0.51329999999999998</v>
      </c>
      <c r="AY7" s="228">
        <v>597</v>
      </c>
      <c r="AZ7" s="230">
        <v>1346</v>
      </c>
      <c r="BA7" s="228">
        <v>-749</v>
      </c>
      <c r="BB7" s="229">
        <v>-0.55649999999999999</v>
      </c>
      <c r="BC7" s="228">
        <v>65</v>
      </c>
      <c r="BD7" s="228">
        <v>98</v>
      </c>
      <c r="BE7" s="228">
        <v>-33</v>
      </c>
      <c r="BF7" s="229">
        <v>-0.3367</v>
      </c>
      <c r="BG7" s="230">
        <v>77943</v>
      </c>
      <c r="BH7" s="230">
        <v>106808</v>
      </c>
      <c r="BI7" s="230">
        <v>-28865</v>
      </c>
      <c r="BJ7" s="229">
        <v>-0.27029999999999998</v>
      </c>
      <c r="BK7" s="230">
        <v>43465</v>
      </c>
      <c r="BL7" s="230">
        <v>44741</v>
      </c>
      <c r="BM7" s="230">
        <v>-1276</v>
      </c>
      <c r="BN7" s="229">
        <v>-2.8500000000000001E-2</v>
      </c>
      <c r="BO7" s="230">
        <v>132374</v>
      </c>
      <c r="BP7" s="230">
        <v>174163</v>
      </c>
      <c r="BQ7" s="230">
        <v>-41789</v>
      </c>
      <c r="BR7" s="229">
        <v>-0.2399</v>
      </c>
      <c r="BS7" s="230">
        <v>763219</v>
      </c>
      <c r="BT7" s="230">
        <v>1258037</v>
      </c>
      <c r="BU7" s="230">
        <v>-494818</v>
      </c>
      <c r="BV7" s="229">
        <v>-0.39329999999999998</v>
      </c>
      <c r="BW7" s="230">
        <v>2600475</v>
      </c>
      <c r="BX7" s="230">
        <v>2572200</v>
      </c>
      <c r="BY7" s="230">
        <v>28275</v>
      </c>
      <c r="BZ7" s="229">
        <v>1.0999999999999999E-2</v>
      </c>
      <c r="CA7" s="230">
        <v>2485200</v>
      </c>
      <c r="CB7" s="230">
        <v>2470050</v>
      </c>
      <c r="CC7" s="230">
        <v>15150</v>
      </c>
      <c r="CD7" s="229">
        <v>6.1000000000000004E-3</v>
      </c>
      <c r="CE7" s="230">
        <v>109125</v>
      </c>
      <c r="CF7" s="230">
        <v>98175</v>
      </c>
      <c r="CG7" s="230">
        <v>10950</v>
      </c>
      <c r="CH7" s="229">
        <v>0.1115</v>
      </c>
      <c r="CI7" s="230">
        <v>6150</v>
      </c>
      <c r="CJ7" s="230">
        <v>3975</v>
      </c>
      <c r="CK7" s="230">
        <v>2175</v>
      </c>
      <c r="CL7" s="229">
        <v>0.54720000000000002</v>
      </c>
      <c r="CM7" s="230">
        <v>1430700</v>
      </c>
      <c r="CN7" s="230">
        <v>1086525</v>
      </c>
      <c r="CO7" s="230">
        <v>344175</v>
      </c>
      <c r="CP7" s="229">
        <v>0.31680000000000003</v>
      </c>
      <c r="CQ7" s="230">
        <v>1137375</v>
      </c>
      <c r="CR7" s="230">
        <v>962625</v>
      </c>
      <c r="CS7" s="230">
        <v>174750</v>
      </c>
      <c r="CT7" s="229">
        <v>0.18149999999999999</v>
      </c>
      <c r="CU7" s="230">
        <v>5168550</v>
      </c>
      <c r="CV7" s="230">
        <v>4621350</v>
      </c>
      <c r="CW7" s="230">
        <v>547200</v>
      </c>
      <c r="CX7" s="229">
        <v>0.11840000000000001</v>
      </c>
      <c r="CY7" s="228">
        <v>32.159999999999997</v>
      </c>
      <c r="CZ7" s="228">
        <v>31.2</v>
      </c>
      <c r="DA7" s="228">
        <v>0.96</v>
      </c>
      <c r="DB7" s="228">
        <v>0.96</v>
      </c>
      <c r="DC7" s="228">
        <v>29.96</v>
      </c>
      <c r="DD7" s="228">
        <v>29.98</v>
      </c>
      <c r="DE7" s="228">
        <v>2.2000000000000002</v>
      </c>
      <c r="DF7" s="228">
        <v>-0.02</v>
      </c>
      <c r="DG7" s="228">
        <v>31.95</v>
      </c>
      <c r="DH7" s="228">
        <v>30.85</v>
      </c>
      <c r="DI7" s="228">
        <v>1.1000000000000001</v>
      </c>
      <c r="DJ7" s="228">
        <v>1.1000000000000001</v>
      </c>
      <c r="DK7" s="228">
        <v>32.54</v>
      </c>
      <c r="DL7" s="228">
        <v>32.020000000000003</v>
      </c>
      <c r="DM7" s="228">
        <v>0.52</v>
      </c>
      <c r="DN7" s="228">
        <v>0.52</v>
      </c>
      <c r="DO7" s="228">
        <v>0.79</v>
      </c>
      <c r="DP7" s="228">
        <v>0.89</v>
      </c>
      <c r="DQ7" s="228">
        <v>-0.1</v>
      </c>
      <c r="DR7" s="229">
        <v>-0.1124</v>
      </c>
      <c r="DS7" s="231">
        <v>11000</v>
      </c>
      <c r="DT7" s="231">
        <v>9000</v>
      </c>
      <c r="DU7" s="228">
        <v>0.56000000000000005</v>
      </c>
      <c r="DV7" s="228">
        <v>0.42</v>
      </c>
      <c r="DW7" s="228">
        <v>0.14000000000000001</v>
      </c>
      <c r="DX7" s="229">
        <v>0.33329999999999999</v>
      </c>
      <c r="DY7" s="229">
        <v>4.4299999999999999E-2</v>
      </c>
      <c r="DZ7" s="230">
        <v>102150</v>
      </c>
      <c r="EA7" s="229">
        <v>-9.4000000000000004E-3</v>
      </c>
      <c r="EB7" s="229">
        <v>4.4299999999999999E-2</v>
      </c>
      <c r="EC7" s="228">
        <v>-104.12</v>
      </c>
      <c r="ED7" s="229">
        <v>-1.01E-2</v>
      </c>
      <c r="EE7" s="230">
        <v>274513</v>
      </c>
      <c r="EF7" s="230">
        <v>475854</v>
      </c>
      <c r="EG7" s="229">
        <v>-0.42309999999999998</v>
      </c>
      <c r="EH7" s="229">
        <v>0.35970000000000002</v>
      </c>
      <c r="EI7" s="231">
        <v>639906.78</v>
      </c>
      <c r="EJ7" s="231">
        <v>319295.90000000002</v>
      </c>
      <c r="EK7" s="231">
        <v>84559.79</v>
      </c>
      <c r="EL7" s="231">
        <v>16166</v>
      </c>
      <c r="EM7" s="231">
        <v>1043762.47</v>
      </c>
      <c r="EN7" s="231">
        <v>1323236.83</v>
      </c>
      <c r="EO7" s="231">
        <v>-279474.36</v>
      </c>
      <c r="EP7" s="229">
        <v>-0.2112</v>
      </c>
      <c r="EQ7" s="231">
        <v>148413</v>
      </c>
      <c r="ER7" s="231">
        <v>107253</v>
      </c>
      <c r="ES7" s="231">
        <v>264365</v>
      </c>
      <c r="ET7" s="231">
        <v>12553818</v>
      </c>
      <c r="EU7" s="231">
        <v>520030</v>
      </c>
      <c r="EV7" s="231">
        <v>457925</v>
      </c>
      <c r="EW7" s="231">
        <v>62105</v>
      </c>
      <c r="EX7" s="229">
        <v>0.1356</v>
      </c>
      <c r="EY7" s="229">
        <v>0.41170000000000001</v>
      </c>
    </row>
    <row r="8" spans="1:155" ht="17.25" thickBot="1" x14ac:dyDescent="0.3">
      <c r="A8" s="226">
        <v>46146</v>
      </c>
      <c r="B8" s="227" t="s">
        <v>175</v>
      </c>
      <c r="C8" s="227" t="s">
        <v>176</v>
      </c>
      <c r="D8" s="231">
        <v>1780.2</v>
      </c>
      <c r="E8" s="231">
        <v>1752.4</v>
      </c>
      <c r="F8" s="228">
        <v>27.8</v>
      </c>
      <c r="G8" s="229">
        <v>1.5900000000000001E-2</v>
      </c>
      <c r="H8" s="231">
        <v>1770.4</v>
      </c>
      <c r="I8" s="231">
        <v>1747.2</v>
      </c>
      <c r="J8" s="228">
        <v>23.2</v>
      </c>
      <c r="K8" s="229">
        <v>1.3299999999999999E-2</v>
      </c>
      <c r="L8" s="231">
        <v>1780.2</v>
      </c>
      <c r="M8" s="231">
        <v>1752.4</v>
      </c>
      <c r="N8" s="228">
        <v>27.8</v>
      </c>
      <c r="O8" s="229">
        <v>1.5900000000000001E-2</v>
      </c>
      <c r="P8" s="231">
        <v>1790.2</v>
      </c>
      <c r="Q8" s="231">
        <v>1764.1</v>
      </c>
      <c r="R8" s="228">
        <v>26.1</v>
      </c>
      <c r="S8" s="229">
        <v>1.4800000000000001E-2</v>
      </c>
      <c r="T8" s="231">
        <v>1800.2</v>
      </c>
      <c r="U8" s="231">
        <v>1774.5</v>
      </c>
      <c r="V8" s="228">
        <v>25.7</v>
      </c>
      <c r="W8" s="229">
        <v>1.4500000000000001E-2</v>
      </c>
      <c r="X8" s="228">
        <v>9.8000000000000007</v>
      </c>
      <c r="Y8" s="228">
        <v>5.2</v>
      </c>
      <c r="Z8" s="228">
        <v>4.5999999999999996</v>
      </c>
      <c r="AA8" s="229">
        <v>5.4999999999999997E-3</v>
      </c>
      <c r="AB8" s="228">
        <v>9.8000000000000007</v>
      </c>
      <c r="AC8" s="228">
        <v>5.2</v>
      </c>
      <c r="AD8" s="228">
        <v>4.5999999999999996</v>
      </c>
      <c r="AE8" s="229">
        <v>5.4999999999999997E-3</v>
      </c>
      <c r="AF8" s="228">
        <v>19.8</v>
      </c>
      <c r="AG8" s="228">
        <v>16.899999999999999</v>
      </c>
      <c r="AH8" s="228">
        <v>2.9</v>
      </c>
      <c r="AI8" s="229">
        <v>1.12E-2</v>
      </c>
      <c r="AJ8" s="228">
        <v>29.8</v>
      </c>
      <c r="AK8" s="228">
        <v>27.3</v>
      </c>
      <c r="AL8" s="228">
        <v>2.5</v>
      </c>
      <c r="AM8" s="229">
        <v>1.6799999999999999E-2</v>
      </c>
      <c r="AN8" s="231">
        <v>1778.75</v>
      </c>
      <c r="AO8" s="231">
        <v>1787.28</v>
      </c>
      <c r="AP8" s="228">
        <v>0</v>
      </c>
      <c r="AQ8" s="230">
        <v>5583</v>
      </c>
      <c r="AR8" s="230">
        <v>10430</v>
      </c>
      <c r="AS8" s="230">
        <v>-4847</v>
      </c>
      <c r="AT8" s="229">
        <v>-0.4647</v>
      </c>
      <c r="AU8" s="230">
        <v>4941</v>
      </c>
      <c r="AV8" s="230">
        <v>9940</v>
      </c>
      <c r="AW8" s="230">
        <v>-4999</v>
      </c>
      <c r="AX8" s="229">
        <v>-0.50290000000000001</v>
      </c>
      <c r="AY8" s="228">
        <v>619</v>
      </c>
      <c r="AZ8" s="228">
        <v>423</v>
      </c>
      <c r="BA8" s="228">
        <v>196</v>
      </c>
      <c r="BB8" s="229">
        <v>0.46339999999999998</v>
      </c>
      <c r="BC8" s="228">
        <v>23</v>
      </c>
      <c r="BD8" s="228">
        <v>67</v>
      </c>
      <c r="BE8" s="228">
        <v>-44</v>
      </c>
      <c r="BF8" s="229">
        <v>-0.65669999999999995</v>
      </c>
      <c r="BG8" s="230">
        <v>20197</v>
      </c>
      <c r="BH8" s="230">
        <v>41143</v>
      </c>
      <c r="BI8" s="230">
        <v>-20946</v>
      </c>
      <c r="BJ8" s="229">
        <v>-0.5091</v>
      </c>
      <c r="BK8" s="230">
        <v>13246</v>
      </c>
      <c r="BL8" s="230">
        <v>25953</v>
      </c>
      <c r="BM8" s="230">
        <v>-12707</v>
      </c>
      <c r="BN8" s="229">
        <v>-0.48959999999999998</v>
      </c>
      <c r="BO8" s="230">
        <v>39026</v>
      </c>
      <c r="BP8" s="230">
        <v>77526</v>
      </c>
      <c r="BQ8" s="230">
        <v>-38500</v>
      </c>
      <c r="BR8" s="229">
        <v>-0.49659999999999999</v>
      </c>
      <c r="BS8" s="230">
        <v>1745036</v>
      </c>
      <c r="BT8" s="230">
        <v>2722860</v>
      </c>
      <c r="BU8" s="230">
        <v>-977824</v>
      </c>
      <c r="BV8" s="229">
        <v>-0.35909999999999997</v>
      </c>
      <c r="BW8" s="230">
        <v>11619950</v>
      </c>
      <c r="BX8" s="230">
        <v>11229400</v>
      </c>
      <c r="BY8" s="230">
        <v>390550</v>
      </c>
      <c r="BZ8" s="229">
        <v>3.4799999999999998E-2</v>
      </c>
      <c r="CA8" s="230">
        <v>10593500</v>
      </c>
      <c r="CB8" s="230">
        <v>10294000</v>
      </c>
      <c r="CC8" s="230">
        <v>299500</v>
      </c>
      <c r="CD8" s="229">
        <v>2.9100000000000001E-2</v>
      </c>
      <c r="CE8" s="230">
        <v>1002750</v>
      </c>
      <c r="CF8" s="230">
        <v>916500</v>
      </c>
      <c r="CG8" s="230">
        <v>86250</v>
      </c>
      <c r="CH8" s="229">
        <v>9.4100000000000003E-2</v>
      </c>
      <c r="CI8" s="230">
        <v>23700</v>
      </c>
      <c r="CJ8" s="230">
        <v>18900</v>
      </c>
      <c r="CK8" s="230">
        <v>4800</v>
      </c>
      <c r="CL8" s="229">
        <v>0.254</v>
      </c>
      <c r="CM8" s="230">
        <v>2778500</v>
      </c>
      <c r="CN8" s="230">
        <v>2630000</v>
      </c>
      <c r="CO8" s="230">
        <v>148500</v>
      </c>
      <c r="CP8" s="229">
        <v>5.6500000000000002E-2</v>
      </c>
      <c r="CQ8" s="230">
        <v>2915500</v>
      </c>
      <c r="CR8" s="230">
        <v>2651250</v>
      </c>
      <c r="CS8" s="230">
        <v>264250</v>
      </c>
      <c r="CT8" s="229">
        <v>9.9699999999999997E-2</v>
      </c>
      <c r="CU8" s="230">
        <v>17313950</v>
      </c>
      <c r="CV8" s="230">
        <v>16510650</v>
      </c>
      <c r="CW8" s="230">
        <v>803300</v>
      </c>
      <c r="CX8" s="229">
        <v>4.87E-2</v>
      </c>
      <c r="CY8" s="228">
        <v>28.1</v>
      </c>
      <c r="CZ8" s="228">
        <v>29.93</v>
      </c>
      <c r="DA8" s="228">
        <v>-1.83</v>
      </c>
      <c r="DB8" s="228">
        <v>-1.83</v>
      </c>
      <c r="DC8" s="228">
        <v>30.37</v>
      </c>
      <c r="DD8" s="228">
        <v>30.37</v>
      </c>
      <c r="DE8" s="228">
        <v>-2.27</v>
      </c>
      <c r="DF8" s="228">
        <v>0</v>
      </c>
      <c r="DG8" s="228">
        <v>27</v>
      </c>
      <c r="DH8" s="228">
        <v>29.4</v>
      </c>
      <c r="DI8" s="228">
        <v>-2.4</v>
      </c>
      <c r="DJ8" s="228">
        <v>-2.4</v>
      </c>
      <c r="DK8" s="228">
        <v>29.77</v>
      </c>
      <c r="DL8" s="228">
        <v>30.77</v>
      </c>
      <c r="DM8" s="228">
        <v>-1</v>
      </c>
      <c r="DN8" s="228">
        <v>-1</v>
      </c>
      <c r="DO8" s="228">
        <v>1.05</v>
      </c>
      <c r="DP8" s="228">
        <v>1.01</v>
      </c>
      <c r="DQ8" s="228">
        <v>0.04</v>
      </c>
      <c r="DR8" s="229">
        <v>3.9600000000000003E-2</v>
      </c>
      <c r="DS8" s="231">
        <v>1800</v>
      </c>
      <c r="DT8" s="231">
        <v>1780</v>
      </c>
      <c r="DU8" s="228">
        <v>0.66</v>
      </c>
      <c r="DV8" s="228">
        <v>0.63</v>
      </c>
      <c r="DW8" s="228">
        <v>0.03</v>
      </c>
      <c r="DX8" s="229">
        <v>4.7600000000000003E-2</v>
      </c>
      <c r="DY8" s="229">
        <v>8.8300000000000003E-2</v>
      </c>
      <c r="DZ8" s="230">
        <v>935400</v>
      </c>
      <c r="EA8" s="229">
        <v>5.5999999999999999E-3</v>
      </c>
      <c r="EB8" s="229">
        <v>8.8300000000000003E-2</v>
      </c>
      <c r="EC8" s="228">
        <v>8.5299999999999994</v>
      </c>
      <c r="ED8" s="229">
        <v>4.7999999999999996E-3</v>
      </c>
      <c r="EE8" s="230">
        <v>936130</v>
      </c>
      <c r="EF8" s="230">
        <v>1143296</v>
      </c>
      <c r="EG8" s="229">
        <v>-0.1812</v>
      </c>
      <c r="EH8" s="229">
        <v>0.53649999999999998</v>
      </c>
      <c r="EI8" s="231">
        <v>94728.11</v>
      </c>
      <c r="EJ8" s="231">
        <v>57337.52</v>
      </c>
      <c r="EK8" s="231">
        <v>24861.89</v>
      </c>
      <c r="EL8" s="231">
        <v>13665</v>
      </c>
      <c r="EM8" s="231">
        <v>176927.52</v>
      </c>
      <c r="EN8" s="231">
        <v>352504.21</v>
      </c>
      <c r="EO8" s="231">
        <v>-175576.69</v>
      </c>
      <c r="EP8" s="229">
        <v>-0.49809999999999999</v>
      </c>
      <c r="EQ8" s="231">
        <v>51679</v>
      </c>
      <c r="ER8" s="231">
        <v>51005</v>
      </c>
      <c r="ES8" s="231">
        <v>206963</v>
      </c>
      <c r="ET8" s="231">
        <v>65784745</v>
      </c>
      <c r="EU8" s="231">
        <v>309647</v>
      </c>
      <c r="EV8" s="231">
        <v>291991</v>
      </c>
      <c r="EW8" s="231">
        <v>17656</v>
      </c>
      <c r="EX8" s="229">
        <v>6.0499999999999998E-2</v>
      </c>
      <c r="EY8" s="229">
        <v>0.26319999999999999</v>
      </c>
    </row>
    <row r="9" spans="1:155" ht="17.25" thickBot="1" x14ac:dyDescent="0.3">
      <c r="A9" s="226">
        <v>46146</v>
      </c>
      <c r="B9" s="227" t="s">
        <v>175</v>
      </c>
      <c r="C9" s="227" t="s">
        <v>177</v>
      </c>
      <c r="D9" s="228">
        <v>953.4</v>
      </c>
      <c r="E9" s="228">
        <v>942.35</v>
      </c>
      <c r="F9" s="228">
        <v>11.05</v>
      </c>
      <c r="G9" s="229">
        <v>1.17E-2</v>
      </c>
      <c r="H9" s="228">
        <v>950.2</v>
      </c>
      <c r="I9" s="228">
        <v>937</v>
      </c>
      <c r="J9" s="228">
        <v>13.2</v>
      </c>
      <c r="K9" s="229">
        <v>1.41E-2</v>
      </c>
      <c r="L9" s="228">
        <v>953.4</v>
      </c>
      <c r="M9" s="228">
        <v>942.35</v>
      </c>
      <c r="N9" s="228">
        <v>11.05</v>
      </c>
      <c r="O9" s="229">
        <v>1.17E-2</v>
      </c>
      <c r="P9" s="228">
        <v>954.05</v>
      </c>
      <c r="Q9" s="228">
        <v>942.2</v>
      </c>
      <c r="R9" s="228">
        <v>11.85</v>
      </c>
      <c r="S9" s="229">
        <v>1.26E-2</v>
      </c>
      <c r="T9" s="228">
        <v>958.85</v>
      </c>
      <c r="U9" s="228">
        <v>946.4</v>
      </c>
      <c r="V9" s="228">
        <v>12.45</v>
      </c>
      <c r="W9" s="229">
        <v>1.32E-2</v>
      </c>
      <c r="X9" s="228">
        <v>3.2</v>
      </c>
      <c r="Y9" s="228">
        <v>5.35</v>
      </c>
      <c r="Z9" s="228">
        <v>-2.15</v>
      </c>
      <c r="AA9" s="229">
        <v>3.3999999999999998E-3</v>
      </c>
      <c r="AB9" s="228">
        <v>3.2</v>
      </c>
      <c r="AC9" s="228">
        <v>5.35</v>
      </c>
      <c r="AD9" s="228">
        <v>-2.15</v>
      </c>
      <c r="AE9" s="229">
        <v>3.3999999999999998E-3</v>
      </c>
      <c r="AF9" s="228">
        <v>3.85</v>
      </c>
      <c r="AG9" s="228">
        <v>5.2</v>
      </c>
      <c r="AH9" s="228">
        <v>-1.35</v>
      </c>
      <c r="AI9" s="229">
        <v>4.1000000000000003E-3</v>
      </c>
      <c r="AJ9" s="228">
        <v>8.65</v>
      </c>
      <c r="AK9" s="228">
        <v>9.4</v>
      </c>
      <c r="AL9" s="228">
        <v>-0.75</v>
      </c>
      <c r="AM9" s="229">
        <v>9.1000000000000004E-3</v>
      </c>
      <c r="AN9" s="228">
        <v>956.69</v>
      </c>
      <c r="AO9" s="228">
        <v>957</v>
      </c>
      <c r="AP9" s="228">
        <v>0</v>
      </c>
      <c r="AQ9" s="230">
        <v>10975</v>
      </c>
      <c r="AR9" s="230">
        <v>38423</v>
      </c>
      <c r="AS9" s="230">
        <v>-27448</v>
      </c>
      <c r="AT9" s="229">
        <v>-0.71440000000000003</v>
      </c>
      <c r="AU9" s="230">
        <v>10063</v>
      </c>
      <c r="AV9" s="230">
        <v>36665</v>
      </c>
      <c r="AW9" s="230">
        <v>-26602</v>
      </c>
      <c r="AX9" s="229">
        <v>-0.72550000000000003</v>
      </c>
      <c r="AY9" s="228">
        <v>816</v>
      </c>
      <c r="AZ9" s="230">
        <v>1558</v>
      </c>
      <c r="BA9" s="228">
        <v>-742</v>
      </c>
      <c r="BB9" s="229">
        <v>-0.4763</v>
      </c>
      <c r="BC9" s="228">
        <v>96</v>
      </c>
      <c r="BD9" s="228">
        <v>200</v>
      </c>
      <c r="BE9" s="228">
        <v>-104</v>
      </c>
      <c r="BF9" s="229">
        <v>-0.52</v>
      </c>
      <c r="BG9" s="230">
        <v>38679</v>
      </c>
      <c r="BH9" s="230">
        <v>126019</v>
      </c>
      <c r="BI9" s="230">
        <v>-87340</v>
      </c>
      <c r="BJ9" s="229">
        <v>-0.69310000000000005</v>
      </c>
      <c r="BK9" s="230">
        <v>24322</v>
      </c>
      <c r="BL9" s="230">
        <v>69836</v>
      </c>
      <c r="BM9" s="230">
        <v>-45514</v>
      </c>
      <c r="BN9" s="229">
        <v>-0.65169999999999995</v>
      </c>
      <c r="BO9" s="230">
        <v>73976</v>
      </c>
      <c r="BP9" s="230">
        <v>234278</v>
      </c>
      <c r="BQ9" s="230">
        <v>-160302</v>
      </c>
      <c r="BR9" s="229">
        <v>-0.68420000000000003</v>
      </c>
      <c r="BS9" s="230">
        <v>7730714</v>
      </c>
      <c r="BT9" s="230">
        <v>29336023</v>
      </c>
      <c r="BU9" s="230">
        <v>-21605309</v>
      </c>
      <c r="BV9" s="229">
        <v>-0.73650000000000004</v>
      </c>
      <c r="BW9" s="230">
        <v>71145000</v>
      </c>
      <c r="BX9" s="230">
        <v>71488500</v>
      </c>
      <c r="BY9" s="230">
        <v>-343500</v>
      </c>
      <c r="BZ9" s="229">
        <v>-4.7999999999999996E-3</v>
      </c>
      <c r="CA9" s="230">
        <v>60417000</v>
      </c>
      <c r="CB9" s="230">
        <v>60931500</v>
      </c>
      <c r="CC9" s="230">
        <v>-514500</v>
      </c>
      <c r="CD9" s="229">
        <v>-8.3999999999999995E-3</v>
      </c>
      <c r="CE9" s="230">
        <v>10614000</v>
      </c>
      <c r="CF9" s="230">
        <v>10461750</v>
      </c>
      <c r="CG9" s="230">
        <v>152250</v>
      </c>
      <c r="CH9" s="229">
        <v>1.46E-2</v>
      </c>
      <c r="CI9" s="230">
        <v>114000</v>
      </c>
      <c r="CJ9" s="230">
        <v>95250</v>
      </c>
      <c r="CK9" s="230">
        <v>18750</v>
      </c>
      <c r="CL9" s="229">
        <v>0.19689999999999999</v>
      </c>
      <c r="CM9" s="230">
        <v>16751250</v>
      </c>
      <c r="CN9" s="230">
        <v>17623500</v>
      </c>
      <c r="CO9" s="230">
        <v>-872250</v>
      </c>
      <c r="CP9" s="229">
        <v>-4.9500000000000002E-2</v>
      </c>
      <c r="CQ9" s="230">
        <v>12618750</v>
      </c>
      <c r="CR9" s="230">
        <v>12453750</v>
      </c>
      <c r="CS9" s="230">
        <v>165000</v>
      </c>
      <c r="CT9" s="229">
        <v>1.32E-2</v>
      </c>
      <c r="CU9" s="230">
        <v>100515000</v>
      </c>
      <c r="CV9" s="230">
        <v>101565750</v>
      </c>
      <c r="CW9" s="230">
        <v>-1050750</v>
      </c>
      <c r="CX9" s="229">
        <v>-1.03E-2</v>
      </c>
      <c r="CY9" s="228">
        <v>31.48</v>
      </c>
      <c r="CZ9" s="228">
        <v>31.41</v>
      </c>
      <c r="DA9" s="228">
        <v>7.0000000000000007E-2</v>
      </c>
      <c r="DB9" s="228">
        <v>7.0000000000000007E-2</v>
      </c>
      <c r="DC9" s="228">
        <v>35.43</v>
      </c>
      <c r="DD9" s="228">
        <v>35.47</v>
      </c>
      <c r="DE9" s="228">
        <v>-3.95</v>
      </c>
      <c r="DF9" s="228">
        <v>-0.04</v>
      </c>
      <c r="DG9" s="228">
        <v>30.89</v>
      </c>
      <c r="DH9" s="228">
        <v>31.05</v>
      </c>
      <c r="DI9" s="228">
        <v>-0.16</v>
      </c>
      <c r="DJ9" s="228">
        <v>-0.16</v>
      </c>
      <c r="DK9" s="228">
        <v>32.43</v>
      </c>
      <c r="DL9" s="228">
        <v>32.07</v>
      </c>
      <c r="DM9" s="228">
        <v>0.36</v>
      </c>
      <c r="DN9" s="228">
        <v>0.36</v>
      </c>
      <c r="DO9" s="228">
        <v>0.75</v>
      </c>
      <c r="DP9" s="228">
        <v>0.71</v>
      </c>
      <c r="DQ9" s="228">
        <v>0.04</v>
      </c>
      <c r="DR9" s="229">
        <v>5.6300000000000003E-2</v>
      </c>
      <c r="DS9" s="231">
        <v>1000</v>
      </c>
      <c r="DT9" s="228">
        <v>900</v>
      </c>
      <c r="DU9" s="228">
        <v>0.63</v>
      </c>
      <c r="DV9" s="228">
        <v>0.55000000000000004</v>
      </c>
      <c r="DW9" s="228">
        <v>0.08</v>
      </c>
      <c r="DX9" s="229">
        <v>0.14549999999999999</v>
      </c>
      <c r="DY9" s="229">
        <v>0.15079999999999999</v>
      </c>
      <c r="DZ9" s="230">
        <v>10557000</v>
      </c>
      <c r="EA9" s="229">
        <v>6.9999999999999999E-4</v>
      </c>
      <c r="EB9" s="229">
        <v>0.15079999999999999</v>
      </c>
      <c r="EC9" s="228">
        <v>0.31</v>
      </c>
      <c r="ED9" s="229">
        <v>2.9999999999999997E-4</v>
      </c>
      <c r="EE9" s="230">
        <v>3494321</v>
      </c>
      <c r="EF9" s="230">
        <v>10877952</v>
      </c>
      <c r="EG9" s="229">
        <v>-0.67879999999999996</v>
      </c>
      <c r="EH9" s="229">
        <v>0.45200000000000001</v>
      </c>
      <c r="EI9" s="231">
        <v>290410.63</v>
      </c>
      <c r="EJ9" s="231">
        <v>170346.04</v>
      </c>
      <c r="EK9" s="231">
        <v>78753.8</v>
      </c>
      <c r="EL9" s="231">
        <v>38725</v>
      </c>
      <c r="EM9" s="231">
        <v>539510.47</v>
      </c>
      <c r="EN9" s="231">
        <v>1715069.68</v>
      </c>
      <c r="EO9" s="231">
        <v>-1175559.21</v>
      </c>
      <c r="EP9" s="229">
        <v>-0.68540000000000001</v>
      </c>
      <c r="EQ9" s="231">
        <v>161867</v>
      </c>
      <c r="ER9" s="231">
        <v>115159</v>
      </c>
      <c r="ES9" s="231">
        <v>678372</v>
      </c>
      <c r="ET9" s="231">
        <v>387962395</v>
      </c>
      <c r="EU9" s="231">
        <v>955398</v>
      </c>
      <c r="EV9" s="231">
        <v>957244</v>
      </c>
      <c r="EW9" s="231">
        <v>-1846</v>
      </c>
      <c r="EX9" s="229">
        <v>-1.9E-3</v>
      </c>
      <c r="EY9" s="229">
        <v>0.2591</v>
      </c>
    </row>
    <row r="10" spans="1:155" ht="17.25" thickBot="1" x14ac:dyDescent="0.3">
      <c r="A10" s="226">
        <v>46146</v>
      </c>
      <c r="B10" s="227" t="s">
        <v>184</v>
      </c>
      <c r="C10" s="227" t="s">
        <v>185</v>
      </c>
      <c r="D10" s="228">
        <v>435.75</v>
      </c>
      <c r="E10" s="228">
        <v>433.95</v>
      </c>
      <c r="F10" s="228">
        <v>1.8</v>
      </c>
      <c r="G10" s="229">
        <v>4.1000000000000003E-3</v>
      </c>
      <c r="H10" s="228">
        <v>433.55</v>
      </c>
      <c r="I10" s="228">
        <v>431.3</v>
      </c>
      <c r="J10" s="228">
        <v>2.25</v>
      </c>
      <c r="K10" s="229">
        <v>5.1999999999999998E-3</v>
      </c>
      <c r="L10" s="228">
        <v>435.75</v>
      </c>
      <c r="M10" s="228">
        <v>433.95</v>
      </c>
      <c r="N10" s="228">
        <v>1.8</v>
      </c>
      <c r="O10" s="229">
        <v>4.1000000000000003E-3</v>
      </c>
      <c r="P10" s="228">
        <v>438.8</v>
      </c>
      <c r="Q10" s="228">
        <v>436.6</v>
      </c>
      <c r="R10" s="228">
        <v>2.2000000000000002</v>
      </c>
      <c r="S10" s="229">
        <v>5.0000000000000001E-3</v>
      </c>
      <c r="T10" s="228">
        <v>440.75</v>
      </c>
      <c r="U10" s="228">
        <v>438.6</v>
      </c>
      <c r="V10" s="228">
        <v>2.15</v>
      </c>
      <c r="W10" s="229">
        <v>4.8999999999999998E-3</v>
      </c>
      <c r="X10" s="228">
        <v>2.2000000000000002</v>
      </c>
      <c r="Y10" s="228">
        <v>2.65</v>
      </c>
      <c r="Z10" s="228">
        <v>-0.45</v>
      </c>
      <c r="AA10" s="229">
        <v>5.1000000000000004E-3</v>
      </c>
      <c r="AB10" s="228">
        <v>2.2000000000000002</v>
      </c>
      <c r="AC10" s="228">
        <v>2.65</v>
      </c>
      <c r="AD10" s="228">
        <v>-0.45</v>
      </c>
      <c r="AE10" s="229">
        <v>5.1000000000000004E-3</v>
      </c>
      <c r="AF10" s="228">
        <v>5.25</v>
      </c>
      <c r="AG10" s="228">
        <v>5.3</v>
      </c>
      <c r="AH10" s="228">
        <v>-0.05</v>
      </c>
      <c r="AI10" s="229">
        <v>1.21E-2</v>
      </c>
      <c r="AJ10" s="228">
        <v>7.2</v>
      </c>
      <c r="AK10" s="228">
        <v>7.3</v>
      </c>
      <c r="AL10" s="228">
        <v>-0.1</v>
      </c>
      <c r="AM10" s="229">
        <v>1.66E-2</v>
      </c>
      <c r="AN10" s="228">
        <v>436.9</v>
      </c>
      <c r="AO10" s="228">
        <v>439.89</v>
      </c>
      <c r="AP10" s="228">
        <v>0</v>
      </c>
      <c r="AQ10" s="230">
        <v>8234</v>
      </c>
      <c r="AR10" s="230">
        <v>10049</v>
      </c>
      <c r="AS10" s="230">
        <v>-1815</v>
      </c>
      <c r="AT10" s="229">
        <v>-0.18060000000000001</v>
      </c>
      <c r="AU10" s="230">
        <v>7458</v>
      </c>
      <c r="AV10" s="230">
        <v>8869</v>
      </c>
      <c r="AW10" s="230">
        <v>-1411</v>
      </c>
      <c r="AX10" s="229">
        <v>-0.15909999999999999</v>
      </c>
      <c r="AY10" s="228">
        <v>715</v>
      </c>
      <c r="AZ10" s="228">
        <v>996</v>
      </c>
      <c r="BA10" s="228">
        <v>-281</v>
      </c>
      <c r="BB10" s="229">
        <v>-0.28210000000000002</v>
      </c>
      <c r="BC10" s="228">
        <v>61</v>
      </c>
      <c r="BD10" s="228">
        <v>184</v>
      </c>
      <c r="BE10" s="228">
        <v>-123</v>
      </c>
      <c r="BF10" s="229">
        <v>-0.66849999999999998</v>
      </c>
      <c r="BG10" s="230">
        <v>23486</v>
      </c>
      <c r="BH10" s="230">
        <v>25230</v>
      </c>
      <c r="BI10" s="230">
        <v>-1744</v>
      </c>
      <c r="BJ10" s="229">
        <v>-6.9099999999999995E-2</v>
      </c>
      <c r="BK10" s="230">
        <v>10227</v>
      </c>
      <c r="BL10" s="230">
        <v>11394</v>
      </c>
      <c r="BM10" s="230">
        <v>-1167</v>
      </c>
      <c r="BN10" s="229">
        <v>-0.1024</v>
      </c>
      <c r="BO10" s="230">
        <v>41947</v>
      </c>
      <c r="BP10" s="230">
        <v>46673</v>
      </c>
      <c r="BQ10" s="230">
        <v>-4726</v>
      </c>
      <c r="BR10" s="229">
        <v>-0.1013</v>
      </c>
      <c r="BS10" s="230">
        <v>11400449</v>
      </c>
      <c r="BT10" s="230">
        <v>16832898</v>
      </c>
      <c r="BU10" s="230">
        <v>-5432449</v>
      </c>
      <c r="BV10" s="229">
        <v>-0.32269999999999999</v>
      </c>
      <c r="BW10" s="230">
        <v>115098675</v>
      </c>
      <c r="BX10" s="230">
        <v>113458500</v>
      </c>
      <c r="BY10" s="230">
        <v>1640175</v>
      </c>
      <c r="BZ10" s="229">
        <v>1.4500000000000001E-2</v>
      </c>
      <c r="CA10" s="230">
        <v>101176425</v>
      </c>
      <c r="CB10" s="230">
        <v>100097700</v>
      </c>
      <c r="CC10" s="230">
        <v>1078725</v>
      </c>
      <c r="CD10" s="229">
        <v>1.0800000000000001E-2</v>
      </c>
      <c r="CE10" s="230">
        <v>13718475</v>
      </c>
      <c r="CF10" s="230">
        <v>13189800</v>
      </c>
      <c r="CG10" s="230">
        <v>528675</v>
      </c>
      <c r="CH10" s="229">
        <v>4.0099999999999997E-2</v>
      </c>
      <c r="CI10" s="230">
        <v>203775</v>
      </c>
      <c r="CJ10" s="230">
        <v>171000</v>
      </c>
      <c r="CK10" s="230">
        <v>32775</v>
      </c>
      <c r="CL10" s="229">
        <v>0.19170000000000001</v>
      </c>
      <c r="CM10" s="230">
        <v>37753950</v>
      </c>
      <c r="CN10" s="230">
        <v>33574425</v>
      </c>
      <c r="CO10" s="230">
        <v>4179525</v>
      </c>
      <c r="CP10" s="229">
        <v>0.1245</v>
      </c>
      <c r="CQ10" s="230">
        <v>23754750</v>
      </c>
      <c r="CR10" s="230">
        <v>21986325</v>
      </c>
      <c r="CS10" s="230">
        <v>1768425</v>
      </c>
      <c r="CT10" s="229">
        <v>8.0399999999999999E-2</v>
      </c>
      <c r="CU10" s="230">
        <v>176607375</v>
      </c>
      <c r="CV10" s="230">
        <v>169019250</v>
      </c>
      <c r="CW10" s="230">
        <v>7588125</v>
      </c>
      <c r="CX10" s="229">
        <v>4.4900000000000002E-2</v>
      </c>
      <c r="CY10" s="228">
        <v>34.32</v>
      </c>
      <c r="CZ10" s="228">
        <v>33.840000000000003</v>
      </c>
      <c r="DA10" s="228">
        <v>0.48</v>
      </c>
      <c r="DB10" s="228">
        <v>0.48</v>
      </c>
      <c r="DC10" s="228">
        <v>36.6</v>
      </c>
      <c r="DD10" s="228">
        <v>36.69</v>
      </c>
      <c r="DE10" s="228">
        <v>-2.2799999999999998</v>
      </c>
      <c r="DF10" s="228">
        <v>-0.09</v>
      </c>
      <c r="DG10" s="228">
        <v>34.409999999999997</v>
      </c>
      <c r="DH10" s="228">
        <v>34.03</v>
      </c>
      <c r="DI10" s="228">
        <v>0.38</v>
      </c>
      <c r="DJ10" s="228">
        <v>0.38</v>
      </c>
      <c r="DK10" s="228">
        <v>34.130000000000003</v>
      </c>
      <c r="DL10" s="228">
        <v>33.409999999999997</v>
      </c>
      <c r="DM10" s="228">
        <v>0.72</v>
      </c>
      <c r="DN10" s="228">
        <v>0.72</v>
      </c>
      <c r="DO10" s="228">
        <v>0.63</v>
      </c>
      <c r="DP10" s="228">
        <v>0.65</v>
      </c>
      <c r="DQ10" s="228">
        <v>-0.02</v>
      </c>
      <c r="DR10" s="229">
        <v>-3.0800000000000001E-2</v>
      </c>
      <c r="DS10" s="228">
        <v>450</v>
      </c>
      <c r="DT10" s="228">
        <v>430</v>
      </c>
      <c r="DU10" s="228">
        <v>0.44</v>
      </c>
      <c r="DV10" s="228">
        <v>0.45</v>
      </c>
      <c r="DW10" s="228">
        <v>-0.01</v>
      </c>
      <c r="DX10" s="229">
        <v>-2.2200000000000001E-2</v>
      </c>
      <c r="DY10" s="229">
        <v>0.121</v>
      </c>
      <c r="DZ10" s="230">
        <v>13360800</v>
      </c>
      <c r="EA10" s="229">
        <v>7.0000000000000001E-3</v>
      </c>
      <c r="EB10" s="229">
        <v>0.121</v>
      </c>
      <c r="EC10" s="228">
        <v>2.99</v>
      </c>
      <c r="ED10" s="229">
        <v>6.7999999999999996E-3</v>
      </c>
      <c r="EE10" s="230">
        <v>5310093</v>
      </c>
      <c r="EF10" s="230">
        <v>8873566</v>
      </c>
      <c r="EG10" s="229">
        <v>-0.40160000000000001</v>
      </c>
      <c r="EH10" s="229">
        <v>0.46579999999999999</v>
      </c>
      <c r="EI10" s="231">
        <v>156287.65</v>
      </c>
      <c r="EJ10" s="231">
        <v>62352.66</v>
      </c>
      <c r="EK10" s="231">
        <v>51298.9</v>
      </c>
      <c r="EL10" s="231">
        <v>23380</v>
      </c>
      <c r="EM10" s="231">
        <v>269939.21000000002</v>
      </c>
      <c r="EN10" s="231">
        <v>299071.12</v>
      </c>
      <c r="EO10" s="231">
        <v>-29131.91</v>
      </c>
      <c r="EP10" s="229">
        <v>-9.74E-2</v>
      </c>
      <c r="EQ10" s="231">
        <v>175107</v>
      </c>
      <c r="ER10" s="231">
        <v>101076</v>
      </c>
      <c r="ES10" s="231">
        <v>501971</v>
      </c>
      <c r="ET10" s="231">
        <v>535778534</v>
      </c>
      <c r="EU10" s="231">
        <v>778154</v>
      </c>
      <c r="EV10" s="231">
        <v>742233</v>
      </c>
      <c r="EW10" s="231">
        <v>35921</v>
      </c>
      <c r="EX10" s="229">
        <v>4.8399999999999999E-2</v>
      </c>
      <c r="EY10" s="229">
        <v>0.3296</v>
      </c>
    </row>
    <row r="11" spans="1:155" ht="17.25" thickBot="1" x14ac:dyDescent="0.3">
      <c r="A11" s="226">
        <v>46146</v>
      </c>
      <c r="B11" s="227" t="s">
        <v>188</v>
      </c>
      <c r="C11" s="227" t="s">
        <v>189</v>
      </c>
      <c r="D11" s="231">
        <v>1837.4</v>
      </c>
      <c r="E11" s="231">
        <v>1896.4</v>
      </c>
      <c r="F11" s="228">
        <v>-59</v>
      </c>
      <c r="G11" s="229">
        <v>-3.1099999999999999E-2</v>
      </c>
      <c r="H11" s="231">
        <v>1827.1</v>
      </c>
      <c r="I11" s="231">
        <v>1886.8</v>
      </c>
      <c r="J11" s="228">
        <v>-59.7</v>
      </c>
      <c r="K11" s="229">
        <v>-3.1600000000000003E-2</v>
      </c>
      <c r="L11" s="231">
        <v>1837.4</v>
      </c>
      <c r="M11" s="231">
        <v>1896.4</v>
      </c>
      <c r="N11" s="228">
        <v>-59</v>
      </c>
      <c r="O11" s="229">
        <v>-3.1099999999999999E-2</v>
      </c>
      <c r="P11" s="231">
        <v>1849</v>
      </c>
      <c r="Q11" s="231">
        <v>1908.1</v>
      </c>
      <c r="R11" s="228">
        <v>-59.1</v>
      </c>
      <c r="S11" s="229">
        <v>-3.1E-2</v>
      </c>
      <c r="T11" s="231">
        <v>1856.3</v>
      </c>
      <c r="U11" s="231">
        <v>1916.1</v>
      </c>
      <c r="V11" s="228">
        <v>-59.8</v>
      </c>
      <c r="W11" s="229">
        <v>-3.1199999999999999E-2</v>
      </c>
      <c r="X11" s="228">
        <v>10.3</v>
      </c>
      <c r="Y11" s="228">
        <v>9.6</v>
      </c>
      <c r="Z11" s="228">
        <v>0.7</v>
      </c>
      <c r="AA11" s="229">
        <v>5.5999999999999999E-3</v>
      </c>
      <c r="AB11" s="228">
        <v>10.3</v>
      </c>
      <c r="AC11" s="228">
        <v>9.6</v>
      </c>
      <c r="AD11" s="228">
        <v>0.7</v>
      </c>
      <c r="AE11" s="229">
        <v>5.5999999999999999E-3</v>
      </c>
      <c r="AF11" s="228">
        <v>21.9</v>
      </c>
      <c r="AG11" s="228">
        <v>21.3</v>
      </c>
      <c r="AH11" s="228">
        <v>0.6</v>
      </c>
      <c r="AI11" s="229">
        <v>1.2E-2</v>
      </c>
      <c r="AJ11" s="228">
        <v>29.2</v>
      </c>
      <c r="AK11" s="228">
        <v>29.3</v>
      </c>
      <c r="AL11" s="228">
        <v>-0.1</v>
      </c>
      <c r="AM11" s="229">
        <v>1.6E-2</v>
      </c>
      <c r="AN11" s="231">
        <v>1860.83</v>
      </c>
      <c r="AO11" s="231">
        <v>1869.43</v>
      </c>
      <c r="AP11" s="228">
        <v>0</v>
      </c>
      <c r="AQ11" s="230">
        <v>15819</v>
      </c>
      <c r="AR11" s="230">
        <v>15522</v>
      </c>
      <c r="AS11" s="228">
        <v>297</v>
      </c>
      <c r="AT11" s="229">
        <v>1.9099999999999999E-2</v>
      </c>
      <c r="AU11" s="230">
        <v>13702</v>
      </c>
      <c r="AV11" s="230">
        <v>14773</v>
      </c>
      <c r="AW11" s="230">
        <v>-1071</v>
      </c>
      <c r="AX11" s="229">
        <v>-7.2499999999999995E-2</v>
      </c>
      <c r="AY11" s="230">
        <v>1947</v>
      </c>
      <c r="AZ11" s="228">
        <v>662</v>
      </c>
      <c r="BA11" s="230">
        <v>1285</v>
      </c>
      <c r="BB11" s="229">
        <v>1.9411</v>
      </c>
      <c r="BC11" s="228">
        <v>170</v>
      </c>
      <c r="BD11" s="228">
        <v>87</v>
      </c>
      <c r="BE11" s="228">
        <v>83</v>
      </c>
      <c r="BF11" s="229">
        <v>0.95399999999999996</v>
      </c>
      <c r="BG11" s="230">
        <v>48400</v>
      </c>
      <c r="BH11" s="230">
        <v>38171</v>
      </c>
      <c r="BI11" s="230">
        <v>10229</v>
      </c>
      <c r="BJ11" s="229">
        <v>0.26800000000000002</v>
      </c>
      <c r="BK11" s="230">
        <v>27724</v>
      </c>
      <c r="BL11" s="230">
        <v>18869</v>
      </c>
      <c r="BM11" s="230">
        <v>8855</v>
      </c>
      <c r="BN11" s="229">
        <v>0.46929999999999999</v>
      </c>
      <c r="BO11" s="230">
        <v>91943</v>
      </c>
      <c r="BP11" s="230">
        <v>72562</v>
      </c>
      <c r="BQ11" s="230">
        <v>19381</v>
      </c>
      <c r="BR11" s="229">
        <v>0.2671</v>
      </c>
      <c r="BS11" s="230">
        <v>10938061</v>
      </c>
      <c r="BT11" s="230">
        <v>13462177</v>
      </c>
      <c r="BU11" s="230">
        <v>-2524116</v>
      </c>
      <c r="BV11" s="229">
        <v>-0.1875</v>
      </c>
      <c r="BW11" s="230">
        <v>60068975</v>
      </c>
      <c r="BX11" s="230">
        <v>57803225</v>
      </c>
      <c r="BY11" s="230">
        <v>2265750</v>
      </c>
      <c r="BZ11" s="229">
        <v>3.9199999999999999E-2</v>
      </c>
      <c r="CA11" s="230">
        <v>49968100</v>
      </c>
      <c r="CB11" s="230">
        <v>48462825</v>
      </c>
      <c r="CC11" s="230">
        <v>1505275</v>
      </c>
      <c r="CD11" s="229">
        <v>3.1099999999999999E-2</v>
      </c>
      <c r="CE11" s="230">
        <v>9981650</v>
      </c>
      <c r="CF11" s="230">
        <v>9291950</v>
      </c>
      <c r="CG11" s="230">
        <v>689700</v>
      </c>
      <c r="CH11" s="229">
        <v>7.4200000000000002E-2</v>
      </c>
      <c r="CI11" s="230">
        <v>119225</v>
      </c>
      <c r="CJ11" s="230">
        <v>48450</v>
      </c>
      <c r="CK11" s="230">
        <v>70775</v>
      </c>
      <c r="CL11" s="229">
        <v>1.4608000000000001</v>
      </c>
      <c r="CM11" s="230">
        <v>10427200</v>
      </c>
      <c r="CN11" s="230">
        <v>6701300</v>
      </c>
      <c r="CO11" s="230">
        <v>3725900</v>
      </c>
      <c r="CP11" s="229">
        <v>0.55600000000000005</v>
      </c>
      <c r="CQ11" s="230">
        <v>6569250</v>
      </c>
      <c r="CR11" s="230">
        <v>5547525</v>
      </c>
      <c r="CS11" s="230">
        <v>1021725</v>
      </c>
      <c r="CT11" s="229">
        <v>0.1842</v>
      </c>
      <c r="CU11" s="230">
        <v>77065425</v>
      </c>
      <c r="CV11" s="230">
        <v>70052050</v>
      </c>
      <c r="CW11" s="230">
        <v>7013375</v>
      </c>
      <c r="CX11" s="229">
        <v>0.10009999999999999</v>
      </c>
      <c r="CY11" s="228">
        <v>25.09</v>
      </c>
      <c r="CZ11" s="228">
        <v>22.35</v>
      </c>
      <c r="DA11" s="228">
        <v>2.74</v>
      </c>
      <c r="DB11" s="228">
        <v>2.74</v>
      </c>
      <c r="DC11" s="228">
        <v>24.46</v>
      </c>
      <c r="DD11" s="228">
        <v>24.13</v>
      </c>
      <c r="DE11" s="228">
        <v>0.63</v>
      </c>
      <c r="DF11" s="228">
        <v>0.33</v>
      </c>
      <c r="DG11" s="228">
        <v>25.25</v>
      </c>
      <c r="DH11" s="228">
        <v>22.03</v>
      </c>
      <c r="DI11" s="228">
        <v>3.22</v>
      </c>
      <c r="DJ11" s="228">
        <v>3.22</v>
      </c>
      <c r="DK11" s="228">
        <v>24.79</v>
      </c>
      <c r="DL11" s="228">
        <v>23</v>
      </c>
      <c r="DM11" s="228">
        <v>1.79</v>
      </c>
      <c r="DN11" s="228">
        <v>1.79</v>
      </c>
      <c r="DO11" s="228">
        <v>0.63</v>
      </c>
      <c r="DP11" s="228">
        <v>0.83</v>
      </c>
      <c r="DQ11" s="228">
        <v>-0.2</v>
      </c>
      <c r="DR11" s="229">
        <v>-0.24099999999999999</v>
      </c>
      <c r="DS11" s="231">
        <v>1900</v>
      </c>
      <c r="DT11" s="231">
        <v>1860</v>
      </c>
      <c r="DU11" s="228">
        <v>0.56999999999999995</v>
      </c>
      <c r="DV11" s="228">
        <v>0.49</v>
      </c>
      <c r="DW11" s="228">
        <v>0.08</v>
      </c>
      <c r="DX11" s="229">
        <v>0.1633</v>
      </c>
      <c r="DY11" s="229">
        <v>0.16819999999999999</v>
      </c>
      <c r="DZ11" s="230">
        <v>9340400</v>
      </c>
      <c r="EA11" s="229">
        <v>6.3E-3</v>
      </c>
      <c r="EB11" s="229">
        <v>0.16819999999999999</v>
      </c>
      <c r="EC11" s="228">
        <v>8.6</v>
      </c>
      <c r="ED11" s="229">
        <v>4.5999999999999999E-3</v>
      </c>
      <c r="EE11" s="230">
        <v>6908345</v>
      </c>
      <c r="EF11" s="230">
        <v>7325727</v>
      </c>
      <c r="EG11" s="229">
        <v>-5.7000000000000002E-2</v>
      </c>
      <c r="EH11" s="229">
        <v>0.63160000000000005</v>
      </c>
      <c r="EI11" s="231">
        <v>448423.1</v>
      </c>
      <c r="EJ11" s="231">
        <v>243432.08</v>
      </c>
      <c r="EK11" s="231">
        <v>139919.45000000001</v>
      </c>
      <c r="EL11" s="231">
        <v>30236</v>
      </c>
      <c r="EM11" s="231">
        <v>831774.63</v>
      </c>
      <c r="EN11" s="231">
        <v>663474.84</v>
      </c>
      <c r="EO11" s="231">
        <v>168299.79</v>
      </c>
      <c r="EP11" s="229">
        <v>0.25369999999999998</v>
      </c>
      <c r="EQ11" s="231">
        <v>200740</v>
      </c>
      <c r="ER11" s="231">
        <v>120560</v>
      </c>
      <c r="ES11" s="231">
        <v>1104888</v>
      </c>
      <c r="ET11" s="231">
        <v>342859930</v>
      </c>
      <c r="EU11" s="231">
        <v>1426188</v>
      </c>
      <c r="EV11" s="231">
        <v>1329000</v>
      </c>
      <c r="EW11" s="231">
        <v>97188</v>
      </c>
      <c r="EX11" s="229">
        <v>7.3099999999999998E-2</v>
      </c>
      <c r="EY11" s="229">
        <v>0.2248</v>
      </c>
    </row>
    <row r="12" spans="1:155" ht="17.25" thickBot="1" x14ac:dyDescent="0.3">
      <c r="A12" s="226">
        <v>46146</v>
      </c>
      <c r="B12" s="227" t="s">
        <v>170</v>
      </c>
      <c r="C12" s="227" t="s">
        <v>199</v>
      </c>
      <c r="D12" s="231">
        <v>1338.8</v>
      </c>
      <c r="E12" s="231">
        <v>1315.2</v>
      </c>
      <c r="F12" s="228">
        <v>23.6</v>
      </c>
      <c r="G12" s="229">
        <v>1.7899999999999999E-2</v>
      </c>
      <c r="H12" s="231">
        <v>1335</v>
      </c>
      <c r="I12" s="231">
        <v>1309.5999999999999</v>
      </c>
      <c r="J12" s="228">
        <v>25.4</v>
      </c>
      <c r="K12" s="229">
        <v>1.9400000000000001E-2</v>
      </c>
      <c r="L12" s="231">
        <v>1338.8</v>
      </c>
      <c r="M12" s="231">
        <v>1315.2</v>
      </c>
      <c r="N12" s="228">
        <v>23.6</v>
      </c>
      <c r="O12" s="229">
        <v>1.7899999999999999E-2</v>
      </c>
      <c r="P12" s="231">
        <v>1342.5</v>
      </c>
      <c r="Q12" s="231">
        <v>1314.7</v>
      </c>
      <c r="R12" s="228">
        <v>27.8</v>
      </c>
      <c r="S12" s="229">
        <v>2.1100000000000001E-2</v>
      </c>
      <c r="T12" s="231">
        <v>1341.7</v>
      </c>
      <c r="U12" s="231">
        <v>1320.2</v>
      </c>
      <c r="V12" s="228">
        <v>21.5</v>
      </c>
      <c r="W12" s="229">
        <v>1.6299999999999999E-2</v>
      </c>
      <c r="X12" s="228">
        <v>3.8</v>
      </c>
      <c r="Y12" s="228">
        <v>5.6</v>
      </c>
      <c r="Z12" s="228">
        <v>-1.8</v>
      </c>
      <c r="AA12" s="229">
        <v>2.8E-3</v>
      </c>
      <c r="AB12" s="228">
        <v>3.8</v>
      </c>
      <c r="AC12" s="228">
        <v>5.6</v>
      </c>
      <c r="AD12" s="228">
        <v>-1.8</v>
      </c>
      <c r="AE12" s="229">
        <v>2.8E-3</v>
      </c>
      <c r="AF12" s="228">
        <v>7.5</v>
      </c>
      <c r="AG12" s="228">
        <v>5.0999999999999996</v>
      </c>
      <c r="AH12" s="228">
        <v>2.4</v>
      </c>
      <c r="AI12" s="229">
        <v>5.5999999999999999E-3</v>
      </c>
      <c r="AJ12" s="228">
        <v>6.7</v>
      </c>
      <c r="AK12" s="228">
        <v>10.6</v>
      </c>
      <c r="AL12" s="228">
        <v>-3.9</v>
      </c>
      <c r="AM12" s="229">
        <v>5.0000000000000001E-3</v>
      </c>
      <c r="AN12" s="231">
        <v>1332.74</v>
      </c>
      <c r="AO12" s="231">
        <v>1335.73</v>
      </c>
      <c r="AP12" s="228">
        <v>0</v>
      </c>
      <c r="AQ12" s="230">
        <v>3439</v>
      </c>
      <c r="AR12" s="230">
        <v>3740</v>
      </c>
      <c r="AS12" s="228">
        <v>-301</v>
      </c>
      <c r="AT12" s="229">
        <v>-8.0500000000000002E-2</v>
      </c>
      <c r="AU12" s="230">
        <v>3206</v>
      </c>
      <c r="AV12" s="230">
        <v>3345</v>
      </c>
      <c r="AW12" s="228">
        <v>-139</v>
      </c>
      <c r="AX12" s="229">
        <v>-4.1599999999999998E-2</v>
      </c>
      <c r="AY12" s="228">
        <v>221</v>
      </c>
      <c r="AZ12" s="228">
        <v>380</v>
      </c>
      <c r="BA12" s="228">
        <v>-159</v>
      </c>
      <c r="BB12" s="229">
        <v>-0.41839999999999999</v>
      </c>
      <c r="BC12" s="228">
        <v>12</v>
      </c>
      <c r="BD12" s="228">
        <v>15</v>
      </c>
      <c r="BE12" s="228">
        <v>-3</v>
      </c>
      <c r="BF12" s="229">
        <v>-0.2</v>
      </c>
      <c r="BG12" s="230">
        <v>12875</v>
      </c>
      <c r="BH12" s="230">
        <v>13288</v>
      </c>
      <c r="BI12" s="228">
        <v>-413</v>
      </c>
      <c r="BJ12" s="229">
        <v>-3.1099999999999999E-2</v>
      </c>
      <c r="BK12" s="230">
        <v>4812</v>
      </c>
      <c r="BL12" s="230">
        <v>4582</v>
      </c>
      <c r="BM12" s="228">
        <v>230</v>
      </c>
      <c r="BN12" s="229">
        <v>5.0200000000000002E-2</v>
      </c>
      <c r="BO12" s="230">
        <v>21126</v>
      </c>
      <c r="BP12" s="230">
        <v>21610</v>
      </c>
      <c r="BQ12" s="228">
        <v>-484</v>
      </c>
      <c r="BR12" s="229">
        <v>-2.24E-2</v>
      </c>
      <c r="BS12" s="230">
        <v>1140074</v>
      </c>
      <c r="BT12" s="230">
        <v>1447981</v>
      </c>
      <c r="BU12" s="230">
        <v>-307907</v>
      </c>
      <c r="BV12" s="229">
        <v>-0.21260000000000001</v>
      </c>
      <c r="BW12" s="230">
        <v>13723025</v>
      </c>
      <c r="BX12" s="230">
        <v>13962775</v>
      </c>
      <c r="BY12" s="230">
        <v>-239750</v>
      </c>
      <c r="BZ12" s="229">
        <v>-1.72E-2</v>
      </c>
      <c r="CA12" s="230">
        <v>13381125</v>
      </c>
      <c r="CB12" s="230">
        <v>13652250</v>
      </c>
      <c r="CC12" s="230">
        <v>-271125</v>
      </c>
      <c r="CD12" s="229">
        <v>-1.9900000000000001E-2</v>
      </c>
      <c r="CE12" s="230">
        <v>330000</v>
      </c>
      <c r="CF12" s="230">
        <v>300750</v>
      </c>
      <c r="CG12" s="230">
        <v>29250</v>
      </c>
      <c r="CH12" s="229">
        <v>9.7299999999999998E-2</v>
      </c>
      <c r="CI12" s="230">
        <v>11900</v>
      </c>
      <c r="CJ12" s="230">
        <v>9775</v>
      </c>
      <c r="CK12" s="230">
        <v>2125</v>
      </c>
      <c r="CL12" s="229">
        <v>0.21740000000000001</v>
      </c>
      <c r="CM12" s="230">
        <v>3997500</v>
      </c>
      <c r="CN12" s="230">
        <v>3540000</v>
      </c>
      <c r="CO12" s="230">
        <v>457500</v>
      </c>
      <c r="CP12" s="229">
        <v>0.12920000000000001</v>
      </c>
      <c r="CQ12" s="230">
        <v>2763750</v>
      </c>
      <c r="CR12" s="230">
        <v>2442000</v>
      </c>
      <c r="CS12" s="230">
        <v>321750</v>
      </c>
      <c r="CT12" s="229">
        <v>0.1318</v>
      </c>
      <c r="CU12" s="230">
        <v>20484275</v>
      </c>
      <c r="CV12" s="230">
        <v>19944775</v>
      </c>
      <c r="CW12" s="230">
        <v>539500</v>
      </c>
      <c r="CX12" s="229">
        <v>2.7E-2</v>
      </c>
      <c r="CY12" s="228">
        <v>27.32</v>
      </c>
      <c r="CZ12" s="228">
        <v>27.92</v>
      </c>
      <c r="DA12" s="228">
        <v>-0.6</v>
      </c>
      <c r="DB12" s="228">
        <v>-0.6</v>
      </c>
      <c r="DC12" s="228">
        <v>25.78</v>
      </c>
      <c r="DD12" s="228">
        <v>25.72</v>
      </c>
      <c r="DE12" s="228">
        <v>1.54</v>
      </c>
      <c r="DF12" s="228">
        <v>0.06</v>
      </c>
      <c r="DG12" s="228">
        <v>26.88</v>
      </c>
      <c r="DH12" s="228">
        <v>27.8</v>
      </c>
      <c r="DI12" s="228">
        <v>-0.92</v>
      </c>
      <c r="DJ12" s="228">
        <v>-0.92</v>
      </c>
      <c r="DK12" s="228">
        <v>28.5</v>
      </c>
      <c r="DL12" s="228">
        <v>28.25</v>
      </c>
      <c r="DM12" s="228">
        <v>0.25</v>
      </c>
      <c r="DN12" s="228">
        <v>0.25</v>
      </c>
      <c r="DO12" s="228">
        <v>0.69</v>
      </c>
      <c r="DP12" s="228">
        <v>0.69</v>
      </c>
      <c r="DQ12" s="228">
        <v>0</v>
      </c>
      <c r="DR12" s="229">
        <v>0</v>
      </c>
      <c r="DS12" s="231">
        <v>1360</v>
      </c>
      <c r="DT12" s="231">
        <v>1250</v>
      </c>
      <c r="DU12" s="228">
        <v>0.37</v>
      </c>
      <c r="DV12" s="228">
        <v>0.34</v>
      </c>
      <c r="DW12" s="228">
        <v>0.03</v>
      </c>
      <c r="DX12" s="229">
        <v>8.8200000000000001E-2</v>
      </c>
      <c r="DY12" s="229">
        <v>2.4899999999999999E-2</v>
      </c>
      <c r="DZ12" s="230">
        <v>310525</v>
      </c>
      <c r="EA12" s="229">
        <v>2.8E-3</v>
      </c>
      <c r="EB12" s="229">
        <v>2.4899999999999999E-2</v>
      </c>
      <c r="EC12" s="228">
        <v>2.99</v>
      </c>
      <c r="ED12" s="229">
        <v>2.2000000000000001E-3</v>
      </c>
      <c r="EE12" s="230">
        <v>640886</v>
      </c>
      <c r="EF12" s="230">
        <v>859951</v>
      </c>
      <c r="EG12" s="229">
        <v>-0.25469999999999998</v>
      </c>
      <c r="EH12" s="229">
        <v>0.56210000000000004</v>
      </c>
      <c r="EI12" s="231">
        <v>67242.490000000005</v>
      </c>
      <c r="EJ12" s="231">
        <v>23352.43</v>
      </c>
      <c r="EK12" s="231">
        <v>17198.2</v>
      </c>
      <c r="EL12" s="231">
        <v>9300</v>
      </c>
      <c r="EM12" s="231">
        <v>107793.12</v>
      </c>
      <c r="EN12" s="231">
        <v>109745.2</v>
      </c>
      <c r="EO12" s="231">
        <v>-1952.08</v>
      </c>
      <c r="EP12" s="229">
        <v>-1.78E-2</v>
      </c>
      <c r="EQ12" s="231">
        <v>54887</v>
      </c>
      <c r="ER12" s="231">
        <v>34939</v>
      </c>
      <c r="ES12" s="231">
        <v>183736</v>
      </c>
      <c r="ET12" s="231">
        <v>76385219</v>
      </c>
      <c r="EU12" s="231">
        <v>273562</v>
      </c>
      <c r="EV12" s="231">
        <v>262746</v>
      </c>
      <c r="EW12" s="231">
        <v>10816</v>
      </c>
      <c r="EX12" s="229">
        <v>4.1200000000000001E-2</v>
      </c>
      <c r="EY12" s="229">
        <v>0.26819999999999999</v>
      </c>
    </row>
    <row r="13" spans="1:155" ht="17.25" thickBot="1" x14ac:dyDescent="0.3">
      <c r="A13" s="226">
        <v>46146</v>
      </c>
      <c r="B13" s="227" t="s">
        <v>227</v>
      </c>
      <c r="C13" s="227" t="s">
        <v>200</v>
      </c>
      <c r="D13" s="228">
        <v>481.2</v>
      </c>
      <c r="E13" s="228">
        <v>483.75</v>
      </c>
      <c r="F13" s="228">
        <v>-2.5499999999999998</v>
      </c>
      <c r="G13" s="229">
        <v>-5.3E-3</v>
      </c>
      <c r="H13" s="228">
        <v>479.95</v>
      </c>
      <c r="I13" s="228">
        <v>481.45</v>
      </c>
      <c r="J13" s="228">
        <v>-1.5</v>
      </c>
      <c r="K13" s="229">
        <v>-3.0999999999999999E-3</v>
      </c>
      <c r="L13" s="228">
        <v>481.2</v>
      </c>
      <c r="M13" s="228">
        <v>483.75</v>
      </c>
      <c r="N13" s="228">
        <v>-2.5499999999999998</v>
      </c>
      <c r="O13" s="229">
        <v>-5.3E-3</v>
      </c>
      <c r="P13" s="228">
        <v>480.55</v>
      </c>
      <c r="Q13" s="228">
        <v>481.65</v>
      </c>
      <c r="R13" s="228">
        <v>-1.1000000000000001</v>
      </c>
      <c r="S13" s="229">
        <v>-2.3E-3</v>
      </c>
      <c r="T13" s="228">
        <v>481.05</v>
      </c>
      <c r="U13" s="228">
        <v>482</v>
      </c>
      <c r="V13" s="228">
        <v>-0.95</v>
      </c>
      <c r="W13" s="229">
        <v>-2E-3</v>
      </c>
      <c r="X13" s="228">
        <v>1.25</v>
      </c>
      <c r="Y13" s="228">
        <v>2.2999999999999998</v>
      </c>
      <c r="Z13" s="228">
        <v>-1.05</v>
      </c>
      <c r="AA13" s="229">
        <v>2.5999999999999999E-3</v>
      </c>
      <c r="AB13" s="228">
        <v>1.25</v>
      </c>
      <c r="AC13" s="228">
        <v>2.2999999999999998</v>
      </c>
      <c r="AD13" s="228">
        <v>-1.05</v>
      </c>
      <c r="AE13" s="229">
        <v>2.5999999999999999E-3</v>
      </c>
      <c r="AF13" s="228">
        <v>0.6</v>
      </c>
      <c r="AG13" s="228">
        <v>0.2</v>
      </c>
      <c r="AH13" s="228">
        <v>0.4</v>
      </c>
      <c r="AI13" s="229">
        <v>1.2999999999999999E-3</v>
      </c>
      <c r="AJ13" s="228">
        <v>1.1000000000000001</v>
      </c>
      <c r="AK13" s="228">
        <v>0.55000000000000004</v>
      </c>
      <c r="AL13" s="228">
        <v>0.55000000000000004</v>
      </c>
      <c r="AM13" s="229">
        <v>2.3E-3</v>
      </c>
      <c r="AN13" s="228">
        <v>482.64</v>
      </c>
      <c r="AO13" s="228">
        <v>481.07</v>
      </c>
      <c r="AP13" s="228">
        <v>0</v>
      </c>
      <c r="AQ13" s="230">
        <v>5769</v>
      </c>
      <c r="AR13" s="230">
        <v>10145</v>
      </c>
      <c r="AS13" s="230">
        <v>-4376</v>
      </c>
      <c r="AT13" s="229">
        <v>-0.43130000000000002</v>
      </c>
      <c r="AU13" s="230">
        <v>5293</v>
      </c>
      <c r="AV13" s="230">
        <v>9640</v>
      </c>
      <c r="AW13" s="230">
        <v>-4347</v>
      </c>
      <c r="AX13" s="229">
        <v>-0.45090000000000002</v>
      </c>
      <c r="AY13" s="228">
        <v>430</v>
      </c>
      <c r="AZ13" s="228">
        <v>435</v>
      </c>
      <c r="BA13" s="228">
        <v>-5</v>
      </c>
      <c r="BB13" s="229">
        <v>-1.15E-2</v>
      </c>
      <c r="BC13" s="228">
        <v>46</v>
      </c>
      <c r="BD13" s="228">
        <v>70</v>
      </c>
      <c r="BE13" s="228">
        <v>-24</v>
      </c>
      <c r="BF13" s="229">
        <v>-0.34289999999999998</v>
      </c>
      <c r="BG13" s="230">
        <v>20826</v>
      </c>
      <c r="BH13" s="230">
        <v>51053</v>
      </c>
      <c r="BI13" s="230">
        <v>-30227</v>
      </c>
      <c r="BJ13" s="229">
        <v>-0.59209999999999996</v>
      </c>
      <c r="BK13" s="230">
        <v>14877</v>
      </c>
      <c r="BL13" s="230">
        <v>23260</v>
      </c>
      <c r="BM13" s="230">
        <v>-8383</v>
      </c>
      <c r="BN13" s="229">
        <v>-0.3604</v>
      </c>
      <c r="BO13" s="230">
        <v>41472</v>
      </c>
      <c r="BP13" s="230">
        <v>84458</v>
      </c>
      <c r="BQ13" s="230">
        <v>-42986</v>
      </c>
      <c r="BR13" s="229">
        <v>-0.50900000000000001</v>
      </c>
      <c r="BS13" s="230">
        <v>8046334</v>
      </c>
      <c r="BT13" s="230">
        <v>18123375</v>
      </c>
      <c r="BU13" s="230">
        <v>-10077041</v>
      </c>
      <c r="BV13" s="229">
        <v>-0.55600000000000005</v>
      </c>
      <c r="BW13" s="230">
        <v>52436700</v>
      </c>
      <c r="BX13" s="230">
        <v>52783650</v>
      </c>
      <c r="BY13" s="230">
        <v>-346950</v>
      </c>
      <c r="BZ13" s="229">
        <v>-6.6E-3</v>
      </c>
      <c r="CA13" s="230">
        <v>50549400</v>
      </c>
      <c r="CB13" s="230">
        <v>51086700</v>
      </c>
      <c r="CC13" s="230">
        <v>-537300</v>
      </c>
      <c r="CD13" s="229">
        <v>-1.0500000000000001E-2</v>
      </c>
      <c r="CE13" s="230">
        <v>1798200</v>
      </c>
      <c r="CF13" s="230">
        <v>1625400</v>
      </c>
      <c r="CG13" s="230">
        <v>172800</v>
      </c>
      <c r="CH13" s="229">
        <v>0.10630000000000001</v>
      </c>
      <c r="CI13" s="230">
        <v>89100</v>
      </c>
      <c r="CJ13" s="230">
        <v>71550</v>
      </c>
      <c r="CK13" s="230">
        <v>17550</v>
      </c>
      <c r="CL13" s="229">
        <v>0.24529999999999999</v>
      </c>
      <c r="CM13" s="230">
        <v>26017200</v>
      </c>
      <c r="CN13" s="230">
        <v>25308450</v>
      </c>
      <c r="CO13" s="230">
        <v>708750</v>
      </c>
      <c r="CP13" s="229">
        <v>2.8000000000000001E-2</v>
      </c>
      <c r="CQ13" s="230">
        <v>17752500</v>
      </c>
      <c r="CR13" s="230">
        <v>18049500</v>
      </c>
      <c r="CS13" s="230">
        <v>-297000</v>
      </c>
      <c r="CT13" s="229">
        <v>-1.6500000000000001E-2</v>
      </c>
      <c r="CU13" s="230">
        <v>96206400</v>
      </c>
      <c r="CV13" s="230">
        <v>96141600</v>
      </c>
      <c r="CW13" s="230">
        <v>64800</v>
      </c>
      <c r="CX13" s="229">
        <v>6.9999999999999999E-4</v>
      </c>
      <c r="CY13" s="228">
        <v>27.44</v>
      </c>
      <c r="CZ13" s="228">
        <v>26.14</v>
      </c>
      <c r="DA13" s="228">
        <v>1.3</v>
      </c>
      <c r="DB13" s="228">
        <v>1.3</v>
      </c>
      <c r="DC13" s="228">
        <v>31.12</v>
      </c>
      <c r="DD13" s="228">
        <v>31.19</v>
      </c>
      <c r="DE13" s="228">
        <v>-3.68</v>
      </c>
      <c r="DF13" s="228">
        <v>-7.0000000000000007E-2</v>
      </c>
      <c r="DG13" s="228">
        <v>27.03</v>
      </c>
      <c r="DH13" s="228">
        <v>26.05</v>
      </c>
      <c r="DI13" s="228">
        <v>0.98</v>
      </c>
      <c r="DJ13" s="228">
        <v>0.98</v>
      </c>
      <c r="DK13" s="228">
        <v>28.03</v>
      </c>
      <c r="DL13" s="228">
        <v>26.35</v>
      </c>
      <c r="DM13" s="228">
        <v>1.68</v>
      </c>
      <c r="DN13" s="228">
        <v>1.68</v>
      </c>
      <c r="DO13" s="228">
        <v>0.68</v>
      </c>
      <c r="DP13" s="228">
        <v>0.71</v>
      </c>
      <c r="DQ13" s="228">
        <v>-0.03</v>
      </c>
      <c r="DR13" s="229">
        <v>-4.2299999999999997E-2</v>
      </c>
      <c r="DS13" s="228">
        <v>500</v>
      </c>
      <c r="DT13" s="228">
        <v>450</v>
      </c>
      <c r="DU13" s="228">
        <v>0.71</v>
      </c>
      <c r="DV13" s="228">
        <v>0.46</v>
      </c>
      <c r="DW13" s="228">
        <v>0.25</v>
      </c>
      <c r="DX13" s="229">
        <v>0.54349999999999998</v>
      </c>
      <c r="DY13" s="229">
        <v>3.5999999999999997E-2</v>
      </c>
      <c r="DZ13" s="230">
        <v>1696950</v>
      </c>
      <c r="EA13" s="229">
        <v>-1.4E-3</v>
      </c>
      <c r="EB13" s="229">
        <v>3.5999999999999997E-2</v>
      </c>
      <c r="EC13" s="228">
        <v>-1.57</v>
      </c>
      <c r="ED13" s="229">
        <v>-3.3E-3</v>
      </c>
      <c r="EE13" s="230">
        <v>4566111</v>
      </c>
      <c r="EF13" s="230">
        <v>7429338</v>
      </c>
      <c r="EG13" s="229">
        <v>-0.38540000000000002</v>
      </c>
      <c r="EH13" s="229">
        <v>0.5675</v>
      </c>
      <c r="EI13" s="231">
        <v>142213.20000000001</v>
      </c>
      <c r="EJ13" s="231">
        <v>94349.93</v>
      </c>
      <c r="EK13" s="231">
        <v>37579.18</v>
      </c>
      <c r="EL13" s="231">
        <v>21551</v>
      </c>
      <c r="EM13" s="231">
        <v>274142.31</v>
      </c>
      <c r="EN13" s="231">
        <v>566003.19999999995</v>
      </c>
      <c r="EO13" s="231">
        <v>-291860.89</v>
      </c>
      <c r="EP13" s="229">
        <v>-0.51570000000000005</v>
      </c>
      <c r="EQ13" s="231">
        <v>127725</v>
      </c>
      <c r="ER13" s="231">
        <v>80328</v>
      </c>
      <c r="ES13" s="231">
        <v>252314</v>
      </c>
      <c r="ET13" s="231">
        <v>320531323</v>
      </c>
      <c r="EU13" s="231">
        <v>460366</v>
      </c>
      <c r="EV13" s="231">
        <v>460767</v>
      </c>
      <c r="EW13" s="228">
        <v>-401</v>
      </c>
      <c r="EX13" s="229">
        <v>-8.9999999999999998E-4</v>
      </c>
      <c r="EY13" s="229">
        <v>0.30009999999999998</v>
      </c>
    </row>
    <row r="14" spans="1:155" ht="17.25" thickBot="1" x14ac:dyDescent="0.3">
      <c r="A14" s="226">
        <v>46146</v>
      </c>
      <c r="B14" s="227" t="s">
        <v>170</v>
      </c>
      <c r="C14" s="227" t="s">
        <v>208</v>
      </c>
      <c r="D14" s="231">
        <v>1281.2</v>
      </c>
      <c r="E14" s="231">
        <v>1321</v>
      </c>
      <c r="F14" s="228">
        <v>-39.799999999999997</v>
      </c>
      <c r="G14" s="229">
        <v>-3.0099999999999998E-2</v>
      </c>
      <c r="H14" s="231">
        <v>1287.2</v>
      </c>
      <c r="I14" s="231">
        <v>1322.9</v>
      </c>
      <c r="J14" s="228">
        <v>-35.700000000000003</v>
      </c>
      <c r="K14" s="229">
        <v>-2.7E-2</v>
      </c>
      <c r="L14" s="231">
        <v>1281.2</v>
      </c>
      <c r="M14" s="231">
        <v>1321</v>
      </c>
      <c r="N14" s="228">
        <v>-39.799999999999997</v>
      </c>
      <c r="O14" s="229">
        <v>-3.0099999999999998E-2</v>
      </c>
      <c r="P14" s="231">
        <v>1282.2</v>
      </c>
      <c r="Q14" s="231">
        <v>1320.7</v>
      </c>
      <c r="R14" s="228">
        <v>-38.5</v>
      </c>
      <c r="S14" s="229">
        <v>-2.92E-2</v>
      </c>
      <c r="T14" s="231">
        <v>1280</v>
      </c>
      <c r="U14" s="231">
        <v>1319.2</v>
      </c>
      <c r="V14" s="228">
        <v>-39.200000000000003</v>
      </c>
      <c r="W14" s="229">
        <v>-2.9700000000000001E-2</v>
      </c>
      <c r="X14" s="228">
        <v>-6</v>
      </c>
      <c r="Y14" s="228">
        <v>-1.9</v>
      </c>
      <c r="Z14" s="228">
        <v>-4.0999999999999996</v>
      </c>
      <c r="AA14" s="229">
        <v>-4.7000000000000002E-3</v>
      </c>
      <c r="AB14" s="228">
        <v>-6</v>
      </c>
      <c r="AC14" s="228">
        <v>-1.9</v>
      </c>
      <c r="AD14" s="228">
        <v>-4.0999999999999996</v>
      </c>
      <c r="AE14" s="229">
        <v>-4.7000000000000002E-3</v>
      </c>
      <c r="AF14" s="228">
        <v>-5</v>
      </c>
      <c r="AG14" s="228">
        <v>-2.2000000000000002</v>
      </c>
      <c r="AH14" s="228">
        <v>-2.8</v>
      </c>
      <c r="AI14" s="229">
        <v>-3.8999999999999998E-3</v>
      </c>
      <c r="AJ14" s="228">
        <v>-7.2</v>
      </c>
      <c r="AK14" s="228">
        <v>-3.7</v>
      </c>
      <c r="AL14" s="228">
        <v>-3.5</v>
      </c>
      <c r="AM14" s="229">
        <v>-5.5999999999999999E-3</v>
      </c>
      <c r="AN14" s="231">
        <v>1289.1500000000001</v>
      </c>
      <c r="AO14" s="231">
        <v>1290.27</v>
      </c>
      <c r="AP14" s="228">
        <v>0</v>
      </c>
      <c r="AQ14" s="230">
        <v>7433</v>
      </c>
      <c r="AR14" s="230">
        <v>4320</v>
      </c>
      <c r="AS14" s="230">
        <v>3113</v>
      </c>
      <c r="AT14" s="229">
        <v>0.72060000000000002</v>
      </c>
      <c r="AU14" s="230">
        <v>7128</v>
      </c>
      <c r="AV14" s="230">
        <v>4199</v>
      </c>
      <c r="AW14" s="230">
        <v>2929</v>
      </c>
      <c r="AX14" s="229">
        <v>0.69750000000000001</v>
      </c>
      <c r="AY14" s="228">
        <v>288</v>
      </c>
      <c r="AZ14" s="228">
        <v>111</v>
      </c>
      <c r="BA14" s="228">
        <v>177</v>
      </c>
      <c r="BB14" s="229">
        <v>1.5946</v>
      </c>
      <c r="BC14" s="228">
        <v>17</v>
      </c>
      <c r="BD14" s="228">
        <v>10</v>
      </c>
      <c r="BE14" s="228">
        <v>7</v>
      </c>
      <c r="BF14" s="229">
        <v>0.7</v>
      </c>
      <c r="BG14" s="230">
        <v>17645</v>
      </c>
      <c r="BH14" s="230">
        <v>10782</v>
      </c>
      <c r="BI14" s="230">
        <v>6863</v>
      </c>
      <c r="BJ14" s="229">
        <v>0.63649999999999995</v>
      </c>
      <c r="BK14" s="230">
        <v>10525</v>
      </c>
      <c r="BL14" s="230">
        <v>7343</v>
      </c>
      <c r="BM14" s="230">
        <v>3182</v>
      </c>
      <c r="BN14" s="229">
        <v>0.43330000000000002</v>
      </c>
      <c r="BO14" s="230">
        <v>35603</v>
      </c>
      <c r="BP14" s="230">
        <v>22445</v>
      </c>
      <c r="BQ14" s="230">
        <v>13158</v>
      </c>
      <c r="BR14" s="229">
        <v>0.58620000000000005</v>
      </c>
      <c r="BS14" s="230">
        <v>2487251</v>
      </c>
      <c r="BT14" s="230">
        <v>1289421</v>
      </c>
      <c r="BU14" s="230">
        <v>1197830</v>
      </c>
      <c r="BV14" s="229">
        <v>0.92900000000000005</v>
      </c>
      <c r="BW14" s="230">
        <v>16401250</v>
      </c>
      <c r="BX14" s="230">
        <v>15346875</v>
      </c>
      <c r="BY14" s="230">
        <v>1054375</v>
      </c>
      <c r="BZ14" s="229">
        <v>6.8699999999999997E-2</v>
      </c>
      <c r="CA14" s="230">
        <v>16027500</v>
      </c>
      <c r="CB14" s="230">
        <v>15055625</v>
      </c>
      <c r="CC14" s="230">
        <v>971875</v>
      </c>
      <c r="CD14" s="229">
        <v>6.4600000000000005E-2</v>
      </c>
      <c r="CE14" s="230">
        <v>346250</v>
      </c>
      <c r="CF14" s="230">
        <v>272500</v>
      </c>
      <c r="CG14" s="230">
        <v>73750</v>
      </c>
      <c r="CH14" s="229">
        <v>0.27060000000000001</v>
      </c>
      <c r="CI14" s="230">
        <v>27500</v>
      </c>
      <c r="CJ14" s="230">
        <v>18750</v>
      </c>
      <c r="CK14" s="230">
        <v>8750</v>
      </c>
      <c r="CL14" s="229">
        <v>0.4667</v>
      </c>
      <c r="CM14" s="230">
        <v>8417500</v>
      </c>
      <c r="CN14" s="230">
        <v>6848750</v>
      </c>
      <c r="CO14" s="230">
        <v>1568750</v>
      </c>
      <c r="CP14" s="229">
        <v>0.2291</v>
      </c>
      <c r="CQ14" s="230">
        <v>4275000</v>
      </c>
      <c r="CR14" s="230">
        <v>3970625</v>
      </c>
      <c r="CS14" s="230">
        <v>304375</v>
      </c>
      <c r="CT14" s="229">
        <v>7.6700000000000004E-2</v>
      </c>
      <c r="CU14" s="230">
        <v>29093750</v>
      </c>
      <c r="CV14" s="230">
        <v>26166250</v>
      </c>
      <c r="CW14" s="230">
        <v>2927500</v>
      </c>
      <c r="CX14" s="229">
        <v>0.1119</v>
      </c>
      <c r="CY14" s="228">
        <v>32.1</v>
      </c>
      <c r="CZ14" s="228">
        <v>30.04</v>
      </c>
      <c r="DA14" s="228">
        <v>2.06</v>
      </c>
      <c r="DB14" s="228">
        <v>2.06</v>
      </c>
      <c r="DC14" s="228">
        <v>28.62</v>
      </c>
      <c r="DD14" s="228">
        <v>28.44</v>
      </c>
      <c r="DE14" s="228">
        <v>3.48</v>
      </c>
      <c r="DF14" s="228">
        <v>0.18</v>
      </c>
      <c r="DG14" s="228">
        <v>32.33</v>
      </c>
      <c r="DH14" s="228">
        <v>30.32</v>
      </c>
      <c r="DI14" s="228">
        <v>2.0099999999999998</v>
      </c>
      <c r="DJ14" s="228">
        <v>2.0099999999999998</v>
      </c>
      <c r="DK14" s="228">
        <v>31.7</v>
      </c>
      <c r="DL14" s="228">
        <v>29.63</v>
      </c>
      <c r="DM14" s="228">
        <v>2.0699999999999998</v>
      </c>
      <c r="DN14" s="228">
        <v>2.0699999999999998</v>
      </c>
      <c r="DO14" s="228">
        <v>0.51</v>
      </c>
      <c r="DP14" s="228">
        <v>0.57999999999999996</v>
      </c>
      <c r="DQ14" s="228">
        <v>-7.0000000000000007E-2</v>
      </c>
      <c r="DR14" s="229">
        <v>-0.1207</v>
      </c>
      <c r="DS14" s="231">
        <v>1400</v>
      </c>
      <c r="DT14" s="231">
        <v>1200</v>
      </c>
      <c r="DU14" s="228">
        <v>0.6</v>
      </c>
      <c r="DV14" s="228">
        <v>0.68</v>
      </c>
      <c r="DW14" s="228">
        <v>-0.08</v>
      </c>
      <c r="DX14" s="229">
        <v>-0.1176</v>
      </c>
      <c r="DY14" s="229">
        <v>2.2800000000000001E-2</v>
      </c>
      <c r="DZ14" s="230">
        <v>291250</v>
      </c>
      <c r="EA14" s="229">
        <v>8.0000000000000004E-4</v>
      </c>
      <c r="EB14" s="229">
        <v>2.2800000000000001E-2</v>
      </c>
      <c r="EC14" s="228">
        <v>1.1200000000000001</v>
      </c>
      <c r="ED14" s="229">
        <v>8.9999999999999998E-4</v>
      </c>
      <c r="EE14" s="230">
        <v>1172866</v>
      </c>
      <c r="EF14" s="230">
        <v>461504</v>
      </c>
      <c r="EG14" s="229">
        <v>1.5414000000000001</v>
      </c>
      <c r="EH14" s="229">
        <v>0.47160000000000002</v>
      </c>
      <c r="EI14" s="231">
        <v>152302.67000000001</v>
      </c>
      <c r="EJ14" s="231">
        <v>85393.96</v>
      </c>
      <c r="EK14" s="231">
        <v>59890.55</v>
      </c>
      <c r="EL14" s="231">
        <v>11446</v>
      </c>
      <c r="EM14" s="231">
        <v>297587.18</v>
      </c>
      <c r="EN14" s="231">
        <v>190315.36</v>
      </c>
      <c r="EO14" s="231">
        <v>107271.82</v>
      </c>
      <c r="EP14" s="229">
        <v>0.56369999999999998</v>
      </c>
      <c r="EQ14" s="231">
        <v>116017</v>
      </c>
      <c r="ER14" s="231">
        <v>54305</v>
      </c>
      <c r="ES14" s="231">
        <v>210136</v>
      </c>
      <c r="ET14" s="231">
        <v>61026255</v>
      </c>
      <c r="EU14" s="231">
        <v>380458</v>
      </c>
      <c r="EV14" s="231">
        <v>348125</v>
      </c>
      <c r="EW14" s="231">
        <v>32333</v>
      </c>
      <c r="EX14" s="229">
        <v>9.2899999999999996E-2</v>
      </c>
      <c r="EY14" s="229">
        <v>0.47670000000000001</v>
      </c>
    </row>
    <row r="15" spans="1:155" ht="17.25" thickBot="1" x14ac:dyDescent="0.3">
      <c r="A15" s="226">
        <v>46146</v>
      </c>
      <c r="B15" s="227" t="s">
        <v>162</v>
      </c>
      <c r="C15" s="227" t="s">
        <v>209</v>
      </c>
      <c r="D15" s="231">
        <v>7346</v>
      </c>
      <c r="E15" s="231">
        <v>7149</v>
      </c>
      <c r="F15" s="228">
        <v>197</v>
      </c>
      <c r="G15" s="229">
        <v>2.76E-2</v>
      </c>
      <c r="H15" s="231">
        <v>7329</v>
      </c>
      <c r="I15" s="231">
        <v>7109</v>
      </c>
      <c r="J15" s="228">
        <v>220</v>
      </c>
      <c r="K15" s="229">
        <v>3.09E-2</v>
      </c>
      <c r="L15" s="231">
        <v>7346</v>
      </c>
      <c r="M15" s="231">
        <v>7149</v>
      </c>
      <c r="N15" s="228">
        <v>197</v>
      </c>
      <c r="O15" s="229">
        <v>2.76E-2</v>
      </c>
      <c r="P15" s="231">
        <v>7397.5</v>
      </c>
      <c r="Q15" s="231">
        <v>7196</v>
      </c>
      <c r="R15" s="228">
        <v>201.5</v>
      </c>
      <c r="S15" s="229">
        <v>2.8000000000000001E-2</v>
      </c>
      <c r="T15" s="231">
        <v>7421</v>
      </c>
      <c r="U15" s="231">
        <v>7227</v>
      </c>
      <c r="V15" s="228">
        <v>194</v>
      </c>
      <c r="W15" s="229">
        <v>2.6800000000000001E-2</v>
      </c>
      <c r="X15" s="228">
        <v>17</v>
      </c>
      <c r="Y15" s="228">
        <v>40</v>
      </c>
      <c r="Z15" s="228">
        <v>-23</v>
      </c>
      <c r="AA15" s="229">
        <v>2.3E-3</v>
      </c>
      <c r="AB15" s="228">
        <v>17</v>
      </c>
      <c r="AC15" s="228">
        <v>40</v>
      </c>
      <c r="AD15" s="228">
        <v>-23</v>
      </c>
      <c r="AE15" s="229">
        <v>2.3E-3</v>
      </c>
      <c r="AF15" s="228">
        <v>68.5</v>
      </c>
      <c r="AG15" s="228">
        <v>87</v>
      </c>
      <c r="AH15" s="228">
        <v>-18.5</v>
      </c>
      <c r="AI15" s="229">
        <v>9.2999999999999992E-3</v>
      </c>
      <c r="AJ15" s="228">
        <v>92</v>
      </c>
      <c r="AK15" s="228">
        <v>118</v>
      </c>
      <c r="AL15" s="228">
        <v>-26</v>
      </c>
      <c r="AM15" s="229">
        <v>1.26E-2</v>
      </c>
      <c r="AN15" s="231">
        <v>7273.33</v>
      </c>
      <c r="AO15" s="231">
        <v>7332.17</v>
      </c>
      <c r="AP15" s="228">
        <v>0</v>
      </c>
      <c r="AQ15" s="230">
        <v>7932</v>
      </c>
      <c r="AR15" s="230">
        <v>5256</v>
      </c>
      <c r="AS15" s="230">
        <v>2676</v>
      </c>
      <c r="AT15" s="229">
        <v>0.5091</v>
      </c>
      <c r="AU15" s="230">
        <v>7529</v>
      </c>
      <c r="AV15" s="230">
        <v>4968</v>
      </c>
      <c r="AW15" s="230">
        <v>2561</v>
      </c>
      <c r="AX15" s="229">
        <v>0.51549999999999996</v>
      </c>
      <c r="AY15" s="228">
        <v>360</v>
      </c>
      <c r="AZ15" s="228">
        <v>233</v>
      </c>
      <c r="BA15" s="228">
        <v>127</v>
      </c>
      <c r="BB15" s="229">
        <v>0.54510000000000003</v>
      </c>
      <c r="BC15" s="228">
        <v>43</v>
      </c>
      <c r="BD15" s="228">
        <v>55</v>
      </c>
      <c r="BE15" s="228">
        <v>-12</v>
      </c>
      <c r="BF15" s="229">
        <v>-0.21820000000000001</v>
      </c>
      <c r="BG15" s="230">
        <v>22345</v>
      </c>
      <c r="BH15" s="230">
        <v>10610</v>
      </c>
      <c r="BI15" s="230">
        <v>11735</v>
      </c>
      <c r="BJ15" s="229">
        <v>1.1060000000000001</v>
      </c>
      <c r="BK15" s="230">
        <v>7620</v>
      </c>
      <c r="BL15" s="230">
        <v>9848</v>
      </c>
      <c r="BM15" s="230">
        <v>-2228</v>
      </c>
      <c r="BN15" s="229">
        <v>-0.22620000000000001</v>
      </c>
      <c r="BO15" s="230">
        <v>37897</v>
      </c>
      <c r="BP15" s="230">
        <v>25714</v>
      </c>
      <c r="BQ15" s="230">
        <v>12183</v>
      </c>
      <c r="BR15" s="229">
        <v>0.4738</v>
      </c>
      <c r="BS15" s="230">
        <v>717751</v>
      </c>
      <c r="BT15" s="230">
        <v>566675</v>
      </c>
      <c r="BU15" s="230">
        <v>151076</v>
      </c>
      <c r="BV15" s="229">
        <v>0.2666</v>
      </c>
      <c r="BW15" s="230">
        <v>3626400</v>
      </c>
      <c r="BX15" s="230">
        <v>3632300</v>
      </c>
      <c r="BY15" s="230">
        <v>-5900</v>
      </c>
      <c r="BZ15" s="229">
        <v>-1.6000000000000001E-3</v>
      </c>
      <c r="CA15" s="230">
        <v>3087000</v>
      </c>
      <c r="CB15" s="230">
        <v>3104600</v>
      </c>
      <c r="CC15" s="230">
        <v>-17600</v>
      </c>
      <c r="CD15" s="229">
        <v>-5.7000000000000002E-3</v>
      </c>
      <c r="CE15" s="230">
        <v>534800</v>
      </c>
      <c r="CF15" s="230">
        <v>524900</v>
      </c>
      <c r="CG15" s="230">
        <v>9900</v>
      </c>
      <c r="CH15" s="229">
        <v>1.89E-2</v>
      </c>
      <c r="CI15" s="230">
        <v>4600</v>
      </c>
      <c r="CJ15" s="230">
        <v>2800</v>
      </c>
      <c r="CK15" s="230">
        <v>1800</v>
      </c>
      <c r="CL15" s="229">
        <v>0.64290000000000003</v>
      </c>
      <c r="CM15" s="230">
        <v>979500</v>
      </c>
      <c r="CN15" s="230">
        <v>837800</v>
      </c>
      <c r="CO15" s="230">
        <v>141700</v>
      </c>
      <c r="CP15" s="229">
        <v>0.1691</v>
      </c>
      <c r="CQ15" s="230">
        <v>778200</v>
      </c>
      <c r="CR15" s="230">
        <v>725700</v>
      </c>
      <c r="CS15" s="230">
        <v>52500</v>
      </c>
      <c r="CT15" s="229">
        <v>7.2300000000000003E-2</v>
      </c>
      <c r="CU15" s="230">
        <v>5384100</v>
      </c>
      <c r="CV15" s="230">
        <v>5195800</v>
      </c>
      <c r="CW15" s="230">
        <v>188300</v>
      </c>
      <c r="CX15" s="229">
        <v>3.6200000000000003E-2</v>
      </c>
      <c r="CY15" s="228">
        <v>33.17</v>
      </c>
      <c r="CZ15" s="228">
        <v>33.82</v>
      </c>
      <c r="DA15" s="228">
        <v>-0.65</v>
      </c>
      <c r="DB15" s="228">
        <v>-0.65</v>
      </c>
      <c r="DC15" s="228">
        <v>33.58</v>
      </c>
      <c r="DD15" s="228">
        <v>33.409999999999997</v>
      </c>
      <c r="DE15" s="228">
        <v>-0.41</v>
      </c>
      <c r="DF15" s="228">
        <v>0.17</v>
      </c>
      <c r="DG15" s="228">
        <v>32.89</v>
      </c>
      <c r="DH15" s="228">
        <v>32.85</v>
      </c>
      <c r="DI15" s="228">
        <v>0.04</v>
      </c>
      <c r="DJ15" s="228">
        <v>0.04</v>
      </c>
      <c r="DK15" s="228">
        <v>34.020000000000003</v>
      </c>
      <c r="DL15" s="228">
        <v>34.86</v>
      </c>
      <c r="DM15" s="228">
        <v>-0.84</v>
      </c>
      <c r="DN15" s="228">
        <v>-0.84</v>
      </c>
      <c r="DO15" s="228">
        <v>0.79</v>
      </c>
      <c r="DP15" s="228">
        <v>0.87</v>
      </c>
      <c r="DQ15" s="228">
        <v>-0.08</v>
      </c>
      <c r="DR15" s="229">
        <v>-9.1999999999999998E-2</v>
      </c>
      <c r="DS15" s="231">
        <v>7400</v>
      </c>
      <c r="DT15" s="231">
        <v>6800</v>
      </c>
      <c r="DU15" s="228">
        <v>0.34</v>
      </c>
      <c r="DV15" s="228">
        <v>0.93</v>
      </c>
      <c r="DW15" s="228">
        <v>-0.59</v>
      </c>
      <c r="DX15" s="229">
        <v>-0.63439999999999996</v>
      </c>
      <c r="DY15" s="229">
        <v>0.1487</v>
      </c>
      <c r="DZ15" s="230">
        <v>527700</v>
      </c>
      <c r="EA15" s="229">
        <v>7.0000000000000001E-3</v>
      </c>
      <c r="EB15" s="229">
        <v>0.1487</v>
      </c>
      <c r="EC15" s="228">
        <v>58.84</v>
      </c>
      <c r="ED15" s="229">
        <v>8.0999999999999996E-3</v>
      </c>
      <c r="EE15" s="230">
        <v>399051</v>
      </c>
      <c r="EF15" s="230">
        <v>274844</v>
      </c>
      <c r="EG15" s="229">
        <v>0.45190000000000002</v>
      </c>
      <c r="EH15" s="229">
        <v>0.55600000000000005</v>
      </c>
      <c r="EI15" s="231">
        <v>171312.71</v>
      </c>
      <c r="EJ15" s="231">
        <v>54339.92</v>
      </c>
      <c r="EK15" s="231">
        <v>57716.76</v>
      </c>
      <c r="EL15" s="231">
        <v>9234</v>
      </c>
      <c r="EM15" s="231">
        <v>283369.39</v>
      </c>
      <c r="EN15" s="231">
        <v>184992</v>
      </c>
      <c r="EO15" s="231">
        <v>98377.39</v>
      </c>
      <c r="EP15" s="229">
        <v>0.53180000000000005</v>
      </c>
      <c r="EQ15" s="231">
        <v>73915</v>
      </c>
      <c r="ER15" s="231">
        <v>54319</v>
      </c>
      <c r="ES15" s="231">
        <v>266674</v>
      </c>
      <c r="ET15" s="231">
        <v>20960143</v>
      </c>
      <c r="EU15" s="231">
        <v>394908</v>
      </c>
      <c r="EV15" s="231">
        <v>373708</v>
      </c>
      <c r="EW15" s="231">
        <v>21200</v>
      </c>
      <c r="EX15" s="229">
        <v>5.67E-2</v>
      </c>
      <c r="EY15" s="229">
        <v>0.25690000000000002</v>
      </c>
    </row>
    <row r="16" spans="1:155" ht="17.25" thickBot="1" x14ac:dyDescent="0.3">
      <c r="A16" s="226">
        <v>46146</v>
      </c>
      <c r="B16" s="227" t="s">
        <v>614</v>
      </c>
      <c r="C16" s="227" t="s">
        <v>664</v>
      </c>
      <c r="D16" s="228">
        <v>253.32</v>
      </c>
      <c r="E16" s="228">
        <v>248.46</v>
      </c>
      <c r="F16" s="228">
        <v>4.8600000000000003</v>
      </c>
      <c r="G16" s="229">
        <v>1.9599999999999999E-2</v>
      </c>
      <c r="H16" s="228">
        <v>251.9</v>
      </c>
      <c r="I16" s="228">
        <v>247.03</v>
      </c>
      <c r="J16" s="228">
        <v>4.87</v>
      </c>
      <c r="K16" s="229">
        <v>1.9699999999999999E-2</v>
      </c>
      <c r="L16" s="228">
        <v>253.32</v>
      </c>
      <c r="M16" s="228">
        <v>248.46</v>
      </c>
      <c r="N16" s="228">
        <v>4.8600000000000003</v>
      </c>
      <c r="O16" s="229">
        <v>1.9599999999999999E-2</v>
      </c>
      <c r="P16" s="228">
        <v>254.95</v>
      </c>
      <c r="Q16" s="228">
        <v>249.74</v>
      </c>
      <c r="R16" s="228">
        <v>5.21</v>
      </c>
      <c r="S16" s="229">
        <v>2.0899999999999998E-2</v>
      </c>
      <c r="T16" s="228">
        <v>256.02999999999997</v>
      </c>
      <c r="U16" s="228">
        <v>251.14</v>
      </c>
      <c r="V16" s="228">
        <v>4.8899999999999997</v>
      </c>
      <c r="W16" s="229">
        <v>1.95E-2</v>
      </c>
      <c r="X16" s="228">
        <v>1.42</v>
      </c>
      <c r="Y16" s="228">
        <v>1.43</v>
      </c>
      <c r="Z16" s="228">
        <v>-0.01</v>
      </c>
      <c r="AA16" s="229">
        <v>5.5999999999999999E-3</v>
      </c>
      <c r="AB16" s="228">
        <v>1.42</v>
      </c>
      <c r="AC16" s="228">
        <v>1.43</v>
      </c>
      <c r="AD16" s="228">
        <v>-0.01</v>
      </c>
      <c r="AE16" s="229">
        <v>5.5999999999999999E-3</v>
      </c>
      <c r="AF16" s="228">
        <v>3.05</v>
      </c>
      <c r="AG16" s="228">
        <v>2.71</v>
      </c>
      <c r="AH16" s="228">
        <v>0.34</v>
      </c>
      <c r="AI16" s="229">
        <v>1.21E-2</v>
      </c>
      <c r="AJ16" s="228">
        <v>4.13</v>
      </c>
      <c r="AK16" s="228">
        <v>4.1100000000000003</v>
      </c>
      <c r="AL16" s="228">
        <v>0.02</v>
      </c>
      <c r="AM16" s="229">
        <v>1.6400000000000001E-2</v>
      </c>
      <c r="AN16" s="228">
        <v>250.98</v>
      </c>
      <c r="AO16" s="228">
        <v>252.71</v>
      </c>
      <c r="AP16" s="228">
        <v>0</v>
      </c>
      <c r="AQ16" s="230">
        <v>12839</v>
      </c>
      <c r="AR16" s="230">
        <v>19286</v>
      </c>
      <c r="AS16" s="230">
        <v>-6447</v>
      </c>
      <c r="AT16" s="229">
        <v>-0.33429999999999999</v>
      </c>
      <c r="AU16" s="230">
        <v>11960</v>
      </c>
      <c r="AV16" s="230">
        <v>17761</v>
      </c>
      <c r="AW16" s="230">
        <v>-5801</v>
      </c>
      <c r="AX16" s="229">
        <v>-0.3266</v>
      </c>
      <c r="AY16" s="228">
        <v>776</v>
      </c>
      <c r="AZ16" s="230">
        <v>1213</v>
      </c>
      <c r="BA16" s="228">
        <v>-437</v>
      </c>
      <c r="BB16" s="229">
        <v>-0.36030000000000001</v>
      </c>
      <c r="BC16" s="228">
        <v>103</v>
      </c>
      <c r="BD16" s="228">
        <v>312</v>
      </c>
      <c r="BE16" s="228">
        <v>-209</v>
      </c>
      <c r="BF16" s="229">
        <v>-0.66990000000000005</v>
      </c>
      <c r="BG16" s="230">
        <v>39560</v>
      </c>
      <c r="BH16" s="230">
        <v>59347</v>
      </c>
      <c r="BI16" s="230">
        <v>-19787</v>
      </c>
      <c r="BJ16" s="229">
        <v>-0.33339999999999997</v>
      </c>
      <c r="BK16" s="230">
        <v>20104</v>
      </c>
      <c r="BL16" s="230">
        <v>32561</v>
      </c>
      <c r="BM16" s="230">
        <v>-12457</v>
      </c>
      <c r="BN16" s="229">
        <v>-0.3826</v>
      </c>
      <c r="BO16" s="230">
        <v>72503</v>
      </c>
      <c r="BP16" s="230">
        <v>111194</v>
      </c>
      <c r="BQ16" s="230">
        <v>-38691</v>
      </c>
      <c r="BR16" s="229">
        <v>-0.34799999999999998</v>
      </c>
      <c r="BS16" s="230">
        <v>46192864</v>
      </c>
      <c r="BT16" s="230">
        <v>75916583</v>
      </c>
      <c r="BU16" s="230">
        <v>-29723719</v>
      </c>
      <c r="BV16" s="229">
        <v>-0.39150000000000001</v>
      </c>
      <c r="BW16" s="230">
        <v>207495125</v>
      </c>
      <c r="BX16" s="230">
        <v>206428125</v>
      </c>
      <c r="BY16" s="230">
        <v>1067000</v>
      </c>
      <c r="BZ16" s="229">
        <v>5.1999999999999998E-3</v>
      </c>
      <c r="CA16" s="230">
        <v>190287325</v>
      </c>
      <c r="CB16" s="230">
        <v>189596200</v>
      </c>
      <c r="CC16" s="230">
        <v>691125</v>
      </c>
      <c r="CD16" s="229">
        <v>3.5999999999999999E-3</v>
      </c>
      <c r="CE16" s="230">
        <v>16441500</v>
      </c>
      <c r="CF16" s="230">
        <v>16099575</v>
      </c>
      <c r="CG16" s="230">
        <v>341925</v>
      </c>
      <c r="CH16" s="229">
        <v>2.12E-2</v>
      </c>
      <c r="CI16" s="230">
        <v>766300</v>
      </c>
      <c r="CJ16" s="230">
        <v>732350</v>
      </c>
      <c r="CK16" s="230">
        <v>33950</v>
      </c>
      <c r="CL16" s="229">
        <v>4.6399999999999997E-2</v>
      </c>
      <c r="CM16" s="230">
        <v>93343100</v>
      </c>
      <c r="CN16" s="230">
        <v>92571950</v>
      </c>
      <c r="CO16" s="230">
        <v>771150</v>
      </c>
      <c r="CP16" s="229">
        <v>8.3000000000000001E-3</v>
      </c>
      <c r="CQ16" s="230">
        <v>50847400</v>
      </c>
      <c r="CR16" s="230">
        <v>49443325</v>
      </c>
      <c r="CS16" s="230">
        <v>1404075</v>
      </c>
      <c r="CT16" s="229">
        <v>2.8400000000000002E-2</v>
      </c>
      <c r="CU16" s="230">
        <v>351685625</v>
      </c>
      <c r="CV16" s="230">
        <v>348443400</v>
      </c>
      <c r="CW16" s="230">
        <v>3242225</v>
      </c>
      <c r="CX16" s="229">
        <v>9.2999999999999992E-3</v>
      </c>
      <c r="CY16" s="228">
        <v>39.43</v>
      </c>
      <c r="CZ16" s="228">
        <v>40.94</v>
      </c>
      <c r="DA16" s="228">
        <v>-1.51</v>
      </c>
      <c r="DB16" s="228">
        <v>-1.51</v>
      </c>
      <c r="DC16" s="228">
        <v>45.53</v>
      </c>
      <c r="DD16" s="228">
        <v>45.56</v>
      </c>
      <c r="DE16" s="228">
        <v>-6.1</v>
      </c>
      <c r="DF16" s="228">
        <v>-0.03</v>
      </c>
      <c r="DG16" s="228">
        <v>39.49</v>
      </c>
      <c r="DH16" s="228">
        <v>41.41</v>
      </c>
      <c r="DI16" s="228">
        <v>-1.92</v>
      </c>
      <c r="DJ16" s="228">
        <v>-1.92</v>
      </c>
      <c r="DK16" s="228">
        <v>39.31</v>
      </c>
      <c r="DL16" s="228">
        <v>40.090000000000003</v>
      </c>
      <c r="DM16" s="228">
        <v>-0.78</v>
      </c>
      <c r="DN16" s="228">
        <v>-0.78</v>
      </c>
      <c r="DO16" s="228">
        <v>0.54</v>
      </c>
      <c r="DP16" s="228">
        <v>0.53</v>
      </c>
      <c r="DQ16" s="228">
        <v>0.01</v>
      </c>
      <c r="DR16" s="229">
        <v>1.89E-2</v>
      </c>
      <c r="DS16" s="228">
        <v>260</v>
      </c>
      <c r="DT16" s="228">
        <v>240</v>
      </c>
      <c r="DU16" s="228">
        <v>0.51</v>
      </c>
      <c r="DV16" s="228">
        <v>0.55000000000000004</v>
      </c>
      <c r="DW16" s="228">
        <v>-0.04</v>
      </c>
      <c r="DX16" s="229">
        <v>-7.2700000000000001E-2</v>
      </c>
      <c r="DY16" s="229">
        <v>8.2900000000000001E-2</v>
      </c>
      <c r="DZ16" s="230">
        <v>16831925</v>
      </c>
      <c r="EA16" s="229">
        <v>6.4000000000000003E-3</v>
      </c>
      <c r="EB16" s="229">
        <v>8.2900000000000001E-2</v>
      </c>
      <c r="EC16" s="228">
        <v>1.73</v>
      </c>
      <c r="ED16" s="229">
        <v>6.8999999999999999E-3</v>
      </c>
      <c r="EE16" s="230">
        <v>23143263</v>
      </c>
      <c r="EF16" s="230">
        <v>39381829</v>
      </c>
      <c r="EG16" s="229">
        <v>-0.4123</v>
      </c>
      <c r="EH16" s="229">
        <v>0.501</v>
      </c>
      <c r="EI16" s="231">
        <v>256831.08</v>
      </c>
      <c r="EJ16" s="231">
        <v>120204.9</v>
      </c>
      <c r="EK16" s="231">
        <v>78181.89</v>
      </c>
      <c r="EL16" s="231">
        <v>48508</v>
      </c>
      <c r="EM16" s="231">
        <v>455217.87</v>
      </c>
      <c r="EN16" s="231">
        <v>695685.81</v>
      </c>
      <c r="EO16" s="231">
        <v>-240467.94</v>
      </c>
      <c r="EP16" s="229">
        <v>-0.34570000000000001</v>
      </c>
      <c r="EQ16" s="231">
        <v>247681</v>
      </c>
      <c r="ER16" s="231">
        <v>124241</v>
      </c>
      <c r="ES16" s="231">
        <v>525915</v>
      </c>
      <c r="ET16" s="231">
        <v>1366821859</v>
      </c>
      <c r="EU16" s="231">
        <v>897837</v>
      </c>
      <c r="EV16" s="231">
        <v>879823</v>
      </c>
      <c r="EW16" s="231">
        <v>18014</v>
      </c>
      <c r="EX16" s="229">
        <v>2.0500000000000001E-2</v>
      </c>
      <c r="EY16" s="229">
        <v>0.25729999999999997</v>
      </c>
    </row>
    <row r="17" spans="1:155" ht="17.25" thickBot="1" x14ac:dyDescent="0.3">
      <c r="A17" s="226">
        <v>46146</v>
      </c>
      <c r="B17" s="227" t="s">
        <v>157</v>
      </c>
      <c r="C17" s="227" t="s">
        <v>219</v>
      </c>
      <c r="D17" s="231">
        <v>2871.8</v>
      </c>
      <c r="E17" s="231">
        <v>2802.8</v>
      </c>
      <c r="F17" s="228">
        <v>69</v>
      </c>
      <c r="G17" s="229">
        <v>2.46E-2</v>
      </c>
      <c r="H17" s="231">
        <v>2856</v>
      </c>
      <c r="I17" s="231">
        <v>2794.5</v>
      </c>
      <c r="J17" s="228">
        <v>61.5</v>
      </c>
      <c r="K17" s="229">
        <v>2.1999999999999999E-2</v>
      </c>
      <c r="L17" s="231">
        <v>2871.8</v>
      </c>
      <c r="M17" s="231">
        <v>2802.8</v>
      </c>
      <c r="N17" s="228">
        <v>69</v>
      </c>
      <c r="O17" s="229">
        <v>2.46E-2</v>
      </c>
      <c r="P17" s="231">
        <v>2891.8</v>
      </c>
      <c r="Q17" s="231">
        <v>2821.8</v>
      </c>
      <c r="R17" s="228">
        <v>70</v>
      </c>
      <c r="S17" s="229">
        <v>2.4799999999999999E-2</v>
      </c>
      <c r="T17" s="231">
        <v>2886.2</v>
      </c>
      <c r="U17" s="231">
        <v>2838.6</v>
      </c>
      <c r="V17" s="228">
        <v>47.6</v>
      </c>
      <c r="W17" s="229">
        <v>1.6799999999999999E-2</v>
      </c>
      <c r="X17" s="228">
        <v>15.8</v>
      </c>
      <c r="Y17" s="228">
        <v>8.3000000000000007</v>
      </c>
      <c r="Z17" s="228">
        <v>7.5</v>
      </c>
      <c r="AA17" s="229">
        <v>5.4999999999999997E-3</v>
      </c>
      <c r="AB17" s="228">
        <v>15.8</v>
      </c>
      <c r="AC17" s="228">
        <v>8.3000000000000007</v>
      </c>
      <c r="AD17" s="228">
        <v>7.5</v>
      </c>
      <c r="AE17" s="229">
        <v>5.4999999999999997E-3</v>
      </c>
      <c r="AF17" s="228">
        <v>35.799999999999997</v>
      </c>
      <c r="AG17" s="228">
        <v>27.3</v>
      </c>
      <c r="AH17" s="228">
        <v>8.5</v>
      </c>
      <c r="AI17" s="229">
        <v>1.2500000000000001E-2</v>
      </c>
      <c r="AJ17" s="228">
        <v>30.2</v>
      </c>
      <c r="AK17" s="228">
        <v>44.1</v>
      </c>
      <c r="AL17" s="228">
        <v>-13.9</v>
      </c>
      <c r="AM17" s="229">
        <v>1.06E-2</v>
      </c>
      <c r="AN17" s="231">
        <v>2856.42</v>
      </c>
      <c r="AO17" s="231">
        <v>2875.62</v>
      </c>
      <c r="AP17" s="228">
        <v>0</v>
      </c>
      <c r="AQ17" s="230">
        <v>4427</v>
      </c>
      <c r="AR17" s="230">
        <v>3879</v>
      </c>
      <c r="AS17" s="228">
        <v>548</v>
      </c>
      <c r="AT17" s="229">
        <v>0.14130000000000001</v>
      </c>
      <c r="AU17" s="230">
        <v>4210</v>
      </c>
      <c r="AV17" s="230">
        <v>3771</v>
      </c>
      <c r="AW17" s="228">
        <v>439</v>
      </c>
      <c r="AX17" s="229">
        <v>0.1164</v>
      </c>
      <c r="AY17" s="228">
        <v>213</v>
      </c>
      <c r="AZ17" s="228">
        <v>98</v>
      </c>
      <c r="BA17" s="228">
        <v>115</v>
      </c>
      <c r="BB17" s="229">
        <v>1.1735</v>
      </c>
      <c r="BC17" s="228">
        <v>4</v>
      </c>
      <c r="BD17" s="228">
        <v>10</v>
      </c>
      <c r="BE17" s="228">
        <v>-6</v>
      </c>
      <c r="BF17" s="229">
        <v>-0.6</v>
      </c>
      <c r="BG17" s="230">
        <v>8019</v>
      </c>
      <c r="BH17" s="230">
        <v>3036</v>
      </c>
      <c r="BI17" s="230">
        <v>4983</v>
      </c>
      <c r="BJ17" s="229">
        <v>1.6413</v>
      </c>
      <c r="BK17" s="230">
        <v>2404</v>
      </c>
      <c r="BL17" s="230">
        <v>1518</v>
      </c>
      <c r="BM17" s="228">
        <v>886</v>
      </c>
      <c r="BN17" s="229">
        <v>0.5837</v>
      </c>
      <c r="BO17" s="230">
        <v>14850</v>
      </c>
      <c r="BP17" s="230">
        <v>8433</v>
      </c>
      <c r="BQ17" s="230">
        <v>6417</v>
      </c>
      <c r="BR17" s="229">
        <v>0.76090000000000002</v>
      </c>
      <c r="BS17" s="230">
        <v>1024502</v>
      </c>
      <c r="BT17" s="230">
        <v>1206394</v>
      </c>
      <c r="BU17" s="230">
        <v>-181892</v>
      </c>
      <c r="BV17" s="229">
        <v>-0.15079999999999999</v>
      </c>
      <c r="BW17" s="230">
        <v>14712500</v>
      </c>
      <c r="BX17" s="230">
        <v>14502500</v>
      </c>
      <c r="BY17" s="230">
        <v>210000</v>
      </c>
      <c r="BZ17" s="229">
        <v>1.4500000000000001E-2</v>
      </c>
      <c r="CA17" s="230">
        <v>13909750</v>
      </c>
      <c r="CB17" s="230">
        <v>13722000</v>
      </c>
      <c r="CC17" s="230">
        <v>187750</v>
      </c>
      <c r="CD17" s="229">
        <v>1.37E-2</v>
      </c>
      <c r="CE17" s="230">
        <v>799000</v>
      </c>
      <c r="CF17" s="230">
        <v>777500</v>
      </c>
      <c r="CG17" s="230">
        <v>21500</v>
      </c>
      <c r="CH17" s="229">
        <v>2.7699999999999999E-2</v>
      </c>
      <c r="CI17" s="230">
        <v>3750</v>
      </c>
      <c r="CJ17" s="230">
        <v>3000</v>
      </c>
      <c r="CK17" s="228">
        <v>750</v>
      </c>
      <c r="CL17" s="229">
        <v>0.25</v>
      </c>
      <c r="CM17" s="230">
        <v>1065500</v>
      </c>
      <c r="CN17" s="230">
        <v>932000</v>
      </c>
      <c r="CO17" s="230">
        <v>133500</v>
      </c>
      <c r="CP17" s="229">
        <v>0.14319999999999999</v>
      </c>
      <c r="CQ17" s="230">
        <v>776750</v>
      </c>
      <c r="CR17" s="230">
        <v>758000</v>
      </c>
      <c r="CS17" s="230">
        <v>18750</v>
      </c>
      <c r="CT17" s="229">
        <v>2.47E-2</v>
      </c>
      <c r="CU17" s="230">
        <v>16554750</v>
      </c>
      <c r="CV17" s="230">
        <v>16192500</v>
      </c>
      <c r="CW17" s="230">
        <v>362250</v>
      </c>
      <c r="CX17" s="229">
        <v>2.24E-2</v>
      </c>
      <c r="CY17" s="228">
        <v>27.46</v>
      </c>
      <c r="CZ17" s="228">
        <v>27.72</v>
      </c>
      <c r="DA17" s="228">
        <v>-0.26</v>
      </c>
      <c r="DB17" s="228">
        <v>-0.26</v>
      </c>
      <c r="DC17" s="228">
        <v>28.08</v>
      </c>
      <c r="DD17" s="228">
        <v>27.96</v>
      </c>
      <c r="DE17" s="228">
        <v>-0.62</v>
      </c>
      <c r="DF17" s="228">
        <v>0.12</v>
      </c>
      <c r="DG17" s="228">
        <v>27.06</v>
      </c>
      <c r="DH17" s="228">
        <v>27.46</v>
      </c>
      <c r="DI17" s="228">
        <v>-0.4</v>
      </c>
      <c r="DJ17" s="228">
        <v>-0.4</v>
      </c>
      <c r="DK17" s="228">
        <v>28.78</v>
      </c>
      <c r="DL17" s="228">
        <v>28.24</v>
      </c>
      <c r="DM17" s="228">
        <v>0.54</v>
      </c>
      <c r="DN17" s="228">
        <v>0.54</v>
      </c>
      <c r="DO17" s="228">
        <v>0.73</v>
      </c>
      <c r="DP17" s="228">
        <v>0.81</v>
      </c>
      <c r="DQ17" s="228">
        <v>-0.08</v>
      </c>
      <c r="DR17" s="229">
        <v>-9.8799999999999999E-2</v>
      </c>
      <c r="DS17" s="231">
        <v>2800</v>
      </c>
      <c r="DT17" s="231">
        <v>2800</v>
      </c>
      <c r="DU17" s="228">
        <v>0.3</v>
      </c>
      <c r="DV17" s="228">
        <v>0.5</v>
      </c>
      <c r="DW17" s="228">
        <v>-0.2</v>
      </c>
      <c r="DX17" s="229">
        <v>-0.4</v>
      </c>
      <c r="DY17" s="229">
        <v>5.4600000000000003E-2</v>
      </c>
      <c r="DZ17" s="230">
        <v>780500</v>
      </c>
      <c r="EA17" s="229">
        <v>7.0000000000000001E-3</v>
      </c>
      <c r="EB17" s="229">
        <v>5.4600000000000003E-2</v>
      </c>
      <c r="EC17" s="228">
        <v>19.2</v>
      </c>
      <c r="ED17" s="229">
        <v>6.7000000000000002E-3</v>
      </c>
      <c r="EE17" s="230">
        <v>596864</v>
      </c>
      <c r="EF17" s="230">
        <v>721314</v>
      </c>
      <c r="EG17" s="229">
        <v>-0.17249999999999999</v>
      </c>
      <c r="EH17" s="229">
        <v>0.58260000000000001</v>
      </c>
      <c r="EI17" s="231">
        <v>59819.73</v>
      </c>
      <c r="EJ17" s="231">
        <v>16721.990000000002</v>
      </c>
      <c r="EK17" s="231">
        <v>31623.96</v>
      </c>
      <c r="EL17" s="231">
        <v>12971</v>
      </c>
      <c r="EM17" s="231">
        <v>108165.68</v>
      </c>
      <c r="EN17" s="231">
        <v>59510.92</v>
      </c>
      <c r="EO17" s="231">
        <v>48654.76</v>
      </c>
      <c r="EP17" s="229">
        <v>0.81759999999999999</v>
      </c>
      <c r="EQ17" s="231">
        <v>31411</v>
      </c>
      <c r="ER17" s="231">
        <v>21060</v>
      </c>
      <c r="ES17" s="231">
        <v>422674</v>
      </c>
      <c r="ET17" s="231">
        <v>38401443</v>
      </c>
      <c r="EU17" s="231">
        <v>475145</v>
      </c>
      <c r="EV17" s="231">
        <v>454348</v>
      </c>
      <c r="EW17" s="231">
        <v>20797</v>
      </c>
      <c r="EX17" s="229">
        <v>4.58E-2</v>
      </c>
      <c r="EY17" s="229">
        <v>0.43109999999999998</v>
      </c>
    </row>
    <row r="18" spans="1:155" ht="17.25" thickBot="1" x14ac:dyDescent="0.3">
      <c r="A18" s="226">
        <v>46146</v>
      </c>
      <c r="B18" s="227" t="s">
        <v>221</v>
      </c>
      <c r="C18" s="227" t="s">
        <v>222</v>
      </c>
      <c r="D18" s="231">
        <v>1201.4000000000001</v>
      </c>
      <c r="E18" s="231">
        <v>1201.7</v>
      </c>
      <c r="F18" s="228">
        <v>-0.3</v>
      </c>
      <c r="G18" s="229">
        <v>-2.0000000000000001E-4</v>
      </c>
      <c r="H18" s="231">
        <v>1200.5</v>
      </c>
      <c r="I18" s="231">
        <v>1199.0999999999999</v>
      </c>
      <c r="J18" s="228">
        <v>1.4</v>
      </c>
      <c r="K18" s="229">
        <v>1.1999999999999999E-3</v>
      </c>
      <c r="L18" s="231">
        <v>1201.4000000000001</v>
      </c>
      <c r="M18" s="231">
        <v>1201.7</v>
      </c>
      <c r="N18" s="228">
        <v>-0.3</v>
      </c>
      <c r="O18" s="229">
        <v>-2.0000000000000001E-4</v>
      </c>
      <c r="P18" s="231">
        <v>1193.9000000000001</v>
      </c>
      <c r="Q18" s="231">
        <v>1194.5</v>
      </c>
      <c r="R18" s="228">
        <v>-0.6</v>
      </c>
      <c r="S18" s="229">
        <v>-5.0000000000000001E-4</v>
      </c>
      <c r="T18" s="231">
        <v>1188.0999999999999</v>
      </c>
      <c r="U18" s="231">
        <v>1187.9000000000001</v>
      </c>
      <c r="V18" s="228">
        <v>0.2</v>
      </c>
      <c r="W18" s="229">
        <v>2.0000000000000001E-4</v>
      </c>
      <c r="X18" s="228">
        <v>0.9</v>
      </c>
      <c r="Y18" s="228">
        <v>2.6</v>
      </c>
      <c r="Z18" s="228">
        <v>-1.7</v>
      </c>
      <c r="AA18" s="229">
        <v>6.9999999999999999E-4</v>
      </c>
      <c r="AB18" s="228">
        <v>0.9</v>
      </c>
      <c r="AC18" s="228">
        <v>2.6</v>
      </c>
      <c r="AD18" s="228">
        <v>-1.7</v>
      </c>
      <c r="AE18" s="229">
        <v>6.9999999999999999E-4</v>
      </c>
      <c r="AF18" s="228">
        <v>-6.6</v>
      </c>
      <c r="AG18" s="228">
        <v>-4.5999999999999996</v>
      </c>
      <c r="AH18" s="228">
        <v>-2</v>
      </c>
      <c r="AI18" s="229">
        <v>-5.4999999999999997E-3</v>
      </c>
      <c r="AJ18" s="228">
        <v>-12.4</v>
      </c>
      <c r="AK18" s="228">
        <v>-11.2</v>
      </c>
      <c r="AL18" s="228">
        <v>-1.2</v>
      </c>
      <c r="AM18" s="229">
        <v>-1.03E-2</v>
      </c>
      <c r="AN18" s="231">
        <v>1200.05</v>
      </c>
      <c r="AO18" s="231">
        <v>1192.8399999999999</v>
      </c>
      <c r="AP18" s="228">
        <v>0</v>
      </c>
      <c r="AQ18" s="230">
        <v>8332</v>
      </c>
      <c r="AR18" s="230">
        <v>12598</v>
      </c>
      <c r="AS18" s="230">
        <v>-4266</v>
      </c>
      <c r="AT18" s="229">
        <v>-0.33860000000000001</v>
      </c>
      <c r="AU18" s="230">
        <v>7268</v>
      </c>
      <c r="AV18" s="230">
        <v>11782</v>
      </c>
      <c r="AW18" s="230">
        <v>-4514</v>
      </c>
      <c r="AX18" s="229">
        <v>-0.3831</v>
      </c>
      <c r="AY18" s="228">
        <v>973</v>
      </c>
      <c r="AZ18" s="228">
        <v>679</v>
      </c>
      <c r="BA18" s="228">
        <v>294</v>
      </c>
      <c r="BB18" s="229">
        <v>0.433</v>
      </c>
      <c r="BC18" s="228">
        <v>91</v>
      </c>
      <c r="BD18" s="228">
        <v>137</v>
      </c>
      <c r="BE18" s="228">
        <v>-46</v>
      </c>
      <c r="BF18" s="229">
        <v>-0.33579999999999999</v>
      </c>
      <c r="BG18" s="230">
        <v>37346</v>
      </c>
      <c r="BH18" s="230">
        <v>38496</v>
      </c>
      <c r="BI18" s="230">
        <v>-1150</v>
      </c>
      <c r="BJ18" s="229">
        <v>-2.9899999999999999E-2</v>
      </c>
      <c r="BK18" s="230">
        <v>16825</v>
      </c>
      <c r="BL18" s="230">
        <v>19905</v>
      </c>
      <c r="BM18" s="230">
        <v>-3080</v>
      </c>
      <c r="BN18" s="229">
        <v>-0.1547</v>
      </c>
      <c r="BO18" s="230">
        <v>62503</v>
      </c>
      <c r="BP18" s="230">
        <v>70999</v>
      </c>
      <c r="BQ18" s="230">
        <v>-8496</v>
      </c>
      <c r="BR18" s="229">
        <v>-0.1197</v>
      </c>
      <c r="BS18" s="230">
        <v>3588826</v>
      </c>
      <c r="BT18" s="230">
        <v>5312743</v>
      </c>
      <c r="BU18" s="230">
        <v>-1723917</v>
      </c>
      <c r="BV18" s="229">
        <v>-0.32450000000000001</v>
      </c>
      <c r="BW18" s="230">
        <v>44065500</v>
      </c>
      <c r="BX18" s="230">
        <v>43555900</v>
      </c>
      <c r="BY18" s="230">
        <v>509600</v>
      </c>
      <c r="BZ18" s="229">
        <v>1.17E-2</v>
      </c>
      <c r="CA18" s="230">
        <v>41947500</v>
      </c>
      <c r="CB18" s="230">
        <v>41623400</v>
      </c>
      <c r="CC18" s="230">
        <v>324100</v>
      </c>
      <c r="CD18" s="229">
        <v>7.7999999999999996E-3</v>
      </c>
      <c r="CE18" s="230">
        <v>1990800</v>
      </c>
      <c r="CF18" s="230">
        <v>1830500</v>
      </c>
      <c r="CG18" s="230">
        <v>160300</v>
      </c>
      <c r="CH18" s="229">
        <v>8.7599999999999997E-2</v>
      </c>
      <c r="CI18" s="230">
        <v>127200</v>
      </c>
      <c r="CJ18" s="230">
        <v>102000</v>
      </c>
      <c r="CK18" s="230">
        <v>25200</v>
      </c>
      <c r="CL18" s="229">
        <v>0.24709999999999999</v>
      </c>
      <c r="CM18" s="230">
        <v>22062550</v>
      </c>
      <c r="CN18" s="230">
        <v>20802600</v>
      </c>
      <c r="CO18" s="230">
        <v>1259950</v>
      </c>
      <c r="CP18" s="229">
        <v>6.0600000000000001E-2</v>
      </c>
      <c r="CQ18" s="230">
        <v>11525500</v>
      </c>
      <c r="CR18" s="230">
        <v>11207000</v>
      </c>
      <c r="CS18" s="230">
        <v>318500</v>
      </c>
      <c r="CT18" s="229">
        <v>2.8400000000000002E-2</v>
      </c>
      <c r="CU18" s="230">
        <v>77653550</v>
      </c>
      <c r="CV18" s="230">
        <v>75565500</v>
      </c>
      <c r="CW18" s="230">
        <v>2088050</v>
      </c>
      <c r="CX18" s="229">
        <v>2.76E-2</v>
      </c>
      <c r="CY18" s="228">
        <v>30.38</v>
      </c>
      <c r="CZ18" s="228">
        <v>29.97</v>
      </c>
      <c r="DA18" s="228">
        <v>0.41</v>
      </c>
      <c r="DB18" s="228">
        <v>0.41</v>
      </c>
      <c r="DC18" s="228">
        <v>33.22</v>
      </c>
      <c r="DD18" s="228">
        <v>33.31</v>
      </c>
      <c r="DE18" s="228">
        <v>-2.84</v>
      </c>
      <c r="DF18" s="228">
        <v>-0.09</v>
      </c>
      <c r="DG18" s="228">
        <v>30.91</v>
      </c>
      <c r="DH18" s="228">
        <v>30.5</v>
      </c>
      <c r="DI18" s="228">
        <v>0.41</v>
      </c>
      <c r="DJ18" s="228">
        <v>0.41</v>
      </c>
      <c r="DK18" s="228">
        <v>29.22</v>
      </c>
      <c r="DL18" s="228">
        <v>28.95</v>
      </c>
      <c r="DM18" s="228">
        <v>0.27</v>
      </c>
      <c r="DN18" s="228">
        <v>0.27</v>
      </c>
      <c r="DO18" s="228">
        <v>0.52</v>
      </c>
      <c r="DP18" s="228">
        <v>0.54</v>
      </c>
      <c r="DQ18" s="228">
        <v>-0.02</v>
      </c>
      <c r="DR18" s="229">
        <v>-3.6999999999999998E-2</v>
      </c>
      <c r="DS18" s="231">
        <v>1300</v>
      </c>
      <c r="DT18" s="231">
        <v>1200</v>
      </c>
      <c r="DU18" s="228">
        <v>0.45</v>
      </c>
      <c r="DV18" s="228">
        <v>0.52</v>
      </c>
      <c r="DW18" s="228">
        <v>-7.0000000000000007E-2</v>
      </c>
      <c r="DX18" s="229">
        <v>-0.1346</v>
      </c>
      <c r="DY18" s="229">
        <v>4.8099999999999997E-2</v>
      </c>
      <c r="DZ18" s="230">
        <v>1932500</v>
      </c>
      <c r="EA18" s="229">
        <v>-6.1999999999999998E-3</v>
      </c>
      <c r="EB18" s="229">
        <v>4.8099999999999997E-2</v>
      </c>
      <c r="EC18" s="228">
        <v>-7.21</v>
      </c>
      <c r="ED18" s="229">
        <v>-6.0000000000000001E-3</v>
      </c>
      <c r="EE18" s="230">
        <v>1843780</v>
      </c>
      <c r="EF18" s="230">
        <v>2815353</v>
      </c>
      <c r="EG18" s="229">
        <v>-0.34510000000000002</v>
      </c>
      <c r="EH18" s="229">
        <v>0.51380000000000003</v>
      </c>
      <c r="EI18" s="231">
        <v>168822.14</v>
      </c>
      <c r="EJ18" s="231">
        <v>70279.14</v>
      </c>
      <c r="EK18" s="231">
        <v>35021.25</v>
      </c>
      <c r="EL18" s="231">
        <v>36028</v>
      </c>
      <c r="EM18" s="231">
        <v>274122.53000000003</v>
      </c>
      <c r="EN18" s="231">
        <v>310361.46999999997</v>
      </c>
      <c r="EO18" s="231">
        <v>-36238.94</v>
      </c>
      <c r="EP18" s="229">
        <v>-0.1168</v>
      </c>
      <c r="EQ18" s="231">
        <v>290009</v>
      </c>
      <c r="ER18" s="231">
        <v>137791</v>
      </c>
      <c r="ES18" s="231">
        <v>529237</v>
      </c>
      <c r="ET18" s="231">
        <v>145140505</v>
      </c>
      <c r="EU18" s="231">
        <v>957036</v>
      </c>
      <c r="EV18" s="231">
        <v>931626</v>
      </c>
      <c r="EW18" s="231">
        <v>25410</v>
      </c>
      <c r="EX18" s="229">
        <v>2.7300000000000001E-2</v>
      </c>
      <c r="EY18" s="229">
        <v>0.53500000000000003</v>
      </c>
    </row>
    <row r="19" spans="1:155" ht="17.25" thickBot="1" x14ac:dyDescent="0.3">
      <c r="A19" s="226">
        <v>46146</v>
      </c>
      <c r="B19" s="227" t="s">
        <v>172</v>
      </c>
      <c r="C19" s="227" t="s">
        <v>224</v>
      </c>
      <c r="D19" s="228">
        <v>782.7</v>
      </c>
      <c r="E19" s="228">
        <v>776.1</v>
      </c>
      <c r="F19" s="228">
        <v>6.6</v>
      </c>
      <c r="G19" s="229">
        <v>8.5000000000000006E-3</v>
      </c>
      <c r="H19" s="228">
        <v>779.4</v>
      </c>
      <c r="I19" s="228">
        <v>771.7</v>
      </c>
      <c r="J19" s="228">
        <v>7.7</v>
      </c>
      <c r="K19" s="229">
        <v>0.01</v>
      </c>
      <c r="L19" s="228">
        <v>782.7</v>
      </c>
      <c r="M19" s="228">
        <v>776.1</v>
      </c>
      <c r="N19" s="228">
        <v>6.6</v>
      </c>
      <c r="O19" s="229">
        <v>8.5000000000000006E-3</v>
      </c>
      <c r="P19" s="228">
        <v>773.6</v>
      </c>
      <c r="Q19" s="228">
        <v>768.45</v>
      </c>
      <c r="R19" s="228">
        <v>5.15</v>
      </c>
      <c r="S19" s="229">
        <v>6.7000000000000002E-3</v>
      </c>
      <c r="T19" s="228">
        <v>777.75</v>
      </c>
      <c r="U19" s="228">
        <v>772.3</v>
      </c>
      <c r="V19" s="228">
        <v>5.45</v>
      </c>
      <c r="W19" s="229">
        <v>7.1000000000000004E-3</v>
      </c>
      <c r="X19" s="228">
        <v>3.3</v>
      </c>
      <c r="Y19" s="228">
        <v>4.4000000000000004</v>
      </c>
      <c r="Z19" s="228">
        <v>-1.1000000000000001</v>
      </c>
      <c r="AA19" s="229">
        <v>4.1999999999999997E-3</v>
      </c>
      <c r="AB19" s="228">
        <v>3.3</v>
      </c>
      <c r="AC19" s="228">
        <v>4.4000000000000004</v>
      </c>
      <c r="AD19" s="228">
        <v>-1.1000000000000001</v>
      </c>
      <c r="AE19" s="229">
        <v>4.1999999999999997E-3</v>
      </c>
      <c r="AF19" s="228">
        <v>-5.8</v>
      </c>
      <c r="AG19" s="228">
        <v>-3.25</v>
      </c>
      <c r="AH19" s="228">
        <v>-2.5499999999999998</v>
      </c>
      <c r="AI19" s="229">
        <v>-7.4000000000000003E-3</v>
      </c>
      <c r="AJ19" s="228">
        <v>-1.65</v>
      </c>
      <c r="AK19" s="228">
        <v>0.6</v>
      </c>
      <c r="AL19" s="228">
        <v>-2.25</v>
      </c>
      <c r="AM19" s="229">
        <v>-2.0999999999999999E-3</v>
      </c>
      <c r="AN19" s="228">
        <v>783.81</v>
      </c>
      <c r="AO19" s="228">
        <v>775.92</v>
      </c>
      <c r="AP19" s="228">
        <v>0</v>
      </c>
      <c r="AQ19" s="230">
        <v>36379</v>
      </c>
      <c r="AR19" s="230">
        <v>43757</v>
      </c>
      <c r="AS19" s="230">
        <v>-7378</v>
      </c>
      <c r="AT19" s="229">
        <v>-0.1686</v>
      </c>
      <c r="AU19" s="230">
        <v>30145</v>
      </c>
      <c r="AV19" s="230">
        <v>37809</v>
      </c>
      <c r="AW19" s="230">
        <v>-7664</v>
      </c>
      <c r="AX19" s="229">
        <v>-0.20269999999999999</v>
      </c>
      <c r="AY19" s="230">
        <v>5769</v>
      </c>
      <c r="AZ19" s="230">
        <v>5164</v>
      </c>
      <c r="BA19" s="228">
        <v>605</v>
      </c>
      <c r="BB19" s="229">
        <v>0.1172</v>
      </c>
      <c r="BC19" s="228">
        <v>465</v>
      </c>
      <c r="BD19" s="228">
        <v>784</v>
      </c>
      <c r="BE19" s="228">
        <v>-319</v>
      </c>
      <c r="BF19" s="229">
        <v>-0.40689999999999998</v>
      </c>
      <c r="BG19" s="230">
        <v>108226</v>
      </c>
      <c r="BH19" s="230">
        <v>135816</v>
      </c>
      <c r="BI19" s="230">
        <v>-27590</v>
      </c>
      <c r="BJ19" s="229">
        <v>-0.2031</v>
      </c>
      <c r="BK19" s="230">
        <v>63766</v>
      </c>
      <c r="BL19" s="230">
        <v>67458</v>
      </c>
      <c r="BM19" s="230">
        <v>-3692</v>
      </c>
      <c r="BN19" s="229">
        <v>-5.4699999999999999E-2</v>
      </c>
      <c r="BO19" s="230">
        <v>208371</v>
      </c>
      <c r="BP19" s="230">
        <v>247031</v>
      </c>
      <c r="BQ19" s="230">
        <v>-38660</v>
      </c>
      <c r="BR19" s="229">
        <v>-0.1565</v>
      </c>
      <c r="BS19" s="230">
        <v>29726783</v>
      </c>
      <c r="BT19" s="230">
        <v>51835071</v>
      </c>
      <c r="BU19" s="230">
        <v>-22108288</v>
      </c>
      <c r="BV19" s="229">
        <v>-0.42649999999999999</v>
      </c>
      <c r="BW19" s="230">
        <v>337910550</v>
      </c>
      <c r="BX19" s="230">
        <v>336098150</v>
      </c>
      <c r="BY19" s="230">
        <v>1812400</v>
      </c>
      <c r="BZ19" s="229">
        <v>5.4000000000000003E-3</v>
      </c>
      <c r="CA19" s="230">
        <v>257071100</v>
      </c>
      <c r="CB19" s="230">
        <v>257472600</v>
      </c>
      <c r="CC19" s="230">
        <v>-401500</v>
      </c>
      <c r="CD19" s="229">
        <v>-1.6000000000000001E-3</v>
      </c>
      <c r="CE19" s="230">
        <v>80032150</v>
      </c>
      <c r="CF19" s="230">
        <v>77937200</v>
      </c>
      <c r="CG19" s="230">
        <v>2094950</v>
      </c>
      <c r="CH19" s="229">
        <v>2.69E-2</v>
      </c>
      <c r="CI19" s="230">
        <v>807300</v>
      </c>
      <c r="CJ19" s="230">
        <v>688350</v>
      </c>
      <c r="CK19" s="230">
        <v>118950</v>
      </c>
      <c r="CL19" s="229">
        <v>0.17280000000000001</v>
      </c>
      <c r="CM19" s="230">
        <v>66805150</v>
      </c>
      <c r="CN19" s="230">
        <v>61985900</v>
      </c>
      <c r="CO19" s="230">
        <v>4819250</v>
      </c>
      <c r="CP19" s="229">
        <v>7.7700000000000005E-2</v>
      </c>
      <c r="CQ19" s="230">
        <v>36439800</v>
      </c>
      <c r="CR19" s="230">
        <v>34261300</v>
      </c>
      <c r="CS19" s="230">
        <v>2178500</v>
      </c>
      <c r="CT19" s="229">
        <v>6.3600000000000004E-2</v>
      </c>
      <c r="CU19" s="230">
        <v>441155500</v>
      </c>
      <c r="CV19" s="230">
        <v>432345350</v>
      </c>
      <c r="CW19" s="230">
        <v>8810150</v>
      </c>
      <c r="CX19" s="229">
        <v>2.0400000000000001E-2</v>
      </c>
      <c r="CY19" s="228">
        <v>26.02</v>
      </c>
      <c r="CZ19" s="228">
        <v>26.49</v>
      </c>
      <c r="DA19" s="228">
        <v>-0.47</v>
      </c>
      <c r="DB19" s="228">
        <v>-0.47</v>
      </c>
      <c r="DC19" s="228">
        <v>25.21</v>
      </c>
      <c r="DD19" s="228">
        <v>25.24</v>
      </c>
      <c r="DE19" s="228">
        <v>0.81</v>
      </c>
      <c r="DF19" s="228">
        <v>-0.03</v>
      </c>
      <c r="DG19" s="228">
        <v>25.72</v>
      </c>
      <c r="DH19" s="228">
        <v>26.51</v>
      </c>
      <c r="DI19" s="228">
        <v>-0.79</v>
      </c>
      <c r="DJ19" s="228">
        <v>-0.79</v>
      </c>
      <c r="DK19" s="228">
        <v>26.53</v>
      </c>
      <c r="DL19" s="228">
        <v>26.46</v>
      </c>
      <c r="DM19" s="228">
        <v>7.0000000000000007E-2</v>
      </c>
      <c r="DN19" s="228">
        <v>7.0000000000000007E-2</v>
      </c>
      <c r="DO19" s="228">
        <v>0.55000000000000004</v>
      </c>
      <c r="DP19" s="228">
        <v>0.55000000000000004</v>
      </c>
      <c r="DQ19" s="228">
        <v>0</v>
      </c>
      <c r="DR19" s="229">
        <v>0</v>
      </c>
      <c r="DS19" s="228">
        <v>800</v>
      </c>
      <c r="DT19" s="228">
        <v>800</v>
      </c>
      <c r="DU19" s="228">
        <v>0.59</v>
      </c>
      <c r="DV19" s="228">
        <v>0.5</v>
      </c>
      <c r="DW19" s="228">
        <v>0.09</v>
      </c>
      <c r="DX19" s="229">
        <v>0.18</v>
      </c>
      <c r="DY19" s="229">
        <v>0.2392</v>
      </c>
      <c r="DZ19" s="230">
        <v>78625550</v>
      </c>
      <c r="EA19" s="229">
        <v>-1.1599999999999999E-2</v>
      </c>
      <c r="EB19" s="229">
        <v>0.2392</v>
      </c>
      <c r="EC19" s="228">
        <v>-7.89</v>
      </c>
      <c r="ED19" s="229">
        <v>-1.01E-2</v>
      </c>
      <c r="EE19" s="230">
        <v>17419547</v>
      </c>
      <c r="EF19" s="230">
        <v>24131748</v>
      </c>
      <c r="EG19" s="229">
        <v>-0.27810000000000001</v>
      </c>
      <c r="EH19" s="229">
        <v>0.58599999999999997</v>
      </c>
      <c r="EI19" s="231">
        <v>490223.35</v>
      </c>
      <c r="EJ19" s="231">
        <v>270204.84000000003</v>
      </c>
      <c r="EK19" s="231">
        <v>156930.09</v>
      </c>
      <c r="EL19" s="231">
        <v>128600</v>
      </c>
      <c r="EM19" s="231">
        <v>917358.28</v>
      </c>
      <c r="EN19" s="231">
        <v>1084949.18</v>
      </c>
      <c r="EO19" s="231">
        <v>-167590.9</v>
      </c>
      <c r="EP19" s="229">
        <v>-0.1545</v>
      </c>
      <c r="EQ19" s="231">
        <v>553081</v>
      </c>
      <c r="ER19" s="231">
        <v>282990</v>
      </c>
      <c r="ES19" s="231">
        <v>2637503</v>
      </c>
      <c r="ET19" s="231">
        <v>1496665645</v>
      </c>
      <c r="EU19" s="231">
        <v>3473574</v>
      </c>
      <c r="EV19" s="231">
        <v>3382666</v>
      </c>
      <c r="EW19" s="231">
        <v>90908</v>
      </c>
      <c r="EX19" s="229">
        <v>2.69E-2</v>
      </c>
      <c r="EY19" s="229">
        <v>0.29480000000000001</v>
      </c>
    </row>
    <row r="20" spans="1:155" ht="17.25" thickBot="1" x14ac:dyDescent="0.3">
      <c r="A20" s="226">
        <v>46146</v>
      </c>
      <c r="B20" s="227" t="s">
        <v>175</v>
      </c>
      <c r="C20" s="227" t="s">
        <v>225</v>
      </c>
      <c r="D20" s="228">
        <v>591.75</v>
      </c>
      <c r="E20" s="228">
        <v>590</v>
      </c>
      <c r="F20" s="228">
        <v>1.75</v>
      </c>
      <c r="G20" s="229">
        <v>3.0000000000000001E-3</v>
      </c>
      <c r="H20" s="228">
        <v>588.35</v>
      </c>
      <c r="I20" s="228">
        <v>586.9</v>
      </c>
      <c r="J20" s="228">
        <v>1.45</v>
      </c>
      <c r="K20" s="229">
        <v>2.5000000000000001E-3</v>
      </c>
      <c r="L20" s="228">
        <v>591.75</v>
      </c>
      <c r="M20" s="228">
        <v>590</v>
      </c>
      <c r="N20" s="228">
        <v>1.75</v>
      </c>
      <c r="O20" s="229">
        <v>3.0000000000000001E-3</v>
      </c>
      <c r="P20" s="228">
        <v>593.45000000000005</v>
      </c>
      <c r="Q20" s="228">
        <v>590.85</v>
      </c>
      <c r="R20" s="228">
        <v>2.6</v>
      </c>
      <c r="S20" s="229">
        <v>4.4000000000000003E-3</v>
      </c>
      <c r="T20" s="228">
        <v>597.70000000000005</v>
      </c>
      <c r="U20" s="228">
        <v>594.04999999999995</v>
      </c>
      <c r="V20" s="228">
        <v>3.65</v>
      </c>
      <c r="W20" s="229">
        <v>6.1000000000000004E-3</v>
      </c>
      <c r="X20" s="228">
        <v>3.4</v>
      </c>
      <c r="Y20" s="228">
        <v>3.1</v>
      </c>
      <c r="Z20" s="228">
        <v>0.3</v>
      </c>
      <c r="AA20" s="229">
        <v>5.7999999999999996E-3</v>
      </c>
      <c r="AB20" s="228">
        <v>3.4</v>
      </c>
      <c r="AC20" s="228">
        <v>3.1</v>
      </c>
      <c r="AD20" s="228">
        <v>0.3</v>
      </c>
      <c r="AE20" s="229">
        <v>5.7999999999999996E-3</v>
      </c>
      <c r="AF20" s="228">
        <v>5.0999999999999996</v>
      </c>
      <c r="AG20" s="228">
        <v>3.95</v>
      </c>
      <c r="AH20" s="228">
        <v>1.1499999999999999</v>
      </c>
      <c r="AI20" s="229">
        <v>8.6999999999999994E-3</v>
      </c>
      <c r="AJ20" s="228">
        <v>9.35</v>
      </c>
      <c r="AK20" s="228">
        <v>7.15</v>
      </c>
      <c r="AL20" s="228">
        <v>2.2000000000000002</v>
      </c>
      <c r="AM20" s="229">
        <v>1.5900000000000001E-2</v>
      </c>
      <c r="AN20" s="228">
        <v>592.67999999999995</v>
      </c>
      <c r="AO20" s="228">
        <v>593.51</v>
      </c>
      <c r="AP20" s="228">
        <v>0</v>
      </c>
      <c r="AQ20" s="230">
        <v>2440</v>
      </c>
      <c r="AR20" s="230">
        <v>4017</v>
      </c>
      <c r="AS20" s="230">
        <v>-1577</v>
      </c>
      <c r="AT20" s="229">
        <v>-0.3926</v>
      </c>
      <c r="AU20" s="230">
        <v>2059</v>
      </c>
      <c r="AV20" s="230">
        <v>3644</v>
      </c>
      <c r="AW20" s="230">
        <v>-1585</v>
      </c>
      <c r="AX20" s="229">
        <v>-0.435</v>
      </c>
      <c r="AY20" s="228">
        <v>355</v>
      </c>
      <c r="AZ20" s="228">
        <v>331</v>
      </c>
      <c r="BA20" s="228">
        <v>24</v>
      </c>
      <c r="BB20" s="229">
        <v>7.2499999999999995E-2</v>
      </c>
      <c r="BC20" s="228">
        <v>26</v>
      </c>
      <c r="BD20" s="228">
        <v>42</v>
      </c>
      <c r="BE20" s="228">
        <v>-16</v>
      </c>
      <c r="BF20" s="229">
        <v>-0.38100000000000001</v>
      </c>
      <c r="BG20" s="230">
        <v>7156</v>
      </c>
      <c r="BH20" s="230">
        <v>11692</v>
      </c>
      <c r="BI20" s="230">
        <v>-4536</v>
      </c>
      <c r="BJ20" s="229">
        <v>-0.38800000000000001</v>
      </c>
      <c r="BK20" s="230">
        <v>3743</v>
      </c>
      <c r="BL20" s="230">
        <v>6268</v>
      </c>
      <c r="BM20" s="230">
        <v>-2525</v>
      </c>
      <c r="BN20" s="229">
        <v>-0.40279999999999999</v>
      </c>
      <c r="BO20" s="230">
        <v>13339</v>
      </c>
      <c r="BP20" s="230">
        <v>21977</v>
      </c>
      <c r="BQ20" s="230">
        <v>-8638</v>
      </c>
      <c r="BR20" s="229">
        <v>-0.39300000000000002</v>
      </c>
      <c r="BS20" s="230">
        <v>2695028</v>
      </c>
      <c r="BT20" s="230">
        <v>6378607</v>
      </c>
      <c r="BU20" s="230">
        <v>-3683579</v>
      </c>
      <c r="BV20" s="229">
        <v>-0.57750000000000001</v>
      </c>
      <c r="BW20" s="230">
        <v>44347600</v>
      </c>
      <c r="BX20" s="230">
        <v>43562200</v>
      </c>
      <c r="BY20" s="230">
        <v>785400</v>
      </c>
      <c r="BZ20" s="229">
        <v>1.7999999999999999E-2</v>
      </c>
      <c r="CA20" s="230">
        <v>40036700</v>
      </c>
      <c r="CB20" s="230">
        <v>39471300</v>
      </c>
      <c r="CC20" s="230">
        <v>565400</v>
      </c>
      <c r="CD20" s="229">
        <v>1.43E-2</v>
      </c>
      <c r="CE20" s="230">
        <v>4257000</v>
      </c>
      <c r="CF20" s="230">
        <v>4052400</v>
      </c>
      <c r="CG20" s="230">
        <v>204600</v>
      </c>
      <c r="CH20" s="229">
        <v>5.0500000000000003E-2</v>
      </c>
      <c r="CI20" s="230">
        <v>53900</v>
      </c>
      <c r="CJ20" s="230">
        <v>38500</v>
      </c>
      <c r="CK20" s="230">
        <v>15400</v>
      </c>
      <c r="CL20" s="229">
        <v>0.4</v>
      </c>
      <c r="CM20" s="230">
        <v>13722500</v>
      </c>
      <c r="CN20" s="230">
        <v>12441000</v>
      </c>
      <c r="CO20" s="230">
        <v>1281500</v>
      </c>
      <c r="CP20" s="229">
        <v>0.10299999999999999</v>
      </c>
      <c r="CQ20" s="230">
        <v>8415000</v>
      </c>
      <c r="CR20" s="230">
        <v>7784700</v>
      </c>
      <c r="CS20" s="230">
        <v>630300</v>
      </c>
      <c r="CT20" s="229">
        <v>8.1000000000000003E-2</v>
      </c>
      <c r="CU20" s="230">
        <v>66485100</v>
      </c>
      <c r="CV20" s="230">
        <v>63787900</v>
      </c>
      <c r="CW20" s="230">
        <v>2697200</v>
      </c>
      <c r="CX20" s="229">
        <v>4.2299999999999997E-2</v>
      </c>
      <c r="CY20" s="228">
        <v>27.55</v>
      </c>
      <c r="CZ20" s="228">
        <v>27.33</v>
      </c>
      <c r="DA20" s="228">
        <v>0.22</v>
      </c>
      <c r="DB20" s="228">
        <v>0.22</v>
      </c>
      <c r="DC20" s="228">
        <v>27.56</v>
      </c>
      <c r="DD20" s="228">
        <v>27.63</v>
      </c>
      <c r="DE20" s="228">
        <v>-0.01</v>
      </c>
      <c r="DF20" s="228">
        <v>-7.0000000000000007E-2</v>
      </c>
      <c r="DG20" s="228">
        <v>27</v>
      </c>
      <c r="DH20" s="228">
        <v>26.6</v>
      </c>
      <c r="DI20" s="228">
        <v>0.4</v>
      </c>
      <c r="DJ20" s="228">
        <v>0.4</v>
      </c>
      <c r="DK20" s="228">
        <v>28.59</v>
      </c>
      <c r="DL20" s="228">
        <v>28.68</v>
      </c>
      <c r="DM20" s="228">
        <v>-0.09</v>
      </c>
      <c r="DN20" s="228">
        <v>-0.09</v>
      </c>
      <c r="DO20" s="228">
        <v>0.61</v>
      </c>
      <c r="DP20" s="228">
        <v>0.63</v>
      </c>
      <c r="DQ20" s="228">
        <v>-0.02</v>
      </c>
      <c r="DR20" s="229">
        <v>-3.1699999999999999E-2</v>
      </c>
      <c r="DS20" s="228">
        <v>600</v>
      </c>
      <c r="DT20" s="228">
        <v>560</v>
      </c>
      <c r="DU20" s="228">
        <v>0.52</v>
      </c>
      <c r="DV20" s="228">
        <v>0.54</v>
      </c>
      <c r="DW20" s="228">
        <v>-0.02</v>
      </c>
      <c r="DX20" s="229">
        <v>-3.6999999999999998E-2</v>
      </c>
      <c r="DY20" s="229">
        <v>9.7199999999999995E-2</v>
      </c>
      <c r="DZ20" s="230">
        <v>4090900</v>
      </c>
      <c r="EA20" s="229">
        <v>2.8999999999999998E-3</v>
      </c>
      <c r="EB20" s="229">
        <v>9.7199999999999995E-2</v>
      </c>
      <c r="EC20" s="228">
        <v>0.83</v>
      </c>
      <c r="ED20" s="229">
        <v>1.4E-3</v>
      </c>
      <c r="EE20" s="230">
        <v>1502853</v>
      </c>
      <c r="EF20" s="230">
        <v>4234431</v>
      </c>
      <c r="EG20" s="229">
        <v>-0.64510000000000001</v>
      </c>
      <c r="EH20" s="229">
        <v>0.55759999999999998</v>
      </c>
      <c r="EI20" s="231">
        <v>49372.55</v>
      </c>
      <c r="EJ20" s="231">
        <v>23722.32</v>
      </c>
      <c r="EK20" s="231">
        <v>15912.24</v>
      </c>
      <c r="EL20" s="231">
        <v>10467</v>
      </c>
      <c r="EM20" s="231">
        <v>89007.11</v>
      </c>
      <c r="EN20" s="231">
        <v>145818.44</v>
      </c>
      <c r="EO20" s="231">
        <v>-56811.33</v>
      </c>
      <c r="EP20" s="229">
        <v>-0.3896</v>
      </c>
      <c r="EQ20" s="231">
        <v>86466</v>
      </c>
      <c r="ER20" s="231">
        <v>48085</v>
      </c>
      <c r="ES20" s="231">
        <v>262502</v>
      </c>
      <c r="ET20" s="231">
        <v>156090005</v>
      </c>
      <c r="EU20" s="231">
        <v>397054</v>
      </c>
      <c r="EV20" s="231">
        <v>379984</v>
      </c>
      <c r="EW20" s="231">
        <v>17070</v>
      </c>
      <c r="EX20" s="229">
        <v>4.4900000000000002E-2</v>
      </c>
      <c r="EY20" s="229">
        <v>0.4259</v>
      </c>
    </row>
    <row r="21" spans="1:155" ht="17.25" thickBot="1" x14ac:dyDescent="0.3">
      <c r="A21" s="226">
        <v>46146</v>
      </c>
      <c r="B21" s="227" t="s">
        <v>227</v>
      </c>
      <c r="C21" s="227" t="s">
        <v>228</v>
      </c>
      <c r="D21" s="231">
        <v>1048.5</v>
      </c>
      <c r="E21" s="231">
        <v>1042.3</v>
      </c>
      <c r="F21" s="228">
        <v>6.2</v>
      </c>
      <c r="G21" s="229">
        <v>5.8999999999999999E-3</v>
      </c>
      <c r="H21" s="231">
        <v>1042.7</v>
      </c>
      <c r="I21" s="231">
        <v>1038</v>
      </c>
      <c r="J21" s="228">
        <v>4.7</v>
      </c>
      <c r="K21" s="229">
        <v>4.4999999999999997E-3</v>
      </c>
      <c r="L21" s="231">
        <v>1048.5</v>
      </c>
      <c r="M21" s="231">
        <v>1042.3</v>
      </c>
      <c r="N21" s="228">
        <v>6.2</v>
      </c>
      <c r="O21" s="229">
        <v>5.8999999999999999E-3</v>
      </c>
      <c r="P21" s="231">
        <v>1055</v>
      </c>
      <c r="Q21" s="231">
        <v>1047.9000000000001</v>
      </c>
      <c r="R21" s="228">
        <v>7.1</v>
      </c>
      <c r="S21" s="229">
        <v>6.7999999999999996E-3</v>
      </c>
      <c r="T21" s="231">
        <v>1059.0999999999999</v>
      </c>
      <c r="U21" s="231">
        <v>1055.0999999999999</v>
      </c>
      <c r="V21" s="228">
        <v>4</v>
      </c>
      <c r="W21" s="229">
        <v>3.8E-3</v>
      </c>
      <c r="X21" s="228">
        <v>5.8</v>
      </c>
      <c r="Y21" s="228">
        <v>4.3</v>
      </c>
      <c r="Z21" s="228">
        <v>1.5</v>
      </c>
      <c r="AA21" s="229">
        <v>5.5999999999999999E-3</v>
      </c>
      <c r="AB21" s="228">
        <v>5.8</v>
      </c>
      <c r="AC21" s="228">
        <v>4.3</v>
      </c>
      <c r="AD21" s="228">
        <v>1.5</v>
      </c>
      <c r="AE21" s="229">
        <v>5.5999999999999999E-3</v>
      </c>
      <c r="AF21" s="228">
        <v>12.3</v>
      </c>
      <c r="AG21" s="228">
        <v>9.9</v>
      </c>
      <c r="AH21" s="228">
        <v>2.4</v>
      </c>
      <c r="AI21" s="229">
        <v>1.18E-2</v>
      </c>
      <c r="AJ21" s="228">
        <v>16.399999999999999</v>
      </c>
      <c r="AK21" s="228">
        <v>17.100000000000001</v>
      </c>
      <c r="AL21" s="228">
        <v>-0.7</v>
      </c>
      <c r="AM21" s="229">
        <v>1.5699999999999999E-2</v>
      </c>
      <c r="AN21" s="231">
        <v>1047.82</v>
      </c>
      <c r="AO21" s="231">
        <v>1055.48</v>
      </c>
      <c r="AP21" s="228">
        <v>0</v>
      </c>
      <c r="AQ21" s="230">
        <v>5584</v>
      </c>
      <c r="AR21" s="230">
        <v>9813</v>
      </c>
      <c r="AS21" s="230">
        <v>-4229</v>
      </c>
      <c r="AT21" s="229">
        <v>-0.43099999999999999</v>
      </c>
      <c r="AU21" s="230">
        <v>5021</v>
      </c>
      <c r="AV21" s="230">
        <v>9383</v>
      </c>
      <c r="AW21" s="230">
        <v>-4362</v>
      </c>
      <c r="AX21" s="229">
        <v>-0.46489999999999998</v>
      </c>
      <c r="AY21" s="228">
        <v>555</v>
      </c>
      <c r="AZ21" s="228">
        <v>371</v>
      </c>
      <c r="BA21" s="228">
        <v>184</v>
      </c>
      <c r="BB21" s="229">
        <v>0.496</v>
      </c>
      <c r="BC21" s="228">
        <v>8</v>
      </c>
      <c r="BD21" s="228">
        <v>59</v>
      </c>
      <c r="BE21" s="228">
        <v>-51</v>
      </c>
      <c r="BF21" s="229">
        <v>-0.86439999999999995</v>
      </c>
      <c r="BG21" s="230">
        <v>13271</v>
      </c>
      <c r="BH21" s="230">
        <v>13548</v>
      </c>
      <c r="BI21" s="228">
        <v>-277</v>
      </c>
      <c r="BJ21" s="229">
        <v>-2.0400000000000001E-2</v>
      </c>
      <c r="BK21" s="230">
        <v>7959</v>
      </c>
      <c r="BL21" s="230">
        <v>11530</v>
      </c>
      <c r="BM21" s="230">
        <v>-3571</v>
      </c>
      <c r="BN21" s="229">
        <v>-0.30969999999999998</v>
      </c>
      <c r="BO21" s="230">
        <v>26814</v>
      </c>
      <c r="BP21" s="230">
        <v>34891</v>
      </c>
      <c r="BQ21" s="230">
        <v>-8077</v>
      </c>
      <c r="BR21" s="229">
        <v>-0.23150000000000001</v>
      </c>
      <c r="BS21" s="230">
        <v>3432608</v>
      </c>
      <c r="BT21" s="230">
        <v>4507546</v>
      </c>
      <c r="BU21" s="230">
        <v>-1074938</v>
      </c>
      <c r="BV21" s="229">
        <v>-0.23849999999999999</v>
      </c>
      <c r="BW21" s="230">
        <v>34076000</v>
      </c>
      <c r="BX21" s="230">
        <v>33938800</v>
      </c>
      <c r="BY21" s="230">
        <v>137200</v>
      </c>
      <c r="BZ21" s="229">
        <v>4.0000000000000001E-3</v>
      </c>
      <c r="CA21" s="230">
        <v>30849000</v>
      </c>
      <c r="CB21" s="230">
        <v>30951900</v>
      </c>
      <c r="CC21" s="230">
        <v>-102900</v>
      </c>
      <c r="CD21" s="229">
        <v>-3.3E-3</v>
      </c>
      <c r="CE21" s="230">
        <v>3192700</v>
      </c>
      <c r="CF21" s="230">
        <v>2957500</v>
      </c>
      <c r="CG21" s="230">
        <v>235200</v>
      </c>
      <c r="CH21" s="229">
        <v>7.9500000000000001E-2</v>
      </c>
      <c r="CI21" s="230">
        <v>34300</v>
      </c>
      <c r="CJ21" s="230">
        <v>29400</v>
      </c>
      <c r="CK21" s="230">
        <v>4900</v>
      </c>
      <c r="CL21" s="229">
        <v>0.16669999999999999</v>
      </c>
      <c r="CM21" s="230">
        <v>6256600</v>
      </c>
      <c r="CN21" s="230">
        <v>5434100</v>
      </c>
      <c r="CO21" s="230">
        <v>822500</v>
      </c>
      <c r="CP21" s="229">
        <v>0.15140000000000001</v>
      </c>
      <c r="CQ21" s="230">
        <v>4745300</v>
      </c>
      <c r="CR21" s="230">
        <v>4108300</v>
      </c>
      <c r="CS21" s="230">
        <v>637000</v>
      </c>
      <c r="CT21" s="229">
        <v>0.15509999999999999</v>
      </c>
      <c r="CU21" s="230">
        <v>45077900</v>
      </c>
      <c r="CV21" s="230">
        <v>43481200</v>
      </c>
      <c r="CW21" s="230">
        <v>1596700</v>
      </c>
      <c r="CX21" s="229">
        <v>3.6700000000000003E-2</v>
      </c>
      <c r="CY21" s="228">
        <v>34.78</v>
      </c>
      <c r="CZ21" s="228">
        <v>33.86</v>
      </c>
      <c r="DA21" s="228">
        <v>0.92</v>
      </c>
      <c r="DB21" s="228">
        <v>0.92</v>
      </c>
      <c r="DC21" s="228">
        <v>36.19</v>
      </c>
      <c r="DD21" s="228">
        <v>36.28</v>
      </c>
      <c r="DE21" s="228">
        <v>-1.41</v>
      </c>
      <c r="DF21" s="228">
        <v>-0.09</v>
      </c>
      <c r="DG21" s="228">
        <v>34.49</v>
      </c>
      <c r="DH21" s="228">
        <v>34.04</v>
      </c>
      <c r="DI21" s="228">
        <v>0.45</v>
      </c>
      <c r="DJ21" s="228">
        <v>0.45</v>
      </c>
      <c r="DK21" s="228">
        <v>35.26</v>
      </c>
      <c r="DL21" s="228">
        <v>33.64</v>
      </c>
      <c r="DM21" s="228">
        <v>1.62</v>
      </c>
      <c r="DN21" s="228">
        <v>1.62</v>
      </c>
      <c r="DO21" s="228">
        <v>0.76</v>
      </c>
      <c r="DP21" s="228">
        <v>0.76</v>
      </c>
      <c r="DQ21" s="228">
        <v>0</v>
      </c>
      <c r="DR21" s="229">
        <v>0</v>
      </c>
      <c r="DS21" s="231">
        <v>1070</v>
      </c>
      <c r="DT21" s="231">
        <v>1000</v>
      </c>
      <c r="DU21" s="228">
        <v>0.6</v>
      </c>
      <c r="DV21" s="228">
        <v>0.85</v>
      </c>
      <c r="DW21" s="228">
        <v>-0.25</v>
      </c>
      <c r="DX21" s="229">
        <v>-0.29409999999999997</v>
      </c>
      <c r="DY21" s="229">
        <v>9.4700000000000006E-2</v>
      </c>
      <c r="DZ21" s="230">
        <v>2986900</v>
      </c>
      <c r="EA21" s="229">
        <v>6.1999999999999998E-3</v>
      </c>
      <c r="EB21" s="229">
        <v>9.4700000000000006E-2</v>
      </c>
      <c r="EC21" s="228">
        <v>7.66</v>
      </c>
      <c r="ED21" s="229">
        <v>7.3000000000000001E-3</v>
      </c>
      <c r="EE21" s="230">
        <v>2033479</v>
      </c>
      <c r="EF21" s="230">
        <v>2539368</v>
      </c>
      <c r="EG21" s="229">
        <v>-0.19919999999999999</v>
      </c>
      <c r="EH21" s="229">
        <v>0.59240000000000004</v>
      </c>
      <c r="EI21" s="231">
        <v>103003.34</v>
      </c>
      <c r="EJ21" s="231">
        <v>58324.47</v>
      </c>
      <c r="EK21" s="231">
        <v>40987.379999999997</v>
      </c>
      <c r="EL21" s="231">
        <v>16539</v>
      </c>
      <c r="EM21" s="231">
        <v>202315.19</v>
      </c>
      <c r="EN21" s="231">
        <v>262679.64</v>
      </c>
      <c r="EO21" s="231">
        <v>-60364.45</v>
      </c>
      <c r="EP21" s="229">
        <v>-0.2298</v>
      </c>
      <c r="EQ21" s="231">
        <v>67840</v>
      </c>
      <c r="ER21" s="231">
        <v>47566</v>
      </c>
      <c r="ES21" s="231">
        <v>357498</v>
      </c>
      <c r="ET21" s="231">
        <v>218611634</v>
      </c>
      <c r="EU21" s="231">
        <v>472904</v>
      </c>
      <c r="EV21" s="231">
        <v>453676</v>
      </c>
      <c r="EW21" s="231">
        <v>19228</v>
      </c>
      <c r="EX21" s="229">
        <v>4.24E-2</v>
      </c>
      <c r="EY21" s="229">
        <v>0.20619999999999999</v>
      </c>
    </row>
    <row r="22" spans="1:155" ht="17.25" thickBot="1" x14ac:dyDescent="0.3">
      <c r="A22" s="226">
        <v>46146</v>
      </c>
      <c r="B22" s="227" t="s">
        <v>168</v>
      </c>
      <c r="C22" s="227" t="s">
        <v>230</v>
      </c>
      <c r="D22" s="231">
        <v>2320.1999999999998</v>
      </c>
      <c r="E22" s="231">
        <v>2259.6999999999998</v>
      </c>
      <c r="F22" s="228">
        <v>60.5</v>
      </c>
      <c r="G22" s="229">
        <v>2.6800000000000001E-2</v>
      </c>
      <c r="H22" s="231">
        <v>2309.3000000000002</v>
      </c>
      <c r="I22" s="231">
        <v>2250.9</v>
      </c>
      <c r="J22" s="228">
        <v>58.4</v>
      </c>
      <c r="K22" s="229">
        <v>2.5899999999999999E-2</v>
      </c>
      <c r="L22" s="231">
        <v>2320.1999999999998</v>
      </c>
      <c r="M22" s="231">
        <v>2259.6999999999998</v>
      </c>
      <c r="N22" s="228">
        <v>60.5</v>
      </c>
      <c r="O22" s="229">
        <v>2.6800000000000001E-2</v>
      </c>
      <c r="P22" s="231">
        <v>2310.5</v>
      </c>
      <c r="Q22" s="231">
        <v>2248.1</v>
      </c>
      <c r="R22" s="228">
        <v>62.4</v>
      </c>
      <c r="S22" s="229">
        <v>2.7799999999999998E-2</v>
      </c>
      <c r="T22" s="231">
        <v>2323.3000000000002</v>
      </c>
      <c r="U22" s="231">
        <v>2262.5</v>
      </c>
      <c r="V22" s="228">
        <v>60.8</v>
      </c>
      <c r="W22" s="229">
        <v>2.69E-2</v>
      </c>
      <c r="X22" s="228">
        <v>10.9</v>
      </c>
      <c r="Y22" s="228">
        <v>8.8000000000000007</v>
      </c>
      <c r="Z22" s="228">
        <v>2.1</v>
      </c>
      <c r="AA22" s="229">
        <v>4.7000000000000002E-3</v>
      </c>
      <c r="AB22" s="228">
        <v>10.9</v>
      </c>
      <c r="AC22" s="228">
        <v>8.8000000000000007</v>
      </c>
      <c r="AD22" s="228">
        <v>2.1</v>
      </c>
      <c r="AE22" s="229">
        <v>4.7000000000000002E-3</v>
      </c>
      <c r="AF22" s="228">
        <v>1.2</v>
      </c>
      <c r="AG22" s="228">
        <v>-2.8</v>
      </c>
      <c r="AH22" s="228">
        <v>4</v>
      </c>
      <c r="AI22" s="229">
        <v>5.0000000000000001E-4</v>
      </c>
      <c r="AJ22" s="228">
        <v>14</v>
      </c>
      <c r="AK22" s="228">
        <v>11.6</v>
      </c>
      <c r="AL22" s="228">
        <v>2.4</v>
      </c>
      <c r="AM22" s="229">
        <v>6.1000000000000004E-3</v>
      </c>
      <c r="AN22" s="231">
        <v>2340.15</v>
      </c>
      <c r="AO22" s="231">
        <v>2331.87</v>
      </c>
      <c r="AP22" s="228">
        <v>0</v>
      </c>
      <c r="AQ22" s="230">
        <v>14916</v>
      </c>
      <c r="AR22" s="230">
        <v>34045</v>
      </c>
      <c r="AS22" s="230">
        <v>-19129</v>
      </c>
      <c r="AT22" s="229">
        <v>-0.56189999999999996</v>
      </c>
      <c r="AU22" s="230">
        <v>13930</v>
      </c>
      <c r="AV22" s="230">
        <v>32308</v>
      </c>
      <c r="AW22" s="230">
        <v>-18378</v>
      </c>
      <c r="AX22" s="229">
        <v>-0.56879999999999997</v>
      </c>
      <c r="AY22" s="228">
        <v>898</v>
      </c>
      <c r="AZ22" s="230">
        <v>1593</v>
      </c>
      <c r="BA22" s="228">
        <v>-695</v>
      </c>
      <c r="BB22" s="229">
        <v>-0.43630000000000002</v>
      </c>
      <c r="BC22" s="228">
        <v>88</v>
      </c>
      <c r="BD22" s="228">
        <v>144</v>
      </c>
      <c r="BE22" s="228">
        <v>-56</v>
      </c>
      <c r="BF22" s="229">
        <v>-0.38890000000000002</v>
      </c>
      <c r="BG22" s="230">
        <v>101445</v>
      </c>
      <c r="BH22" s="230">
        <v>147108</v>
      </c>
      <c r="BI22" s="230">
        <v>-45663</v>
      </c>
      <c r="BJ22" s="229">
        <v>-0.31040000000000001</v>
      </c>
      <c r="BK22" s="230">
        <v>47876</v>
      </c>
      <c r="BL22" s="230">
        <v>74237</v>
      </c>
      <c r="BM22" s="230">
        <v>-26361</v>
      </c>
      <c r="BN22" s="229">
        <v>-0.35510000000000003</v>
      </c>
      <c r="BO22" s="230">
        <v>164237</v>
      </c>
      <c r="BP22" s="230">
        <v>255390</v>
      </c>
      <c r="BQ22" s="230">
        <v>-91153</v>
      </c>
      <c r="BR22" s="229">
        <v>-0.3569</v>
      </c>
      <c r="BS22" s="230">
        <v>2665824</v>
      </c>
      <c r="BT22" s="230">
        <v>4739789</v>
      </c>
      <c r="BU22" s="230">
        <v>-2073965</v>
      </c>
      <c r="BV22" s="229">
        <v>-0.43759999999999999</v>
      </c>
      <c r="BW22" s="230">
        <v>15099900</v>
      </c>
      <c r="BX22" s="230">
        <v>15916200</v>
      </c>
      <c r="BY22" s="230">
        <v>-816300</v>
      </c>
      <c r="BZ22" s="229">
        <v>-5.1299999999999998E-2</v>
      </c>
      <c r="CA22" s="230">
        <v>14460600</v>
      </c>
      <c r="CB22" s="230">
        <v>15290400</v>
      </c>
      <c r="CC22" s="230">
        <v>-829800</v>
      </c>
      <c r="CD22" s="229">
        <v>-5.4300000000000001E-2</v>
      </c>
      <c r="CE22" s="230">
        <v>610200</v>
      </c>
      <c r="CF22" s="230">
        <v>594300</v>
      </c>
      <c r="CG22" s="230">
        <v>15900</v>
      </c>
      <c r="CH22" s="229">
        <v>2.6800000000000001E-2</v>
      </c>
      <c r="CI22" s="230">
        <v>29100</v>
      </c>
      <c r="CJ22" s="230">
        <v>31500</v>
      </c>
      <c r="CK22" s="230">
        <v>-2400</v>
      </c>
      <c r="CL22" s="229">
        <v>-7.6200000000000004E-2</v>
      </c>
      <c r="CM22" s="230">
        <v>7050900</v>
      </c>
      <c r="CN22" s="230">
        <v>7194300</v>
      </c>
      <c r="CO22" s="230">
        <v>-143400</v>
      </c>
      <c r="CP22" s="229">
        <v>-1.9900000000000001E-2</v>
      </c>
      <c r="CQ22" s="230">
        <v>4223400</v>
      </c>
      <c r="CR22" s="230">
        <v>3871200</v>
      </c>
      <c r="CS22" s="230">
        <v>352200</v>
      </c>
      <c r="CT22" s="229">
        <v>9.0999999999999998E-2</v>
      </c>
      <c r="CU22" s="230">
        <v>26374200</v>
      </c>
      <c r="CV22" s="230">
        <v>26981700</v>
      </c>
      <c r="CW22" s="230">
        <v>-607500</v>
      </c>
      <c r="CX22" s="229">
        <v>-2.2499999999999999E-2</v>
      </c>
      <c r="CY22" s="228">
        <v>23.55</v>
      </c>
      <c r="CZ22" s="228">
        <v>25.61</v>
      </c>
      <c r="DA22" s="228">
        <v>-2.06</v>
      </c>
      <c r="DB22" s="228">
        <v>-2.06</v>
      </c>
      <c r="DC22" s="228">
        <v>24.8</v>
      </c>
      <c r="DD22" s="228">
        <v>24.62</v>
      </c>
      <c r="DE22" s="228">
        <v>-1.25</v>
      </c>
      <c r="DF22" s="228">
        <v>0.18</v>
      </c>
      <c r="DG22" s="228">
        <v>23.47</v>
      </c>
      <c r="DH22" s="228">
        <v>25.76</v>
      </c>
      <c r="DI22" s="228">
        <v>-2.29</v>
      </c>
      <c r="DJ22" s="228">
        <v>-2.29</v>
      </c>
      <c r="DK22" s="228">
        <v>23.71</v>
      </c>
      <c r="DL22" s="228">
        <v>25.33</v>
      </c>
      <c r="DM22" s="228">
        <v>-1.62</v>
      </c>
      <c r="DN22" s="228">
        <v>-1.62</v>
      </c>
      <c r="DO22" s="228">
        <v>0.6</v>
      </c>
      <c r="DP22" s="228">
        <v>0.54</v>
      </c>
      <c r="DQ22" s="228">
        <v>0.06</v>
      </c>
      <c r="DR22" s="229">
        <v>0.1111</v>
      </c>
      <c r="DS22" s="231">
        <v>2400</v>
      </c>
      <c r="DT22" s="231">
        <v>2300</v>
      </c>
      <c r="DU22" s="228">
        <v>0.47</v>
      </c>
      <c r="DV22" s="228">
        <v>0.5</v>
      </c>
      <c r="DW22" s="228">
        <v>-0.03</v>
      </c>
      <c r="DX22" s="229">
        <v>-0.06</v>
      </c>
      <c r="DY22" s="229">
        <v>4.2299999999999997E-2</v>
      </c>
      <c r="DZ22" s="230">
        <v>625800</v>
      </c>
      <c r="EA22" s="229">
        <v>-4.1999999999999997E-3</v>
      </c>
      <c r="EB22" s="229">
        <v>4.2299999999999997E-2</v>
      </c>
      <c r="EC22" s="228">
        <v>-8.2799999999999994</v>
      </c>
      <c r="ED22" s="229">
        <v>-3.5000000000000001E-3</v>
      </c>
      <c r="EE22" s="230">
        <v>1146616</v>
      </c>
      <c r="EF22" s="230">
        <v>1514245</v>
      </c>
      <c r="EG22" s="229">
        <v>-0.24279999999999999</v>
      </c>
      <c r="EH22" s="229">
        <v>0.43009999999999998</v>
      </c>
      <c r="EI22" s="231">
        <v>744947.08</v>
      </c>
      <c r="EJ22" s="231">
        <v>329251.48</v>
      </c>
      <c r="EK22" s="231">
        <v>104694.67</v>
      </c>
      <c r="EL22" s="231">
        <v>21564</v>
      </c>
      <c r="EM22" s="231">
        <v>1178893.23</v>
      </c>
      <c r="EN22" s="231">
        <v>1808382.66</v>
      </c>
      <c r="EO22" s="231">
        <v>-629489.43000000005</v>
      </c>
      <c r="EP22" s="229">
        <v>-0.34810000000000002</v>
      </c>
      <c r="EQ22" s="231">
        <v>170753</v>
      </c>
      <c r="ER22" s="231">
        <v>94094</v>
      </c>
      <c r="ES22" s="231">
        <v>350290</v>
      </c>
      <c r="ET22" s="231">
        <v>89517840</v>
      </c>
      <c r="EU22" s="231">
        <v>615137</v>
      </c>
      <c r="EV22" s="231">
        <v>618205</v>
      </c>
      <c r="EW22" s="231">
        <v>-3068</v>
      </c>
      <c r="EX22" s="229">
        <v>-5.0000000000000001E-3</v>
      </c>
      <c r="EY22" s="229">
        <v>0.29459999999999997</v>
      </c>
    </row>
    <row r="23" spans="1:155" ht="17.25" thickBot="1" x14ac:dyDescent="0.3">
      <c r="A23" s="226">
        <v>46146</v>
      </c>
      <c r="B23" s="227" t="s">
        <v>172</v>
      </c>
      <c r="C23" s="227" t="s">
        <v>232</v>
      </c>
      <c r="D23" s="231">
        <v>1278.3</v>
      </c>
      <c r="E23" s="231">
        <v>1270.7</v>
      </c>
      <c r="F23" s="228">
        <v>7.6</v>
      </c>
      <c r="G23" s="229">
        <v>6.0000000000000001E-3</v>
      </c>
      <c r="H23" s="231">
        <v>1270.8</v>
      </c>
      <c r="I23" s="231">
        <v>1263.4000000000001</v>
      </c>
      <c r="J23" s="228">
        <v>7.4</v>
      </c>
      <c r="K23" s="229">
        <v>5.8999999999999999E-3</v>
      </c>
      <c r="L23" s="231">
        <v>1278.3</v>
      </c>
      <c r="M23" s="231">
        <v>1270.7</v>
      </c>
      <c r="N23" s="228">
        <v>7.6</v>
      </c>
      <c r="O23" s="229">
        <v>6.0000000000000001E-3</v>
      </c>
      <c r="P23" s="231">
        <v>1286.3</v>
      </c>
      <c r="Q23" s="231">
        <v>1278.5</v>
      </c>
      <c r="R23" s="228">
        <v>7.8</v>
      </c>
      <c r="S23" s="229">
        <v>6.1000000000000004E-3</v>
      </c>
      <c r="T23" s="231">
        <v>1293.7</v>
      </c>
      <c r="U23" s="231">
        <v>1284.2</v>
      </c>
      <c r="V23" s="228">
        <v>9.5</v>
      </c>
      <c r="W23" s="229">
        <v>7.4000000000000003E-3</v>
      </c>
      <c r="X23" s="228">
        <v>7.5</v>
      </c>
      <c r="Y23" s="228">
        <v>7.3</v>
      </c>
      <c r="Z23" s="228">
        <v>0.2</v>
      </c>
      <c r="AA23" s="229">
        <v>5.8999999999999999E-3</v>
      </c>
      <c r="AB23" s="228">
        <v>7.5</v>
      </c>
      <c r="AC23" s="228">
        <v>7.3</v>
      </c>
      <c r="AD23" s="228">
        <v>0.2</v>
      </c>
      <c r="AE23" s="229">
        <v>5.8999999999999999E-3</v>
      </c>
      <c r="AF23" s="228">
        <v>15.5</v>
      </c>
      <c r="AG23" s="228">
        <v>15.1</v>
      </c>
      <c r="AH23" s="228">
        <v>0.4</v>
      </c>
      <c r="AI23" s="229">
        <v>1.2200000000000001E-2</v>
      </c>
      <c r="AJ23" s="228">
        <v>22.9</v>
      </c>
      <c r="AK23" s="228">
        <v>20.8</v>
      </c>
      <c r="AL23" s="228">
        <v>2.1</v>
      </c>
      <c r="AM23" s="229">
        <v>1.7999999999999999E-2</v>
      </c>
      <c r="AN23" s="231">
        <v>1280.95</v>
      </c>
      <c r="AO23" s="231">
        <v>1288.94</v>
      </c>
      <c r="AP23" s="228">
        <v>0</v>
      </c>
      <c r="AQ23" s="230">
        <v>15724</v>
      </c>
      <c r="AR23" s="230">
        <v>16328</v>
      </c>
      <c r="AS23" s="228">
        <v>-604</v>
      </c>
      <c r="AT23" s="229">
        <v>-3.6999999999999998E-2</v>
      </c>
      <c r="AU23" s="230">
        <v>13705</v>
      </c>
      <c r="AV23" s="230">
        <v>14862</v>
      </c>
      <c r="AW23" s="230">
        <v>-1157</v>
      </c>
      <c r="AX23" s="229">
        <v>-7.7799999999999994E-2</v>
      </c>
      <c r="AY23" s="230">
        <v>1900</v>
      </c>
      <c r="AZ23" s="230">
        <v>1286</v>
      </c>
      <c r="BA23" s="228">
        <v>614</v>
      </c>
      <c r="BB23" s="229">
        <v>0.47739999999999999</v>
      </c>
      <c r="BC23" s="228">
        <v>119</v>
      </c>
      <c r="BD23" s="228">
        <v>180</v>
      </c>
      <c r="BE23" s="228">
        <v>-61</v>
      </c>
      <c r="BF23" s="229">
        <v>-0.33889999999999998</v>
      </c>
      <c r="BG23" s="230">
        <v>38981</v>
      </c>
      <c r="BH23" s="230">
        <v>50602</v>
      </c>
      <c r="BI23" s="230">
        <v>-11621</v>
      </c>
      <c r="BJ23" s="229">
        <v>-0.22969999999999999</v>
      </c>
      <c r="BK23" s="230">
        <v>21774</v>
      </c>
      <c r="BL23" s="230">
        <v>26288</v>
      </c>
      <c r="BM23" s="230">
        <v>-4514</v>
      </c>
      <c r="BN23" s="229">
        <v>-0.17169999999999999</v>
      </c>
      <c r="BO23" s="230">
        <v>76479</v>
      </c>
      <c r="BP23" s="230">
        <v>93218</v>
      </c>
      <c r="BQ23" s="230">
        <v>-16739</v>
      </c>
      <c r="BR23" s="229">
        <v>-0.17960000000000001</v>
      </c>
      <c r="BS23" s="230">
        <v>14786188</v>
      </c>
      <c r="BT23" s="230">
        <v>19213540</v>
      </c>
      <c r="BU23" s="230">
        <v>-4427352</v>
      </c>
      <c r="BV23" s="229">
        <v>-0.23039999999999999</v>
      </c>
      <c r="BW23" s="230">
        <v>138693100</v>
      </c>
      <c r="BX23" s="230">
        <v>134421700</v>
      </c>
      <c r="BY23" s="230">
        <v>4271400</v>
      </c>
      <c r="BZ23" s="229">
        <v>3.1800000000000002E-2</v>
      </c>
      <c r="CA23" s="230">
        <v>112054600</v>
      </c>
      <c r="CB23" s="230">
        <v>108880100</v>
      </c>
      <c r="CC23" s="230">
        <v>3174500</v>
      </c>
      <c r="CD23" s="229">
        <v>2.92E-2</v>
      </c>
      <c r="CE23" s="230">
        <v>26438300</v>
      </c>
      <c r="CF23" s="230">
        <v>25375000</v>
      </c>
      <c r="CG23" s="230">
        <v>1063300</v>
      </c>
      <c r="CH23" s="229">
        <v>4.19E-2</v>
      </c>
      <c r="CI23" s="230">
        <v>200200</v>
      </c>
      <c r="CJ23" s="230">
        <v>166600</v>
      </c>
      <c r="CK23" s="230">
        <v>33600</v>
      </c>
      <c r="CL23" s="229">
        <v>0.20169999999999999</v>
      </c>
      <c r="CM23" s="230">
        <v>32101300</v>
      </c>
      <c r="CN23" s="230">
        <v>29024100</v>
      </c>
      <c r="CO23" s="230">
        <v>3077200</v>
      </c>
      <c r="CP23" s="229">
        <v>0.106</v>
      </c>
      <c r="CQ23" s="230">
        <v>19108600</v>
      </c>
      <c r="CR23" s="230">
        <v>18740400</v>
      </c>
      <c r="CS23" s="230">
        <v>368200</v>
      </c>
      <c r="CT23" s="229">
        <v>1.9599999999999999E-2</v>
      </c>
      <c r="CU23" s="230">
        <v>189903000</v>
      </c>
      <c r="CV23" s="230">
        <v>182186200</v>
      </c>
      <c r="CW23" s="230">
        <v>7716800</v>
      </c>
      <c r="CX23" s="229">
        <v>4.24E-2</v>
      </c>
      <c r="CY23" s="228">
        <v>22.57</v>
      </c>
      <c r="CZ23" s="228">
        <v>23.07</v>
      </c>
      <c r="DA23" s="228">
        <v>-0.5</v>
      </c>
      <c r="DB23" s="228">
        <v>-0.5</v>
      </c>
      <c r="DC23" s="228">
        <v>24.04</v>
      </c>
      <c r="DD23" s="228">
        <v>24.08</v>
      </c>
      <c r="DE23" s="228">
        <v>-1.47</v>
      </c>
      <c r="DF23" s="228">
        <v>-0.04</v>
      </c>
      <c r="DG23" s="228">
        <v>22.39</v>
      </c>
      <c r="DH23" s="228">
        <v>23.29</v>
      </c>
      <c r="DI23" s="228">
        <v>-0.9</v>
      </c>
      <c r="DJ23" s="228">
        <v>-0.9</v>
      </c>
      <c r="DK23" s="228">
        <v>22.88</v>
      </c>
      <c r="DL23" s="228">
        <v>22.66</v>
      </c>
      <c r="DM23" s="228">
        <v>0.22</v>
      </c>
      <c r="DN23" s="228">
        <v>0.22</v>
      </c>
      <c r="DO23" s="228">
        <v>0.6</v>
      </c>
      <c r="DP23" s="228">
        <v>0.65</v>
      </c>
      <c r="DQ23" s="228">
        <v>-0.05</v>
      </c>
      <c r="DR23" s="229">
        <v>-7.6899999999999996E-2</v>
      </c>
      <c r="DS23" s="231">
        <v>1300</v>
      </c>
      <c r="DT23" s="231">
        <v>1300</v>
      </c>
      <c r="DU23" s="228">
        <v>0.56000000000000005</v>
      </c>
      <c r="DV23" s="228">
        <v>0.52</v>
      </c>
      <c r="DW23" s="228">
        <v>0.04</v>
      </c>
      <c r="DX23" s="229">
        <v>7.6899999999999996E-2</v>
      </c>
      <c r="DY23" s="229">
        <v>0.19209999999999999</v>
      </c>
      <c r="DZ23" s="230">
        <v>25541600</v>
      </c>
      <c r="EA23" s="229">
        <v>6.3E-3</v>
      </c>
      <c r="EB23" s="229">
        <v>0.19209999999999999</v>
      </c>
      <c r="EC23" s="228">
        <v>7.99</v>
      </c>
      <c r="ED23" s="229">
        <v>6.1999999999999998E-3</v>
      </c>
      <c r="EE23" s="230">
        <v>9676985</v>
      </c>
      <c r="EF23" s="230">
        <v>8436787</v>
      </c>
      <c r="EG23" s="229">
        <v>0.14699999999999999</v>
      </c>
      <c r="EH23" s="229">
        <v>0.65449999999999997</v>
      </c>
      <c r="EI23" s="231">
        <v>365947.12</v>
      </c>
      <c r="EJ23" s="231">
        <v>193559.5</v>
      </c>
      <c r="EK23" s="231">
        <v>141110.71</v>
      </c>
      <c r="EL23" s="231">
        <v>43135</v>
      </c>
      <c r="EM23" s="231">
        <v>700617.33</v>
      </c>
      <c r="EN23" s="231">
        <v>855027.96</v>
      </c>
      <c r="EO23" s="231">
        <v>-154410.63</v>
      </c>
      <c r="EP23" s="229">
        <v>-0.18060000000000001</v>
      </c>
      <c r="EQ23" s="231">
        <v>435829</v>
      </c>
      <c r="ER23" s="231">
        <v>245936</v>
      </c>
      <c r="ES23" s="231">
        <v>1775060</v>
      </c>
      <c r="ET23" s="231">
        <v>668616020</v>
      </c>
      <c r="EU23" s="231">
        <v>2456824</v>
      </c>
      <c r="EV23" s="231">
        <v>2346771</v>
      </c>
      <c r="EW23" s="231">
        <v>110053</v>
      </c>
      <c r="EX23" s="229">
        <v>4.6899999999999997E-2</v>
      </c>
      <c r="EY23" s="229">
        <v>0.28399999999999997</v>
      </c>
    </row>
    <row r="24" spans="1:155" ht="17.25" thickBot="1" x14ac:dyDescent="0.3">
      <c r="A24" s="226">
        <v>46146</v>
      </c>
      <c r="B24" s="227" t="s">
        <v>215</v>
      </c>
      <c r="C24" s="227" t="s">
        <v>238</v>
      </c>
      <c r="D24" s="231">
        <v>4285.3999999999996</v>
      </c>
      <c r="E24" s="231">
        <v>4321.3</v>
      </c>
      <c r="F24" s="228">
        <v>-35.9</v>
      </c>
      <c r="G24" s="229">
        <v>-8.3000000000000001E-3</v>
      </c>
      <c r="H24" s="231">
        <v>4262.3999999999996</v>
      </c>
      <c r="I24" s="231">
        <v>4295.3</v>
      </c>
      <c r="J24" s="228">
        <v>-32.9</v>
      </c>
      <c r="K24" s="229">
        <v>-7.7000000000000002E-3</v>
      </c>
      <c r="L24" s="231">
        <v>4285.3999999999996</v>
      </c>
      <c r="M24" s="231">
        <v>4321.3</v>
      </c>
      <c r="N24" s="228">
        <v>-35.9</v>
      </c>
      <c r="O24" s="229">
        <v>-8.3000000000000001E-3</v>
      </c>
      <c r="P24" s="231">
        <v>4293.7</v>
      </c>
      <c r="Q24" s="231">
        <v>4347.8</v>
      </c>
      <c r="R24" s="228">
        <v>-54.1</v>
      </c>
      <c r="S24" s="229">
        <v>-1.24E-2</v>
      </c>
      <c r="T24" s="231">
        <v>4318.8999999999996</v>
      </c>
      <c r="U24" s="231">
        <v>4363.8</v>
      </c>
      <c r="V24" s="228">
        <v>-44.9</v>
      </c>
      <c r="W24" s="229">
        <v>-1.03E-2</v>
      </c>
      <c r="X24" s="228">
        <v>23</v>
      </c>
      <c r="Y24" s="228">
        <v>26</v>
      </c>
      <c r="Z24" s="228">
        <v>-3</v>
      </c>
      <c r="AA24" s="229">
        <v>5.4000000000000003E-3</v>
      </c>
      <c r="AB24" s="228">
        <v>23</v>
      </c>
      <c r="AC24" s="228">
        <v>26</v>
      </c>
      <c r="AD24" s="228">
        <v>-3</v>
      </c>
      <c r="AE24" s="229">
        <v>5.4000000000000003E-3</v>
      </c>
      <c r="AF24" s="228">
        <v>31.3</v>
      </c>
      <c r="AG24" s="228">
        <v>52.5</v>
      </c>
      <c r="AH24" s="228">
        <v>-21.2</v>
      </c>
      <c r="AI24" s="229">
        <v>7.3000000000000001E-3</v>
      </c>
      <c r="AJ24" s="228">
        <v>56.5</v>
      </c>
      <c r="AK24" s="228">
        <v>68.5</v>
      </c>
      <c r="AL24" s="228">
        <v>-12</v>
      </c>
      <c r="AM24" s="229">
        <v>1.3299999999999999E-2</v>
      </c>
      <c r="AN24" s="231">
        <v>4318.99</v>
      </c>
      <c r="AO24" s="231">
        <v>4333.68</v>
      </c>
      <c r="AP24" s="228">
        <v>0</v>
      </c>
      <c r="AQ24" s="230">
        <v>9407</v>
      </c>
      <c r="AR24" s="230">
        <v>12157</v>
      </c>
      <c r="AS24" s="230">
        <v>-2750</v>
      </c>
      <c r="AT24" s="229">
        <v>-0.22620000000000001</v>
      </c>
      <c r="AU24" s="230">
        <v>8890</v>
      </c>
      <c r="AV24" s="230">
        <v>11626</v>
      </c>
      <c r="AW24" s="230">
        <v>-2736</v>
      </c>
      <c r="AX24" s="229">
        <v>-0.23530000000000001</v>
      </c>
      <c r="AY24" s="228">
        <v>461</v>
      </c>
      <c r="AZ24" s="228">
        <v>431</v>
      </c>
      <c r="BA24" s="228">
        <v>30</v>
      </c>
      <c r="BB24" s="229">
        <v>6.9599999999999995E-2</v>
      </c>
      <c r="BC24" s="228">
        <v>56</v>
      </c>
      <c r="BD24" s="228">
        <v>100</v>
      </c>
      <c r="BE24" s="228">
        <v>-44</v>
      </c>
      <c r="BF24" s="229">
        <v>-0.44</v>
      </c>
      <c r="BG24" s="230">
        <v>23580</v>
      </c>
      <c r="BH24" s="230">
        <v>24579</v>
      </c>
      <c r="BI24" s="228">
        <v>-999</v>
      </c>
      <c r="BJ24" s="229">
        <v>-4.0599999999999997E-2</v>
      </c>
      <c r="BK24" s="230">
        <v>17425</v>
      </c>
      <c r="BL24" s="230">
        <v>29531</v>
      </c>
      <c r="BM24" s="230">
        <v>-12106</v>
      </c>
      <c r="BN24" s="229">
        <v>-0.40989999999999999</v>
      </c>
      <c r="BO24" s="230">
        <v>50412</v>
      </c>
      <c r="BP24" s="230">
        <v>66267</v>
      </c>
      <c r="BQ24" s="230">
        <v>-15855</v>
      </c>
      <c r="BR24" s="229">
        <v>-0.23930000000000001</v>
      </c>
      <c r="BS24" s="230">
        <v>1279448</v>
      </c>
      <c r="BT24" s="230">
        <v>2112703</v>
      </c>
      <c r="BU24" s="230">
        <v>-833255</v>
      </c>
      <c r="BV24" s="229">
        <v>-0.39439999999999997</v>
      </c>
      <c r="BW24" s="230">
        <v>7691550</v>
      </c>
      <c r="BX24" s="230">
        <v>7398600</v>
      </c>
      <c r="BY24" s="230">
        <v>292950</v>
      </c>
      <c r="BZ24" s="229">
        <v>3.9600000000000003E-2</v>
      </c>
      <c r="CA24" s="230">
        <v>7440600</v>
      </c>
      <c r="CB24" s="230">
        <v>7181100</v>
      </c>
      <c r="CC24" s="230">
        <v>259500</v>
      </c>
      <c r="CD24" s="229">
        <v>3.61E-2</v>
      </c>
      <c r="CE24" s="230">
        <v>234900</v>
      </c>
      <c r="CF24" s="230">
        <v>204450</v>
      </c>
      <c r="CG24" s="230">
        <v>30450</v>
      </c>
      <c r="CH24" s="229">
        <v>0.1489</v>
      </c>
      <c r="CI24" s="230">
        <v>16050</v>
      </c>
      <c r="CJ24" s="230">
        <v>13050</v>
      </c>
      <c r="CK24" s="230">
        <v>3000</v>
      </c>
      <c r="CL24" s="229">
        <v>0.22989999999999999</v>
      </c>
      <c r="CM24" s="230">
        <v>3055650</v>
      </c>
      <c r="CN24" s="230">
        <v>2368350</v>
      </c>
      <c r="CO24" s="230">
        <v>687300</v>
      </c>
      <c r="CP24" s="229">
        <v>0.29020000000000001</v>
      </c>
      <c r="CQ24" s="230">
        <v>1936050</v>
      </c>
      <c r="CR24" s="230">
        <v>1885050</v>
      </c>
      <c r="CS24" s="230">
        <v>51000</v>
      </c>
      <c r="CT24" s="229">
        <v>2.7099999999999999E-2</v>
      </c>
      <c r="CU24" s="230">
        <v>12683250</v>
      </c>
      <c r="CV24" s="230">
        <v>11652000</v>
      </c>
      <c r="CW24" s="230">
        <v>1031250</v>
      </c>
      <c r="CX24" s="229">
        <v>8.8499999999999995E-2</v>
      </c>
      <c r="CY24" s="228">
        <v>39.799999999999997</v>
      </c>
      <c r="CZ24" s="228">
        <v>43.43</v>
      </c>
      <c r="DA24" s="228">
        <v>-3.63</v>
      </c>
      <c r="DB24" s="228">
        <v>-3.63</v>
      </c>
      <c r="DC24" s="228">
        <v>39.71</v>
      </c>
      <c r="DD24" s="228">
        <v>39.799999999999997</v>
      </c>
      <c r="DE24" s="228">
        <v>0.09</v>
      </c>
      <c r="DF24" s="228">
        <v>-0.09</v>
      </c>
      <c r="DG24" s="228">
        <v>38.92</v>
      </c>
      <c r="DH24" s="228">
        <v>42.53</v>
      </c>
      <c r="DI24" s="228">
        <v>-3.61</v>
      </c>
      <c r="DJ24" s="228">
        <v>-3.61</v>
      </c>
      <c r="DK24" s="228">
        <v>40.99</v>
      </c>
      <c r="DL24" s="228">
        <v>44.18</v>
      </c>
      <c r="DM24" s="228">
        <v>-3.19</v>
      </c>
      <c r="DN24" s="228">
        <v>-3.19</v>
      </c>
      <c r="DO24" s="228">
        <v>0.63</v>
      </c>
      <c r="DP24" s="228">
        <v>0.8</v>
      </c>
      <c r="DQ24" s="228">
        <v>-0.17</v>
      </c>
      <c r="DR24" s="229">
        <v>-0.21249999999999999</v>
      </c>
      <c r="DS24" s="231">
        <v>4600</v>
      </c>
      <c r="DT24" s="231">
        <v>4200</v>
      </c>
      <c r="DU24" s="228">
        <v>0.74</v>
      </c>
      <c r="DV24" s="228">
        <v>1.2</v>
      </c>
      <c r="DW24" s="228">
        <v>-0.46</v>
      </c>
      <c r="DX24" s="229">
        <v>-0.38329999999999997</v>
      </c>
      <c r="DY24" s="229">
        <v>3.2599999999999997E-2</v>
      </c>
      <c r="DZ24" s="230">
        <v>217500</v>
      </c>
      <c r="EA24" s="229">
        <v>1.9E-3</v>
      </c>
      <c r="EB24" s="229">
        <v>3.2599999999999997E-2</v>
      </c>
      <c r="EC24" s="228">
        <v>14.69</v>
      </c>
      <c r="ED24" s="229">
        <v>3.3999999999999998E-3</v>
      </c>
      <c r="EE24" s="230">
        <v>803396</v>
      </c>
      <c r="EF24" s="230">
        <v>1066340</v>
      </c>
      <c r="EG24" s="229">
        <v>-0.24660000000000001</v>
      </c>
      <c r="EH24" s="229">
        <v>0.62790000000000001</v>
      </c>
      <c r="EI24" s="231">
        <v>165260.26999999999</v>
      </c>
      <c r="EJ24" s="231">
        <v>111018.93</v>
      </c>
      <c r="EK24" s="231">
        <v>60956.35</v>
      </c>
      <c r="EL24" s="231">
        <v>18362</v>
      </c>
      <c r="EM24" s="231">
        <v>337235.55</v>
      </c>
      <c r="EN24" s="231">
        <v>438089.36</v>
      </c>
      <c r="EO24" s="231">
        <v>-100853.81</v>
      </c>
      <c r="EP24" s="229">
        <v>-0.23019999999999999</v>
      </c>
      <c r="EQ24" s="231">
        <v>142052</v>
      </c>
      <c r="ER24" s="231">
        <v>82627</v>
      </c>
      <c r="ES24" s="231">
        <v>329639</v>
      </c>
      <c r="ET24" s="231">
        <v>33878797</v>
      </c>
      <c r="EU24" s="231">
        <v>554318</v>
      </c>
      <c r="EV24" s="231">
        <v>510656</v>
      </c>
      <c r="EW24" s="231">
        <v>43662</v>
      </c>
      <c r="EX24" s="229">
        <v>8.5500000000000007E-2</v>
      </c>
      <c r="EY24" s="229">
        <v>0.37440000000000001</v>
      </c>
    </row>
    <row r="25" spans="1:155" ht="17.25" thickBot="1" x14ac:dyDescent="0.3">
      <c r="A25" s="226">
        <v>46146</v>
      </c>
      <c r="B25" s="227" t="s">
        <v>221</v>
      </c>
      <c r="C25" s="227" t="s">
        <v>240</v>
      </c>
      <c r="D25" s="231">
        <v>1173</v>
      </c>
      <c r="E25" s="231">
        <v>1187.4000000000001</v>
      </c>
      <c r="F25" s="228">
        <v>-14.4</v>
      </c>
      <c r="G25" s="229">
        <v>-1.21E-2</v>
      </c>
      <c r="H25" s="231">
        <v>1168.4000000000001</v>
      </c>
      <c r="I25" s="231">
        <v>1181.8</v>
      </c>
      <c r="J25" s="228">
        <v>-13.4</v>
      </c>
      <c r="K25" s="229">
        <v>-1.1299999999999999E-2</v>
      </c>
      <c r="L25" s="231">
        <v>1173</v>
      </c>
      <c r="M25" s="231">
        <v>1187.4000000000001</v>
      </c>
      <c r="N25" s="228">
        <v>-14.4</v>
      </c>
      <c r="O25" s="229">
        <v>-1.21E-2</v>
      </c>
      <c r="P25" s="231">
        <v>1174.9000000000001</v>
      </c>
      <c r="Q25" s="231">
        <v>1189.5999999999999</v>
      </c>
      <c r="R25" s="228">
        <v>-14.7</v>
      </c>
      <c r="S25" s="229">
        <v>-1.24E-2</v>
      </c>
      <c r="T25" s="231">
        <v>1177.8</v>
      </c>
      <c r="U25" s="231">
        <v>1194.5999999999999</v>
      </c>
      <c r="V25" s="228">
        <v>-16.8</v>
      </c>
      <c r="W25" s="229">
        <v>-1.41E-2</v>
      </c>
      <c r="X25" s="228">
        <v>4.5999999999999996</v>
      </c>
      <c r="Y25" s="228">
        <v>5.6</v>
      </c>
      <c r="Z25" s="228">
        <v>-1</v>
      </c>
      <c r="AA25" s="229">
        <v>3.8999999999999998E-3</v>
      </c>
      <c r="AB25" s="228">
        <v>4.5999999999999996</v>
      </c>
      <c r="AC25" s="228">
        <v>5.6</v>
      </c>
      <c r="AD25" s="228">
        <v>-1</v>
      </c>
      <c r="AE25" s="229">
        <v>3.8999999999999998E-3</v>
      </c>
      <c r="AF25" s="228">
        <v>6.5</v>
      </c>
      <c r="AG25" s="228">
        <v>7.8</v>
      </c>
      <c r="AH25" s="228">
        <v>-1.3</v>
      </c>
      <c r="AI25" s="229">
        <v>5.5999999999999999E-3</v>
      </c>
      <c r="AJ25" s="228">
        <v>9.4</v>
      </c>
      <c r="AK25" s="228">
        <v>12.8</v>
      </c>
      <c r="AL25" s="228">
        <v>-3.4</v>
      </c>
      <c r="AM25" s="229">
        <v>8.0000000000000002E-3</v>
      </c>
      <c r="AN25" s="231">
        <v>1180.01</v>
      </c>
      <c r="AO25" s="231">
        <v>1179.48</v>
      </c>
      <c r="AP25" s="228">
        <v>0</v>
      </c>
      <c r="AQ25" s="230">
        <v>15222</v>
      </c>
      <c r="AR25" s="230">
        <v>24325</v>
      </c>
      <c r="AS25" s="230">
        <v>-9103</v>
      </c>
      <c r="AT25" s="229">
        <v>-0.37419999999999998</v>
      </c>
      <c r="AU25" s="230">
        <v>12946</v>
      </c>
      <c r="AV25" s="230">
        <v>22456</v>
      </c>
      <c r="AW25" s="230">
        <v>-9510</v>
      </c>
      <c r="AX25" s="229">
        <v>-0.42349999999999999</v>
      </c>
      <c r="AY25" s="230">
        <v>2034</v>
      </c>
      <c r="AZ25" s="230">
        <v>1550</v>
      </c>
      <c r="BA25" s="228">
        <v>484</v>
      </c>
      <c r="BB25" s="229">
        <v>0.31230000000000002</v>
      </c>
      <c r="BC25" s="228">
        <v>242</v>
      </c>
      <c r="BD25" s="228">
        <v>319</v>
      </c>
      <c r="BE25" s="228">
        <v>-77</v>
      </c>
      <c r="BF25" s="229">
        <v>-0.2414</v>
      </c>
      <c r="BG25" s="230">
        <v>51193</v>
      </c>
      <c r="BH25" s="230">
        <v>76551</v>
      </c>
      <c r="BI25" s="230">
        <v>-25358</v>
      </c>
      <c r="BJ25" s="229">
        <v>-0.33129999999999998</v>
      </c>
      <c r="BK25" s="230">
        <v>26986</v>
      </c>
      <c r="BL25" s="230">
        <v>42125</v>
      </c>
      <c r="BM25" s="230">
        <v>-15139</v>
      </c>
      <c r="BN25" s="229">
        <v>-0.3594</v>
      </c>
      <c r="BO25" s="230">
        <v>93401</v>
      </c>
      <c r="BP25" s="230">
        <v>143001</v>
      </c>
      <c r="BQ25" s="230">
        <v>-49600</v>
      </c>
      <c r="BR25" s="229">
        <v>-0.34689999999999999</v>
      </c>
      <c r="BS25" s="230">
        <v>8273730</v>
      </c>
      <c r="BT25" s="230">
        <v>13487173</v>
      </c>
      <c r="BU25" s="230">
        <v>-5213443</v>
      </c>
      <c r="BV25" s="229">
        <v>-0.38650000000000001</v>
      </c>
      <c r="BW25" s="230">
        <v>83433600</v>
      </c>
      <c r="BX25" s="230">
        <v>82482800</v>
      </c>
      <c r="BY25" s="230">
        <v>950800</v>
      </c>
      <c r="BZ25" s="229">
        <v>1.15E-2</v>
      </c>
      <c r="CA25" s="230">
        <v>78118800</v>
      </c>
      <c r="CB25" s="230">
        <v>77661600</v>
      </c>
      <c r="CC25" s="230">
        <v>457200</v>
      </c>
      <c r="CD25" s="229">
        <v>5.8999999999999999E-3</v>
      </c>
      <c r="CE25" s="230">
        <v>5118800</v>
      </c>
      <c r="CF25" s="230">
        <v>4674400</v>
      </c>
      <c r="CG25" s="230">
        <v>444400</v>
      </c>
      <c r="CH25" s="229">
        <v>9.5100000000000004E-2</v>
      </c>
      <c r="CI25" s="230">
        <v>196000</v>
      </c>
      <c r="CJ25" s="230">
        <v>146800</v>
      </c>
      <c r="CK25" s="230">
        <v>49200</v>
      </c>
      <c r="CL25" s="229">
        <v>0.33510000000000001</v>
      </c>
      <c r="CM25" s="230">
        <v>35053200</v>
      </c>
      <c r="CN25" s="230">
        <v>32055600</v>
      </c>
      <c r="CO25" s="230">
        <v>2997600</v>
      </c>
      <c r="CP25" s="229">
        <v>9.35E-2</v>
      </c>
      <c r="CQ25" s="230">
        <v>20548000</v>
      </c>
      <c r="CR25" s="230">
        <v>19684000</v>
      </c>
      <c r="CS25" s="230">
        <v>864000</v>
      </c>
      <c r="CT25" s="229">
        <v>4.3900000000000002E-2</v>
      </c>
      <c r="CU25" s="230">
        <v>139034800</v>
      </c>
      <c r="CV25" s="230">
        <v>134222400</v>
      </c>
      <c r="CW25" s="230">
        <v>4812400</v>
      </c>
      <c r="CX25" s="229">
        <v>3.5900000000000001E-2</v>
      </c>
      <c r="CY25" s="228">
        <v>31.22</v>
      </c>
      <c r="CZ25" s="228">
        <v>30.34</v>
      </c>
      <c r="DA25" s="228">
        <v>0.88</v>
      </c>
      <c r="DB25" s="228">
        <v>0.88</v>
      </c>
      <c r="DC25" s="228">
        <v>32.4</v>
      </c>
      <c r="DD25" s="228">
        <v>32.450000000000003</v>
      </c>
      <c r="DE25" s="228">
        <v>-1.18</v>
      </c>
      <c r="DF25" s="228">
        <v>-0.05</v>
      </c>
      <c r="DG25" s="228">
        <v>31.65</v>
      </c>
      <c r="DH25" s="228">
        <v>30.49</v>
      </c>
      <c r="DI25" s="228">
        <v>1.1599999999999999</v>
      </c>
      <c r="DJ25" s="228">
        <v>1.1599999999999999</v>
      </c>
      <c r="DK25" s="228">
        <v>30.4</v>
      </c>
      <c r="DL25" s="228">
        <v>30.07</v>
      </c>
      <c r="DM25" s="228">
        <v>0.33</v>
      </c>
      <c r="DN25" s="228">
        <v>0.33</v>
      </c>
      <c r="DO25" s="228">
        <v>0.59</v>
      </c>
      <c r="DP25" s="228">
        <v>0.61</v>
      </c>
      <c r="DQ25" s="228">
        <v>-0.02</v>
      </c>
      <c r="DR25" s="229">
        <v>-3.2800000000000003E-2</v>
      </c>
      <c r="DS25" s="231">
        <v>1300</v>
      </c>
      <c r="DT25" s="231">
        <v>1160</v>
      </c>
      <c r="DU25" s="228">
        <v>0.53</v>
      </c>
      <c r="DV25" s="228">
        <v>0.55000000000000004</v>
      </c>
      <c r="DW25" s="228">
        <v>-0.02</v>
      </c>
      <c r="DX25" s="229">
        <v>-3.6400000000000002E-2</v>
      </c>
      <c r="DY25" s="229">
        <v>6.3700000000000007E-2</v>
      </c>
      <c r="DZ25" s="230">
        <v>4821200</v>
      </c>
      <c r="EA25" s="229">
        <v>1.6000000000000001E-3</v>
      </c>
      <c r="EB25" s="229">
        <v>6.3700000000000007E-2</v>
      </c>
      <c r="EC25" s="228">
        <v>-0.53</v>
      </c>
      <c r="ED25" s="229">
        <v>-4.0000000000000002E-4</v>
      </c>
      <c r="EE25" s="230">
        <v>4568517</v>
      </c>
      <c r="EF25" s="230">
        <v>5623550</v>
      </c>
      <c r="EG25" s="229">
        <v>-0.18759999999999999</v>
      </c>
      <c r="EH25" s="229">
        <v>0.55220000000000002</v>
      </c>
      <c r="EI25" s="231">
        <v>259723.29</v>
      </c>
      <c r="EJ25" s="231">
        <v>125549.79</v>
      </c>
      <c r="EK25" s="231">
        <v>71847.69</v>
      </c>
      <c r="EL25" s="231">
        <v>65067</v>
      </c>
      <c r="EM25" s="231">
        <v>457120.77</v>
      </c>
      <c r="EN25" s="231">
        <v>695708.27</v>
      </c>
      <c r="EO25" s="231">
        <v>-238587.5</v>
      </c>
      <c r="EP25" s="229">
        <v>-0.34289999999999998</v>
      </c>
      <c r="EQ25" s="231">
        <v>444429</v>
      </c>
      <c r="ER25" s="231">
        <v>242542</v>
      </c>
      <c r="ES25" s="231">
        <v>978783</v>
      </c>
      <c r="ET25" s="231">
        <v>475237614</v>
      </c>
      <c r="EU25" s="231">
        <v>1665755</v>
      </c>
      <c r="EV25" s="231">
        <v>1618813</v>
      </c>
      <c r="EW25" s="231">
        <v>46942</v>
      </c>
      <c r="EX25" s="229">
        <v>2.9000000000000001E-2</v>
      </c>
      <c r="EY25" s="229">
        <v>0.29260000000000003</v>
      </c>
    </row>
    <row r="26" spans="1:155" ht="17.25" thickBot="1" x14ac:dyDescent="0.3">
      <c r="A26" s="226">
        <v>46146</v>
      </c>
      <c r="B26" s="227" t="s">
        <v>168</v>
      </c>
      <c r="C26" s="227" t="s">
        <v>242</v>
      </c>
      <c r="D26" s="228">
        <v>312.60000000000002</v>
      </c>
      <c r="E26" s="228">
        <v>315.75</v>
      </c>
      <c r="F26" s="228">
        <v>-3.15</v>
      </c>
      <c r="G26" s="229">
        <v>-0.01</v>
      </c>
      <c r="H26" s="228">
        <v>311.10000000000002</v>
      </c>
      <c r="I26" s="228">
        <v>314.89999999999998</v>
      </c>
      <c r="J26" s="228">
        <v>-3.8</v>
      </c>
      <c r="K26" s="229">
        <v>-1.21E-2</v>
      </c>
      <c r="L26" s="228">
        <v>312.60000000000002</v>
      </c>
      <c r="M26" s="228">
        <v>315.75</v>
      </c>
      <c r="N26" s="228">
        <v>-3.15</v>
      </c>
      <c r="O26" s="229">
        <v>-0.01</v>
      </c>
      <c r="P26" s="228">
        <v>314.5</v>
      </c>
      <c r="Q26" s="228">
        <v>317.95</v>
      </c>
      <c r="R26" s="228">
        <v>-3.45</v>
      </c>
      <c r="S26" s="229">
        <v>-1.09E-2</v>
      </c>
      <c r="T26" s="228">
        <v>315.95</v>
      </c>
      <c r="U26" s="228">
        <v>319.39999999999998</v>
      </c>
      <c r="V26" s="228">
        <v>-3.45</v>
      </c>
      <c r="W26" s="229">
        <v>-1.0800000000000001E-2</v>
      </c>
      <c r="X26" s="228">
        <v>1.5</v>
      </c>
      <c r="Y26" s="228">
        <v>0.85</v>
      </c>
      <c r="Z26" s="228">
        <v>0.65</v>
      </c>
      <c r="AA26" s="229">
        <v>4.7999999999999996E-3</v>
      </c>
      <c r="AB26" s="228">
        <v>1.5</v>
      </c>
      <c r="AC26" s="228">
        <v>0.85</v>
      </c>
      <c r="AD26" s="228">
        <v>0.65</v>
      </c>
      <c r="AE26" s="229">
        <v>4.7999999999999996E-3</v>
      </c>
      <c r="AF26" s="228">
        <v>3.4</v>
      </c>
      <c r="AG26" s="228">
        <v>3.05</v>
      </c>
      <c r="AH26" s="228">
        <v>0.35</v>
      </c>
      <c r="AI26" s="229">
        <v>1.09E-2</v>
      </c>
      <c r="AJ26" s="228">
        <v>4.8499999999999996</v>
      </c>
      <c r="AK26" s="228">
        <v>4.5</v>
      </c>
      <c r="AL26" s="228">
        <v>0.35</v>
      </c>
      <c r="AM26" s="229">
        <v>1.5599999999999999E-2</v>
      </c>
      <c r="AN26" s="228">
        <v>314.88</v>
      </c>
      <c r="AO26" s="228">
        <v>316.88</v>
      </c>
      <c r="AP26" s="228">
        <v>0</v>
      </c>
      <c r="AQ26" s="230">
        <v>12516</v>
      </c>
      <c r="AR26" s="230">
        <v>12148</v>
      </c>
      <c r="AS26" s="228">
        <v>368</v>
      </c>
      <c r="AT26" s="229">
        <v>3.0300000000000001E-2</v>
      </c>
      <c r="AU26" s="230">
        <v>10951</v>
      </c>
      <c r="AV26" s="230">
        <v>11342</v>
      </c>
      <c r="AW26" s="228">
        <v>-391</v>
      </c>
      <c r="AX26" s="229">
        <v>-3.4500000000000003E-2</v>
      </c>
      <c r="AY26" s="230">
        <v>1414</v>
      </c>
      <c r="AZ26" s="228">
        <v>628</v>
      </c>
      <c r="BA26" s="228">
        <v>786</v>
      </c>
      <c r="BB26" s="229">
        <v>1.2516</v>
      </c>
      <c r="BC26" s="228">
        <v>151</v>
      </c>
      <c r="BD26" s="228">
        <v>178</v>
      </c>
      <c r="BE26" s="228">
        <v>-27</v>
      </c>
      <c r="BF26" s="229">
        <v>-0.1517</v>
      </c>
      <c r="BG26" s="230">
        <v>91502</v>
      </c>
      <c r="BH26" s="230">
        <v>72193</v>
      </c>
      <c r="BI26" s="230">
        <v>19309</v>
      </c>
      <c r="BJ26" s="229">
        <v>0.26750000000000002</v>
      </c>
      <c r="BK26" s="230">
        <v>25151</v>
      </c>
      <c r="BL26" s="230">
        <v>25530</v>
      </c>
      <c r="BM26" s="228">
        <v>-379</v>
      </c>
      <c r="BN26" s="229">
        <v>-1.4800000000000001E-2</v>
      </c>
      <c r="BO26" s="230">
        <v>129169</v>
      </c>
      <c r="BP26" s="230">
        <v>109871</v>
      </c>
      <c r="BQ26" s="230">
        <v>19298</v>
      </c>
      <c r="BR26" s="229">
        <v>0.17560000000000001</v>
      </c>
      <c r="BS26" s="230">
        <v>21543954</v>
      </c>
      <c r="BT26" s="230">
        <v>12275887</v>
      </c>
      <c r="BU26" s="230">
        <v>9268067</v>
      </c>
      <c r="BV26" s="229">
        <v>0.755</v>
      </c>
      <c r="BW26" s="230">
        <v>175454400</v>
      </c>
      <c r="BX26" s="230">
        <v>173678725</v>
      </c>
      <c r="BY26" s="230">
        <v>1775675</v>
      </c>
      <c r="BZ26" s="229">
        <v>1.0200000000000001E-2</v>
      </c>
      <c r="CA26" s="230">
        <v>154499200</v>
      </c>
      <c r="CB26" s="230">
        <v>154038400</v>
      </c>
      <c r="CC26" s="230">
        <v>460800</v>
      </c>
      <c r="CD26" s="229">
        <v>3.0000000000000001E-3</v>
      </c>
      <c r="CE26" s="230">
        <v>20403200</v>
      </c>
      <c r="CF26" s="230">
        <v>19238400</v>
      </c>
      <c r="CG26" s="230">
        <v>1164800</v>
      </c>
      <c r="CH26" s="229">
        <v>6.0499999999999998E-2</v>
      </c>
      <c r="CI26" s="230">
        <v>552000</v>
      </c>
      <c r="CJ26" s="230">
        <v>401925</v>
      </c>
      <c r="CK26" s="230">
        <v>150075</v>
      </c>
      <c r="CL26" s="229">
        <v>0.37340000000000001</v>
      </c>
      <c r="CM26" s="230">
        <v>87576250</v>
      </c>
      <c r="CN26" s="230">
        <v>68892800</v>
      </c>
      <c r="CO26" s="230">
        <v>18683450</v>
      </c>
      <c r="CP26" s="229">
        <v>0.2712</v>
      </c>
      <c r="CQ26" s="230">
        <v>37388800</v>
      </c>
      <c r="CR26" s="230">
        <v>38784000</v>
      </c>
      <c r="CS26" s="230">
        <v>-1395200</v>
      </c>
      <c r="CT26" s="229">
        <v>-3.5999999999999997E-2</v>
      </c>
      <c r="CU26" s="230">
        <v>300419450</v>
      </c>
      <c r="CV26" s="230">
        <v>281355525</v>
      </c>
      <c r="CW26" s="230">
        <v>19063925</v>
      </c>
      <c r="CX26" s="229">
        <v>6.7799999999999999E-2</v>
      </c>
      <c r="CY26" s="228">
        <v>22.31</v>
      </c>
      <c r="CZ26" s="228">
        <v>22.21</v>
      </c>
      <c r="DA26" s="228">
        <v>0.1</v>
      </c>
      <c r="DB26" s="228">
        <v>0.1</v>
      </c>
      <c r="DC26" s="228">
        <v>24.7</v>
      </c>
      <c r="DD26" s="228">
        <v>24.7</v>
      </c>
      <c r="DE26" s="228">
        <v>-2.39</v>
      </c>
      <c r="DF26" s="228">
        <v>0</v>
      </c>
      <c r="DG26" s="228">
        <v>22.34</v>
      </c>
      <c r="DH26" s="228">
        <v>22.25</v>
      </c>
      <c r="DI26" s="228">
        <v>0.09</v>
      </c>
      <c r="DJ26" s="228">
        <v>0.09</v>
      </c>
      <c r="DK26" s="228">
        <v>22.21</v>
      </c>
      <c r="DL26" s="228">
        <v>22.1</v>
      </c>
      <c r="DM26" s="228">
        <v>0.11</v>
      </c>
      <c r="DN26" s="228">
        <v>0.11</v>
      </c>
      <c r="DO26" s="228">
        <v>0.43</v>
      </c>
      <c r="DP26" s="228">
        <v>0.56000000000000005</v>
      </c>
      <c r="DQ26" s="228">
        <v>-0.13</v>
      </c>
      <c r="DR26" s="229">
        <v>-0.2321</v>
      </c>
      <c r="DS26" s="228">
        <v>320</v>
      </c>
      <c r="DT26" s="228">
        <v>290</v>
      </c>
      <c r="DU26" s="228">
        <v>0.27</v>
      </c>
      <c r="DV26" s="228">
        <v>0.35</v>
      </c>
      <c r="DW26" s="228">
        <v>-0.08</v>
      </c>
      <c r="DX26" s="229">
        <v>-0.2286</v>
      </c>
      <c r="DY26" s="229">
        <v>0.11940000000000001</v>
      </c>
      <c r="DZ26" s="230">
        <v>19640325</v>
      </c>
      <c r="EA26" s="229">
        <v>6.1000000000000004E-3</v>
      </c>
      <c r="EB26" s="229">
        <v>0.11940000000000001</v>
      </c>
      <c r="EC26" s="228">
        <v>2</v>
      </c>
      <c r="ED26" s="229">
        <v>6.4000000000000003E-3</v>
      </c>
      <c r="EE26" s="230">
        <v>12474144</v>
      </c>
      <c r="EF26" s="230">
        <v>5578160</v>
      </c>
      <c r="EG26" s="229">
        <v>1.2362</v>
      </c>
      <c r="EH26" s="229">
        <v>0.57899999999999996</v>
      </c>
      <c r="EI26" s="231">
        <v>486433.72</v>
      </c>
      <c r="EJ26" s="231">
        <v>125952.85</v>
      </c>
      <c r="EK26" s="231">
        <v>63170.75</v>
      </c>
      <c r="EL26" s="231">
        <v>39450</v>
      </c>
      <c r="EM26" s="231">
        <v>675557.32</v>
      </c>
      <c r="EN26" s="231">
        <v>575815.32999999996</v>
      </c>
      <c r="EO26" s="231">
        <v>99741.99</v>
      </c>
      <c r="EP26" s="229">
        <v>0.17319999999999999</v>
      </c>
      <c r="EQ26" s="231">
        <v>285720</v>
      </c>
      <c r="ER26" s="231">
        <v>115340</v>
      </c>
      <c r="ES26" s="231">
        <v>548877</v>
      </c>
      <c r="ET26" s="231">
        <v>1317896781</v>
      </c>
      <c r="EU26" s="231">
        <v>949937</v>
      </c>
      <c r="EV26" s="231">
        <v>893153</v>
      </c>
      <c r="EW26" s="231">
        <v>56784</v>
      </c>
      <c r="EX26" s="229">
        <v>6.3600000000000004E-2</v>
      </c>
      <c r="EY26" s="229">
        <v>0.22800000000000001</v>
      </c>
    </row>
    <row r="27" spans="1:155" ht="17.25" thickBot="1" x14ac:dyDescent="0.3">
      <c r="A27" s="226">
        <v>46146</v>
      </c>
      <c r="B27" s="227" t="s">
        <v>175</v>
      </c>
      <c r="C27" s="227" t="s">
        <v>569</v>
      </c>
      <c r="D27" s="228">
        <v>254.4</v>
      </c>
      <c r="E27" s="228">
        <v>247.12</v>
      </c>
      <c r="F27" s="228">
        <v>7.28</v>
      </c>
      <c r="G27" s="229">
        <v>2.9499999999999998E-2</v>
      </c>
      <c r="H27" s="228">
        <v>252.74</v>
      </c>
      <c r="I27" s="228">
        <v>246.37</v>
      </c>
      <c r="J27" s="228">
        <v>6.37</v>
      </c>
      <c r="K27" s="229">
        <v>2.5899999999999999E-2</v>
      </c>
      <c r="L27" s="228">
        <v>254.4</v>
      </c>
      <c r="M27" s="228">
        <v>247.12</v>
      </c>
      <c r="N27" s="228">
        <v>7.28</v>
      </c>
      <c r="O27" s="229">
        <v>2.9499999999999998E-2</v>
      </c>
      <c r="P27" s="228">
        <v>256.05</v>
      </c>
      <c r="Q27" s="228">
        <v>248.86</v>
      </c>
      <c r="R27" s="228">
        <v>7.19</v>
      </c>
      <c r="S27" s="229">
        <v>2.8899999999999999E-2</v>
      </c>
      <c r="T27" s="228">
        <v>257.39999999999998</v>
      </c>
      <c r="U27" s="228">
        <v>250.28</v>
      </c>
      <c r="V27" s="228">
        <v>7.12</v>
      </c>
      <c r="W27" s="229">
        <v>2.8400000000000002E-2</v>
      </c>
      <c r="X27" s="228">
        <v>1.66</v>
      </c>
      <c r="Y27" s="228">
        <v>0.75</v>
      </c>
      <c r="Z27" s="228">
        <v>0.91</v>
      </c>
      <c r="AA27" s="229">
        <v>6.6E-3</v>
      </c>
      <c r="AB27" s="228">
        <v>1.66</v>
      </c>
      <c r="AC27" s="228">
        <v>0.75</v>
      </c>
      <c r="AD27" s="228">
        <v>0.91</v>
      </c>
      <c r="AE27" s="229">
        <v>6.6E-3</v>
      </c>
      <c r="AF27" s="228">
        <v>3.31</v>
      </c>
      <c r="AG27" s="228">
        <v>2.4900000000000002</v>
      </c>
      <c r="AH27" s="228">
        <v>0.82</v>
      </c>
      <c r="AI27" s="229">
        <v>1.3100000000000001E-2</v>
      </c>
      <c r="AJ27" s="228">
        <v>4.66</v>
      </c>
      <c r="AK27" s="228">
        <v>3.91</v>
      </c>
      <c r="AL27" s="228">
        <v>0.75</v>
      </c>
      <c r="AM27" s="229">
        <v>1.84E-2</v>
      </c>
      <c r="AN27" s="228">
        <v>252.6</v>
      </c>
      <c r="AO27" s="228">
        <v>254.19</v>
      </c>
      <c r="AP27" s="228">
        <v>0</v>
      </c>
      <c r="AQ27" s="230">
        <v>10682</v>
      </c>
      <c r="AR27" s="230">
        <v>9901</v>
      </c>
      <c r="AS27" s="228">
        <v>781</v>
      </c>
      <c r="AT27" s="229">
        <v>7.8899999999999998E-2</v>
      </c>
      <c r="AU27" s="230">
        <v>9391</v>
      </c>
      <c r="AV27" s="230">
        <v>8993</v>
      </c>
      <c r="AW27" s="228">
        <v>398</v>
      </c>
      <c r="AX27" s="229">
        <v>4.4299999999999999E-2</v>
      </c>
      <c r="AY27" s="230">
        <v>1158</v>
      </c>
      <c r="AZ27" s="228">
        <v>804</v>
      </c>
      <c r="BA27" s="228">
        <v>354</v>
      </c>
      <c r="BB27" s="229">
        <v>0.44030000000000002</v>
      </c>
      <c r="BC27" s="228">
        <v>133</v>
      </c>
      <c r="BD27" s="228">
        <v>104</v>
      </c>
      <c r="BE27" s="228">
        <v>29</v>
      </c>
      <c r="BF27" s="229">
        <v>0.27879999999999999</v>
      </c>
      <c r="BG27" s="230">
        <v>21946</v>
      </c>
      <c r="BH27" s="230">
        <v>23175</v>
      </c>
      <c r="BI27" s="230">
        <v>-1229</v>
      </c>
      <c r="BJ27" s="229">
        <v>-5.2999999999999999E-2</v>
      </c>
      <c r="BK27" s="230">
        <v>10511</v>
      </c>
      <c r="BL27" s="230">
        <v>10105</v>
      </c>
      <c r="BM27" s="228">
        <v>406</v>
      </c>
      <c r="BN27" s="229">
        <v>4.02E-2</v>
      </c>
      <c r="BO27" s="230">
        <v>43139</v>
      </c>
      <c r="BP27" s="230">
        <v>43181</v>
      </c>
      <c r="BQ27" s="228">
        <v>-42</v>
      </c>
      <c r="BR27" s="229">
        <v>-1E-3</v>
      </c>
      <c r="BS27" s="230">
        <v>19507567</v>
      </c>
      <c r="BT27" s="230">
        <v>21477995</v>
      </c>
      <c r="BU27" s="230">
        <v>-1970428</v>
      </c>
      <c r="BV27" s="229">
        <v>-9.1700000000000004E-2</v>
      </c>
      <c r="BW27" s="230">
        <v>199503250</v>
      </c>
      <c r="BX27" s="230">
        <v>200621850</v>
      </c>
      <c r="BY27" s="230">
        <v>-1118600</v>
      </c>
      <c r="BZ27" s="229">
        <v>-5.5999999999999999E-3</v>
      </c>
      <c r="CA27" s="230">
        <v>179062950</v>
      </c>
      <c r="CB27" s="230">
        <v>181429400</v>
      </c>
      <c r="CC27" s="230">
        <v>-2366450</v>
      </c>
      <c r="CD27" s="229">
        <v>-1.2999999999999999E-2</v>
      </c>
      <c r="CE27" s="230">
        <v>19986750</v>
      </c>
      <c r="CF27" s="230">
        <v>18828200</v>
      </c>
      <c r="CG27" s="230">
        <v>1158550</v>
      </c>
      <c r="CH27" s="229">
        <v>6.1499999999999999E-2</v>
      </c>
      <c r="CI27" s="230">
        <v>453550</v>
      </c>
      <c r="CJ27" s="230">
        <v>364250</v>
      </c>
      <c r="CK27" s="230">
        <v>89300</v>
      </c>
      <c r="CL27" s="229">
        <v>0.2452</v>
      </c>
      <c r="CM27" s="230">
        <v>55779600</v>
      </c>
      <c r="CN27" s="230">
        <v>54785550</v>
      </c>
      <c r="CO27" s="230">
        <v>994050</v>
      </c>
      <c r="CP27" s="229">
        <v>1.8100000000000002E-2</v>
      </c>
      <c r="CQ27" s="230">
        <v>37825600</v>
      </c>
      <c r="CR27" s="230">
        <v>36293400</v>
      </c>
      <c r="CS27" s="230">
        <v>1532200</v>
      </c>
      <c r="CT27" s="229">
        <v>4.2200000000000001E-2</v>
      </c>
      <c r="CU27" s="230">
        <v>293108450</v>
      </c>
      <c r="CV27" s="230">
        <v>291700800</v>
      </c>
      <c r="CW27" s="230">
        <v>1407650</v>
      </c>
      <c r="CX27" s="229">
        <v>4.7999999999999996E-3</v>
      </c>
      <c r="CY27" s="228">
        <v>36.159999999999997</v>
      </c>
      <c r="CZ27" s="228">
        <v>36.4</v>
      </c>
      <c r="DA27" s="228">
        <v>-0.24</v>
      </c>
      <c r="DB27" s="228">
        <v>-0.24</v>
      </c>
      <c r="DC27" s="228">
        <v>37.83</v>
      </c>
      <c r="DD27" s="228">
        <v>37.72</v>
      </c>
      <c r="DE27" s="228">
        <v>-1.67</v>
      </c>
      <c r="DF27" s="228">
        <v>0.11</v>
      </c>
      <c r="DG27" s="228">
        <v>36.01</v>
      </c>
      <c r="DH27" s="228">
        <v>36.72</v>
      </c>
      <c r="DI27" s="228">
        <v>-0.71</v>
      </c>
      <c r="DJ27" s="228">
        <v>-0.71</v>
      </c>
      <c r="DK27" s="228">
        <v>36.479999999999997</v>
      </c>
      <c r="DL27" s="228">
        <v>35.67</v>
      </c>
      <c r="DM27" s="228">
        <v>0.81</v>
      </c>
      <c r="DN27" s="228">
        <v>0.81</v>
      </c>
      <c r="DO27" s="228">
        <v>0.68</v>
      </c>
      <c r="DP27" s="228">
        <v>0.66</v>
      </c>
      <c r="DQ27" s="228">
        <v>0.02</v>
      </c>
      <c r="DR27" s="229">
        <v>3.0300000000000001E-2</v>
      </c>
      <c r="DS27" s="228">
        <v>250</v>
      </c>
      <c r="DT27" s="228">
        <v>250</v>
      </c>
      <c r="DU27" s="228">
        <v>0.48</v>
      </c>
      <c r="DV27" s="228">
        <v>0.44</v>
      </c>
      <c r="DW27" s="228">
        <v>0.04</v>
      </c>
      <c r="DX27" s="229">
        <v>9.0899999999999995E-2</v>
      </c>
      <c r="DY27" s="229">
        <v>0.10249999999999999</v>
      </c>
      <c r="DZ27" s="230">
        <v>19192450</v>
      </c>
      <c r="EA27" s="229">
        <v>6.4999999999999997E-3</v>
      </c>
      <c r="EB27" s="229">
        <v>0.10249999999999999</v>
      </c>
      <c r="EC27" s="228">
        <v>1.59</v>
      </c>
      <c r="ED27" s="229">
        <v>6.3E-3</v>
      </c>
      <c r="EE27" s="230">
        <v>8474598</v>
      </c>
      <c r="EF27" s="230">
        <v>8055540</v>
      </c>
      <c r="EG27" s="229">
        <v>5.1999999999999998E-2</v>
      </c>
      <c r="EH27" s="229">
        <v>0.43440000000000001</v>
      </c>
      <c r="EI27" s="231">
        <v>138193.06</v>
      </c>
      <c r="EJ27" s="231">
        <v>60729.23</v>
      </c>
      <c r="EK27" s="231">
        <v>63460.39</v>
      </c>
      <c r="EL27" s="231">
        <v>24528</v>
      </c>
      <c r="EM27" s="231">
        <v>262382.68</v>
      </c>
      <c r="EN27" s="231">
        <v>259770.72</v>
      </c>
      <c r="EO27" s="231">
        <v>2611.96</v>
      </c>
      <c r="EP27" s="229">
        <v>1.01E-2</v>
      </c>
      <c r="EQ27" s="231">
        <v>147107</v>
      </c>
      <c r="ER27" s="231">
        <v>94320</v>
      </c>
      <c r="ES27" s="231">
        <v>507880</v>
      </c>
      <c r="ET27" s="231">
        <v>490240515</v>
      </c>
      <c r="EU27" s="231">
        <v>749307</v>
      </c>
      <c r="EV27" s="231">
        <v>730813</v>
      </c>
      <c r="EW27" s="231">
        <v>18494</v>
      </c>
      <c r="EX27" s="229">
        <v>2.53E-2</v>
      </c>
      <c r="EY27" s="229">
        <v>0.59789999999999999</v>
      </c>
    </row>
    <row r="28" spans="1:155" ht="17.25" thickBot="1" x14ac:dyDescent="0.3">
      <c r="A28" s="226">
        <v>46146</v>
      </c>
      <c r="B28" s="227" t="s">
        <v>227</v>
      </c>
      <c r="C28" s="227" t="s">
        <v>244</v>
      </c>
      <c r="D28" s="231">
        <v>1273.9000000000001</v>
      </c>
      <c r="E28" s="231">
        <v>1270.3</v>
      </c>
      <c r="F28" s="228">
        <v>3.6</v>
      </c>
      <c r="G28" s="229">
        <v>2.8E-3</v>
      </c>
      <c r="H28" s="231">
        <v>1266.5999999999999</v>
      </c>
      <c r="I28" s="231">
        <v>1264.5</v>
      </c>
      <c r="J28" s="228">
        <v>2.1</v>
      </c>
      <c r="K28" s="229">
        <v>1.6999999999999999E-3</v>
      </c>
      <c r="L28" s="231">
        <v>1273.9000000000001</v>
      </c>
      <c r="M28" s="231">
        <v>1270.3</v>
      </c>
      <c r="N28" s="228">
        <v>3.6</v>
      </c>
      <c r="O28" s="229">
        <v>2.8E-3</v>
      </c>
      <c r="P28" s="231">
        <v>1281.5</v>
      </c>
      <c r="Q28" s="231">
        <v>1279.0999999999999</v>
      </c>
      <c r="R28" s="228">
        <v>2.4</v>
      </c>
      <c r="S28" s="229">
        <v>1.9E-3</v>
      </c>
      <c r="T28" s="231">
        <v>1288.4000000000001</v>
      </c>
      <c r="U28" s="231">
        <v>1282.5</v>
      </c>
      <c r="V28" s="228">
        <v>5.9</v>
      </c>
      <c r="W28" s="229">
        <v>4.5999999999999999E-3</v>
      </c>
      <c r="X28" s="228">
        <v>7.3</v>
      </c>
      <c r="Y28" s="228">
        <v>5.8</v>
      </c>
      <c r="Z28" s="228">
        <v>1.5</v>
      </c>
      <c r="AA28" s="229">
        <v>5.7999999999999996E-3</v>
      </c>
      <c r="AB28" s="228">
        <v>7.3</v>
      </c>
      <c r="AC28" s="228">
        <v>5.8</v>
      </c>
      <c r="AD28" s="228">
        <v>1.5</v>
      </c>
      <c r="AE28" s="229">
        <v>5.7999999999999996E-3</v>
      </c>
      <c r="AF28" s="228">
        <v>14.9</v>
      </c>
      <c r="AG28" s="228">
        <v>14.6</v>
      </c>
      <c r="AH28" s="228">
        <v>0.3</v>
      </c>
      <c r="AI28" s="229">
        <v>1.18E-2</v>
      </c>
      <c r="AJ28" s="228">
        <v>21.8</v>
      </c>
      <c r="AK28" s="228">
        <v>18</v>
      </c>
      <c r="AL28" s="228">
        <v>3.8</v>
      </c>
      <c r="AM28" s="229">
        <v>1.72E-2</v>
      </c>
      <c r="AN28" s="231">
        <v>1277.3699999999999</v>
      </c>
      <c r="AO28" s="231">
        <v>1285.1199999999999</v>
      </c>
      <c r="AP28" s="228">
        <v>0</v>
      </c>
      <c r="AQ28" s="230">
        <v>5323</v>
      </c>
      <c r="AR28" s="230">
        <v>3038</v>
      </c>
      <c r="AS28" s="230">
        <v>2285</v>
      </c>
      <c r="AT28" s="229">
        <v>0.75209999999999999</v>
      </c>
      <c r="AU28" s="230">
        <v>5108</v>
      </c>
      <c r="AV28" s="230">
        <v>2905</v>
      </c>
      <c r="AW28" s="230">
        <v>2203</v>
      </c>
      <c r="AX28" s="229">
        <v>0.75829999999999997</v>
      </c>
      <c r="AY28" s="228">
        <v>214</v>
      </c>
      <c r="AZ28" s="228">
        <v>115</v>
      </c>
      <c r="BA28" s="228">
        <v>99</v>
      </c>
      <c r="BB28" s="229">
        <v>0.8609</v>
      </c>
      <c r="BC28" s="228">
        <v>1</v>
      </c>
      <c r="BD28" s="228">
        <v>18</v>
      </c>
      <c r="BE28" s="228">
        <v>-17</v>
      </c>
      <c r="BF28" s="229">
        <v>-0.94440000000000002</v>
      </c>
      <c r="BG28" s="230">
        <v>6690</v>
      </c>
      <c r="BH28" s="230">
        <v>5331</v>
      </c>
      <c r="BI28" s="230">
        <v>1359</v>
      </c>
      <c r="BJ28" s="229">
        <v>0.25490000000000002</v>
      </c>
      <c r="BK28" s="230">
        <v>4144</v>
      </c>
      <c r="BL28" s="230">
        <v>4311</v>
      </c>
      <c r="BM28" s="228">
        <v>-167</v>
      </c>
      <c r="BN28" s="229">
        <v>-3.8699999999999998E-2</v>
      </c>
      <c r="BO28" s="230">
        <v>16157</v>
      </c>
      <c r="BP28" s="230">
        <v>12680</v>
      </c>
      <c r="BQ28" s="230">
        <v>3477</v>
      </c>
      <c r="BR28" s="229">
        <v>0.2742</v>
      </c>
      <c r="BS28" s="230">
        <v>1596002</v>
      </c>
      <c r="BT28" s="230">
        <v>1512691</v>
      </c>
      <c r="BU28" s="230">
        <v>83311</v>
      </c>
      <c r="BV28" s="229">
        <v>5.5100000000000003E-2</v>
      </c>
      <c r="BW28" s="230">
        <v>49495050</v>
      </c>
      <c r="BX28" s="230">
        <v>49322250</v>
      </c>
      <c r="BY28" s="230">
        <v>172800</v>
      </c>
      <c r="BZ28" s="229">
        <v>3.5000000000000001E-3</v>
      </c>
      <c r="CA28" s="230">
        <v>48446100</v>
      </c>
      <c r="CB28" s="230">
        <v>48332025</v>
      </c>
      <c r="CC28" s="230">
        <v>114075</v>
      </c>
      <c r="CD28" s="229">
        <v>2.3999999999999998E-3</v>
      </c>
      <c r="CE28" s="230">
        <v>1036800</v>
      </c>
      <c r="CF28" s="230">
        <v>978750</v>
      </c>
      <c r="CG28" s="230">
        <v>58050</v>
      </c>
      <c r="CH28" s="229">
        <v>5.9299999999999999E-2</v>
      </c>
      <c r="CI28" s="230">
        <v>12150</v>
      </c>
      <c r="CJ28" s="230">
        <v>11475</v>
      </c>
      <c r="CK28" s="228">
        <v>675</v>
      </c>
      <c r="CL28" s="229">
        <v>5.8799999999999998E-2</v>
      </c>
      <c r="CM28" s="230">
        <v>4518450</v>
      </c>
      <c r="CN28" s="230">
        <v>3869775</v>
      </c>
      <c r="CO28" s="230">
        <v>648675</v>
      </c>
      <c r="CP28" s="229">
        <v>0.1676</v>
      </c>
      <c r="CQ28" s="230">
        <v>3464100</v>
      </c>
      <c r="CR28" s="230">
        <v>3415500</v>
      </c>
      <c r="CS28" s="230">
        <v>48600</v>
      </c>
      <c r="CT28" s="229">
        <v>1.4200000000000001E-2</v>
      </c>
      <c r="CU28" s="230">
        <v>57477600</v>
      </c>
      <c r="CV28" s="230">
        <v>56607525</v>
      </c>
      <c r="CW28" s="230">
        <v>870075</v>
      </c>
      <c r="CX28" s="229">
        <v>1.54E-2</v>
      </c>
      <c r="CY28" s="228">
        <v>30.08</v>
      </c>
      <c r="CZ28" s="228">
        <v>28.38</v>
      </c>
      <c r="DA28" s="228">
        <v>1.7</v>
      </c>
      <c r="DB28" s="228">
        <v>1.7</v>
      </c>
      <c r="DC28" s="228">
        <v>31.71</v>
      </c>
      <c r="DD28" s="228">
        <v>31.79</v>
      </c>
      <c r="DE28" s="228">
        <v>-1.63</v>
      </c>
      <c r="DF28" s="228">
        <v>-0.08</v>
      </c>
      <c r="DG28" s="228">
        <v>30.07</v>
      </c>
      <c r="DH28" s="228">
        <v>28.31</v>
      </c>
      <c r="DI28" s="228">
        <v>1.76</v>
      </c>
      <c r="DJ28" s="228">
        <v>1.76</v>
      </c>
      <c r="DK28" s="228">
        <v>30.1</v>
      </c>
      <c r="DL28" s="228">
        <v>28.46</v>
      </c>
      <c r="DM28" s="228">
        <v>1.64</v>
      </c>
      <c r="DN28" s="228">
        <v>1.64</v>
      </c>
      <c r="DO28" s="228">
        <v>0.77</v>
      </c>
      <c r="DP28" s="228">
        <v>0.88</v>
      </c>
      <c r="DQ28" s="228">
        <v>-0.11</v>
      </c>
      <c r="DR28" s="229">
        <v>-0.125</v>
      </c>
      <c r="DS28" s="231">
        <v>1300</v>
      </c>
      <c r="DT28" s="231">
        <v>1240</v>
      </c>
      <c r="DU28" s="228">
        <v>0.62</v>
      </c>
      <c r="DV28" s="228">
        <v>0.81</v>
      </c>
      <c r="DW28" s="228">
        <v>-0.19</v>
      </c>
      <c r="DX28" s="229">
        <v>-0.2346</v>
      </c>
      <c r="DY28" s="229">
        <v>2.12E-2</v>
      </c>
      <c r="DZ28" s="230">
        <v>990225</v>
      </c>
      <c r="EA28" s="229">
        <v>6.0000000000000001E-3</v>
      </c>
      <c r="EB28" s="229">
        <v>2.12E-2</v>
      </c>
      <c r="EC28" s="228">
        <v>7.75</v>
      </c>
      <c r="ED28" s="229">
        <v>6.1000000000000004E-3</v>
      </c>
      <c r="EE28" s="230">
        <v>654748</v>
      </c>
      <c r="EF28" s="230">
        <v>688459</v>
      </c>
      <c r="EG28" s="229">
        <v>-4.9000000000000002E-2</v>
      </c>
      <c r="EH28" s="229">
        <v>0.41020000000000001</v>
      </c>
      <c r="EI28" s="231">
        <v>60674.58</v>
      </c>
      <c r="EJ28" s="231">
        <v>35255.33</v>
      </c>
      <c r="EK28" s="231">
        <v>45907.59</v>
      </c>
      <c r="EL28" s="231">
        <v>11206</v>
      </c>
      <c r="EM28" s="231">
        <v>141837.5</v>
      </c>
      <c r="EN28" s="231">
        <v>110140.09</v>
      </c>
      <c r="EO28" s="231">
        <v>31697.41</v>
      </c>
      <c r="EP28" s="229">
        <v>0.2878</v>
      </c>
      <c r="EQ28" s="231">
        <v>59563</v>
      </c>
      <c r="ER28" s="231">
        <v>41987</v>
      </c>
      <c r="ES28" s="231">
        <v>630598</v>
      </c>
      <c r="ET28" s="231">
        <v>133242960</v>
      </c>
      <c r="EU28" s="231">
        <v>732148</v>
      </c>
      <c r="EV28" s="231">
        <v>719008</v>
      </c>
      <c r="EW28" s="231">
        <v>13140</v>
      </c>
      <c r="EX28" s="229">
        <v>1.83E-2</v>
      </c>
      <c r="EY28" s="229">
        <v>0.43140000000000001</v>
      </c>
    </row>
    <row r="29" spans="1:155" ht="17.25" thickBot="1" x14ac:dyDescent="0.3">
      <c r="A29" s="226">
        <v>46146</v>
      </c>
      <c r="B29" s="227" t="s">
        <v>172</v>
      </c>
      <c r="C29" s="227" t="s">
        <v>246</v>
      </c>
      <c r="D29" s="228">
        <v>372.5</v>
      </c>
      <c r="E29" s="228">
        <v>385.9</v>
      </c>
      <c r="F29" s="228">
        <v>-13.4</v>
      </c>
      <c r="G29" s="229">
        <v>-3.4700000000000002E-2</v>
      </c>
      <c r="H29" s="228">
        <v>371.65</v>
      </c>
      <c r="I29" s="228">
        <v>383.3</v>
      </c>
      <c r="J29" s="228">
        <v>-11.65</v>
      </c>
      <c r="K29" s="229">
        <v>-3.04E-2</v>
      </c>
      <c r="L29" s="228">
        <v>372.5</v>
      </c>
      <c r="M29" s="228">
        <v>385.9</v>
      </c>
      <c r="N29" s="228">
        <v>-13.4</v>
      </c>
      <c r="O29" s="229">
        <v>-3.4700000000000002E-2</v>
      </c>
      <c r="P29" s="228">
        <v>374.95</v>
      </c>
      <c r="Q29" s="228">
        <v>387.75</v>
      </c>
      <c r="R29" s="228">
        <v>-12.8</v>
      </c>
      <c r="S29" s="229">
        <v>-3.3000000000000002E-2</v>
      </c>
      <c r="T29" s="228">
        <v>376.6</v>
      </c>
      <c r="U29" s="228">
        <v>388.95</v>
      </c>
      <c r="V29" s="228">
        <v>-12.35</v>
      </c>
      <c r="W29" s="229">
        <v>-3.1800000000000002E-2</v>
      </c>
      <c r="X29" s="228">
        <v>0.85</v>
      </c>
      <c r="Y29" s="228">
        <v>2.6</v>
      </c>
      <c r="Z29" s="228">
        <v>-1.75</v>
      </c>
      <c r="AA29" s="229">
        <v>2.3E-3</v>
      </c>
      <c r="AB29" s="228">
        <v>0.85</v>
      </c>
      <c r="AC29" s="228">
        <v>2.6</v>
      </c>
      <c r="AD29" s="228">
        <v>-1.75</v>
      </c>
      <c r="AE29" s="229">
        <v>2.3E-3</v>
      </c>
      <c r="AF29" s="228">
        <v>3.3</v>
      </c>
      <c r="AG29" s="228">
        <v>4.45</v>
      </c>
      <c r="AH29" s="228">
        <v>-1.1499999999999999</v>
      </c>
      <c r="AI29" s="229">
        <v>8.8999999999999999E-3</v>
      </c>
      <c r="AJ29" s="228">
        <v>4.95</v>
      </c>
      <c r="AK29" s="228">
        <v>5.65</v>
      </c>
      <c r="AL29" s="228">
        <v>-0.7</v>
      </c>
      <c r="AM29" s="229">
        <v>1.3299999999999999E-2</v>
      </c>
      <c r="AN29" s="228">
        <v>372.66</v>
      </c>
      <c r="AO29" s="228">
        <v>375.64</v>
      </c>
      <c r="AP29" s="228">
        <v>0</v>
      </c>
      <c r="AQ29" s="230">
        <v>41595</v>
      </c>
      <c r="AR29" s="230">
        <v>19599</v>
      </c>
      <c r="AS29" s="230">
        <v>21996</v>
      </c>
      <c r="AT29" s="229">
        <v>1.1223000000000001</v>
      </c>
      <c r="AU29" s="230">
        <v>39313</v>
      </c>
      <c r="AV29" s="230">
        <v>18040</v>
      </c>
      <c r="AW29" s="230">
        <v>21273</v>
      </c>
      <c r="AX29" s="229">
        <v>1.1792</v>
      </c>
      <c r="AY29" s="230">
        <v>2072</v>
      </c>
      <c r="AZ29" s="230">
        <v>1497</v>
      </c>
      <c r="BA29" s="228">
        <v>575</v>
      </c>
      <c r="BB29" s="229">
        <v>0.3841</v>
      </c>
      <c r="BC29" s="228">
        <v>210</v>
      </c>
      <c r="BD29" s="228">
        <v>62</v>
      </c>
      <c r="BE29" s="228">
        <v>148</v>
      </c>
      <c r="BF29" s="229">
        <v>2.3871000000000002</v>
      </c>
      <c r="BG29" s="230">
        <v>78609</v>
      </c>
      <c r="BH29" s="230">
        <v>22812</v>
      </c>
      <c r="BI29" s="230">
        <v>55797</v>
      </c>
      <c r="BJ29" s="229">
        <v>2.4459</v>
      </c>
      <c r="BK29" s="230">
        <v>37448</v>
      </c>
      <c r="BL29" s="230">
        <v>15241</v>
      </c>
      <c r="BM29" s="230">
        <v>22207</v>
      </c>
      <c r="BN29" s="229">
        <v>1.4571000000000001</v>
      </c>
      <c r="BO29" s="230">
        <v>157652</v>
      </c>
      <c r="BP29" s="230">
        <v>57652</v>
      </c>
      <c r="BQ29" s="230">
        <v>100000</v>
      </c>
      <c r="BR29" s="229">
        <v>1.7344999999999999</v>
      </c>
      <c r="BS29" s="230">
        <v>80480790</v>
      </c>
      <c r="BT29" s="230">
        <v>26168375</v>
      </c>
      <c r="BU29" s="230">
        <v>54312415</v>
      </c>
      <c r="BV29" s="229">
        <v>2.0754999999999999</v>
      </c>
      <c r="BW29" s="230">
        <v>227986000</v>
      </c>
      <c r="BX29" s="230">
        <v>242138000</v>
      </c>
      <c r="BY29" s="230">
        <v>-14152000</v>
      </c>
      <c r="BZ29" s="229">
        <v>-5.8400000000000001E-2</v>
      </c>
      <c r="CA29" s="230">
        <v>186694000</v>
      </c>
      <c r="CB29" s="230">
        <v>203606000</v>
      </c>
      <c r="CC29" s="230">
        <v>-16912000</v>
      </c>
      <c r="CD29" s="229">
        <v>-8.3099999999999993E-2</v>
      </c>
      <c r="CE29" s="230">
        <v>40806000</v>
      </c>
      <c r="CF29" s="230">
        <v>38354000</v>
      </c>
      <c r="CG29" s="230">
        <v>2452000</v>
      </c>
      <c r="CH29" s="229">
        <v>6.3899999999999998E-2</v>
      </c>
      <c r="CI29" s="230">
        <v>486000</v>
      </c>
      <c r="CJ29" s="230">
        <v>178000</v>
      </c>
      <c r="CK29" s="230">
        <v>308000</v>
      </c>
      <c r="CL29" s="229">
        <v>1.7302999999999999</v>
      </c>
      <c r="CM29" s="230">
        <v>48982000</v>
      </c>
      <c r="CN29" s="230">
        <v>30964000</v>
      </c>
      <c r="CO29" s="230">
        <v>18018000</v>
      </c>
      <c r="CP29" s="229">
        <v>0.58189999999999997</v>
      </c>
      <c r="CQ29" s="230">
        <v>31886000</v>
      </c>
      <c r="CR29" s="230">
        <v>30422000</v>
      </c>
      <c r="CS29" s="230">
        <v>1464000</v>
      </c>
      <c r="CT29" s="229">
        <v>4.8099999999999997E-2</v>
      </c>
      <c r="CU29" s="230">
        <v>308854000</v>
      </c>
      <c r="CV29" s="230">
        <v>303524000</v>
      </c>
      <c r="CW29" s="230">
        <v>5330000</v>
      </c>
      <c r="CX29" s="229">
        <v>1.7600000000000001E-2</v>
      </c>
      <c r="CY29" s="228">
        <v>27</v>
      </c>
      <c r="CZ29" s="228">
        <v>32.96</v>
      </c>
      <c r="DA29" s="228">
        <v>-5.96</v>
      </c>
      <c r="DB29" s="228">
        <v>-5.96</v>
      </c>
      <c r="DC29" s="228">
        <v>27.34</v>
      </c>
      <c r="DD29" s="228">
        <v>27.09</v>
      </c>
      <c r="DE29" s="228">
        <v>-0.34</v>
      </c>
      <c r="DF29" s="228">
        <v>0.25</v>
      </c>
      <c r="DG29" s="228">
        <v>26.84</v>
      </c>
      <c r="DH29" s="228">
        <v>32.11</v>
      </c>
      <c r="DI29" s="228">
        <v>-5.27</v>
      </c>
      <c r="DJ29" s="228">
        <v>-5.27</v>
      </c>
      <c r="DK29" s="228">
        <v>27.34</v>
      </c>
      <c r="DL29" s="228">
        <v>34.229999999999997</v>
      </c>
      <c r="DM29" s="228">
        <v>-6.89</v>
      </c>
      <c r="DN29" s="228">
        <v>-6.89</v>
      </c>
      <c r="DO29" s="228">
        <v>0.65</v>
      </c>
      <c r="DP29" s="228">
        <v>0.98</v>
      </c>
      <c r="DQ29" s="228">
        <v>-0.33</v>
      </c>
      <c r="DR29" s="229">
        <v>-0.3367</v>
      </c>
      <c r="DS29" s="228">
        <v>400</v>
      </c>
      <c r="DT29" s="228">
        <v>360</v>
      </c>
      <c r="DU29" s="228">
        <v>0.48</v>
      </c>
      <c r="DV29" s="228">
        <v>0.67</v>
      </c>
      <c r="DW29" s="228">
        <v>-0.19</v>
      </c>
      <c r="DX29" s="229">
        <v>-0.28360000000000002</v>
      </c>
      <c r="DY29" s="229">
        <v>0.18110000000000001</v>
      </c>
      <c r="DZ29" s="230">
        <v>38532000</v>
      </c>
      <c r="EA29" s="229">
        <v>6.6E-3</v>
      </c>
      <c r="EB29" s="229">
        <v>0.18110000000000001</v>
      </c>
      <c r="EC29" s="228">
        <v>2.98</v>
      </c>
      <c r="ED29" s="229">
        <v>8.0000000000000002E-3</v>
      </c>
      <c r="EE29" s="230">
        <v>56219341</v>
      </c>
      <c r="EF29" s="230">
        <v>16226636</v>
      </c>
      <c r="EG29" s="229">
        <v>2.4645999999999999</v>
      </c>
      <c r="EH29" s="229">
        <v>0.69850000000000001</v>
      </c>
      <c r="EI29" s="231">
        <v>619359.17000000004</v>
      </c>
      <c r="EJ29" s="231">
        <v>279839.08</v>
      </c>
      <c r="EK29" s="231">
        <v>310156.09999999998</v>
      </c>
      <c r="EL29" s="231">
        <v>25210</v>
      </c>
      <c r="EM29" s="231">
        <v>1209354.3500000001</v>
      </c>
      <c r="EN29" s="231">
        <v>450362.31</v>
      </c>
      <c r="EO29" s="231">
        <v>758992.04</v>
      </c>
      <c r="EP29" s="229">
        <v>1.6853</v>
      </c>
      <c r="EQ29" s="231">
        <v>192733</v>
      </c>
      <c r="ER29" s="231">
        <v>117203</v>
      </c>
      <c r="ES29" s="231">
        <v>850268</v>
      </c>
      <c r="ET29" s="231">
        <v>882793124</v>
      </c>
      <c r="EU29" s="231">
        <v>1160204</v>
      </c>
      <c r="EV29" s="231">
        <v>1170883</v>
      </c>
      <c r="EW29" s="231">
        <v>-10679</v>
      </c>
      <c r="EX29" s="229">
        <v>-9.1000000000000004E-3</v>
      </c>
      <c r="EY29" s="229">
        <v>0.34989999999999999</v>
      </c>
    </row>
    <row r="30" spans="1:155" ht="17.25" thickBot="1" x14ac:dyDescent="0.3">
      <c r="A30" s="226">
        <v>46146</v>
      </c>
      <c r="B30" s="227" t="s">
        <v>184</v>
      </c>
      <c r="C30" s="227" t="s">
        <v>249</v>
      </c>
      <c r="D30" s="231">
        <v>4120.3</v>
      </c>
      <c r="E30" s="231">
        <v>4037.7</v>
      </c>
      <c r="F30" s="228">
        <v>82.6</v>
      </c>
      <c r="G30" s="229">
        <v>2.0500000000000001E-2</v>
      </c>
      <c r="H30" s="231">
        <v>4100.8</v>
      </c>
      <c r="I30" s="231">
        <v>4014</v>
      </c>
      <c r="J30" s="228">
        <v>86.8</v>
      </c>
      <c r="K30" s="229">
        <v>2.1600000000000001E-2</v>
      </c>
      <c r="L30" s="231">
        <v>4120.3</v>
      </c>
      <c r="M30" s="231">
        <v>4037.7</v>
      </c>
      <c r="N30" s="228">
        <v>82.6</v>
      </c>
      <c r="O30" s="229">
        <v>2.0500000000000001E-2</v>
      </c>
      <c r="P30" s="231">
        <v>4113.8</v>
      </c>
      <c r="Q30" s="231">
        <v>4033.5</v>
      </c>
      <c r="R30" s="228">
        <v>80.3</v>
      </c>
      <c r="S30" s="229">
        <v>1.9900000000000001E-2</v>
      </c>
      <c r="T30" s="231">
        <v>4133.7</v>
      </c>
      <c r="U30" s="231">
        <v>4048.5</v>
      </c>
      <c r="V30" s="228">
        <v>85.2</v>
      </c>
      <c r="W30" s="229">
        <v>2.1000000000000001E-2</v>
      </c>
      <c r="X30" s="228">
        <v>19.5</v>
      </c>
      <c r="Y30" s="228">
        <v>23.7</v>
      </c>
      <c r="Z30" s="228">
        <v>-4.2</v>
      </c>
      <c r="AA30" s="229">
        <v>4.7999999999999996E-3</v>
      </c>
      <c r="AB30" s="228">
        <v>19.5</v>
      </c>
      <c r="AC30" s="228">
        <v>23.7</v>
      </c>
      <c r="AD30" s="228">
        <v>-4.2</v>
      </c>
      <c r="AE30" s="229">
        <v>4.7999999999999996E-3</v>
      </c>
      <c r="AF30" s="228">
        <v>13</v>
      </c>
      <c r="AG30" s="228">
        <v>19.5</v>
      </c>
      <c r="AH30" s="228">
        <v>-6.5</v>
      </c>
      <c r="AI30" s="229">
        <v>3.2000000000000002E-3</v>
      </c>
      <c r="AJ30" s="228">
        <v>32.9</v>
      </c>
      <c r="AK30" s="228">
        <v>34.5</v>
      </c>
      <c r="AL30" s="228">
        <v>-1.6</v>
      </c>
      <c r="AM30" s="229">
        <v>8.0000000000000002E-3</v>
      </c>
      <c r="AN30" s="231">
        <v>4130.3599999999997</v>
      </c>
      <c r="AO30" s="231">
        <v>4121.46</v>
      </c>
      <c r="AP30" s="228">
        <v>0</v>
      </c>
      <c r="AQ30" s="230">
        <v>12964</v>
      </c>
      <c r="AR30" s="230">
        <v>13229</v>
      </c>
      <c r="AS30" s="228">
        <v>-265</v>
      </c>
      <c r="AT30" s="229">
        <v>-0.02</v>
      </c>
      <c r="AU30" s="230">
        <v>11357</v>
      </c>
      <c r="AV30" s="230">
        <v>12095</v>
      </c>
      <c r="AW30" s="228">
        <v>-738</v>
      </c>
      <c r="AX30" s="229">
        <v>-6.0999999999999999E-2</v>
      </c>
      <c r="AY30" s="230">
        <v>1491</v>
      </c>
      <c r="AZ30" s="228">
        <v>945</v>
      </c>
      <c r="BA30" s="228">
        <v>546</v>
      </c>
      <c r="BB30" s="229">
        <v>0.57779999999999998</v>
      </c>
      <c r="BC30" s="228">
        <v>116</v>
      </c>
      <c r="BD30" s="228">
        <v>189</v>
      </c>
      <c r="BE30" s="228">
        <v>-73</v>
      </c>
      <c r="BF30" s="229">
        <v>-0.38619999999999999</v>
      </c>
      <c r="BG30" s="230">
        <v>55085</v>
      </c>
      <c r="BH30" s="230">
        <v>27041</v>
      </c>
      <c r="BI30" s="230">
        <v>28044</v>
      </c>
      <c r="BJ30" s="229">
        <v>1.0370999999999999</v>
      </c>
      <c r="BK30" s="230">
        <v>20278</v>
      </c>
      <c r="BL30" s="230">
        <v>17450</v>
      </c>
      <c r="BM30" s="230">
        <v>2828</v>
      </c>
      <c r="BN30" s="229">
        <v>0.16209999999999999</v>
      </c>
      <c r="BO30" s="230">
        <v>88327</v>
      </c>
      <c r="BP30" s="230">
        <v>57720</v>
      </c>
      <c r="BQ30" s="230">
        <v>30607</v>
      </c>
      <c r="BR30" s="229">
        <v>0.53029999999999999</v>
      </c>
      <c r="BS30" s="230">
        <v>2253184</v>
      </c>
      <c r="BT30" s="230">
        <v>2818876</v>
      </c>
      <c r="BU30" s="230">
        <v>-565692</v>
      </c>
      <c r="BV30" s="229">
        <v>-0.20069999999999999</v>
      </c>
      <c r="BW30" s="230">
        <v>14180075</v>
      </c>
      <c r="BX30" s="230">
        <v>14410550</v>
      </c>
      <c r="BY30" s="230">
        <v>-230475</v>
      </c>
      <c r="BZ30" s="229">
        <v>-1.6E-2</v>
      </c>
      <c r="CA30" s="230">
        <v>13508075</v>
      </c>
      <c r="CB30" s="230">
        <v>13775125</v>
      </c>
      <c r="CC30" s="230">
        <v>-267050</v>
      </c>
      <c r="CD30" s="229">
        <v>-1.9400000000000001E-2</v>
      </c>
      <c r="CE30" s="230">
        <v>644525</v>
      </c>
      <c r="CF30" s="230">
        <v>609525</v>
      </c>
      <c r="CG30" s="230">
        <v>35000</v>
      </c>
      <c r="CH30" s="229">
        <v>5.74E-2</v>
      </c>
      <c r="CI30" s="230">
        <v>27475</v>
      </c>
      <c r="CJ30" s="230">
        <v>25900</v>
      </c>
      <c r="CK30" s="230">
        <v>1575</v>
      </c>
      <c r="CL30" s="229">
        <v>6.08E-2</v>
      </c>
      <c r="CM30" s="230">
        <v>4955475</v>
      </c>
      <c r="CN30" s="230">
        <v>3796100</v>
      </c>
      <c r="CO30" s="230">
        <v>1159375</v>
      </c>
      <c r="CP30" s="229">
        <v>0.3054</v>
      </c>
      <c r="CQ30" s="230">
        <v>4115825</v>
      </c>
      <c r="CR30" s="230">
        <v>3709825</v>
      </c>
      <c r="CS30" s="230">
        <v>406000</v>
      </c>
      <c r="CT30" s="229">
        <v>0.1094</v>
      </c>
      <c r="CU30" s="230">
        <v>23251375</v>
      </c>
      <c r="CV30" s="230">
        <v>21916475</v>
      </c>
      <c r="CW30" s="230">
        <v>1334900</v>
      </c>
      <c r="CX30" s="229">
        <v>6.0900000000000003E-2</v>
      </c>
      <c r="CY30" s="228">
        <v>30.75</v>
      </c>
      <c r="CZ30" s="228">
        <v>32.61</v>
      </c>
      <c r="DA30" s="228">
        <v>-1.86</v>
      </c>
      <c r="DB30" s="228">
        <v>-1.86</v>
      </c>
      <c r="DC30" s="228">
        <v>33.630000000000003</v>
      </c>
      <c r="DD30" s="228">
        <v>33.590000000000003</v>
      </c>
      <c r="DE30" s="228">
        <v>-2.88</v>
      </c>
      <c r="DF30" s="228">
        <v>0.04</v>
      </c>
      <c r="DG30" s="228">
        <v>30.21</v>
      </c>
      <c r="DH30" s="228">
        <v>32.22</v>
      </c>
      <c r="DI30" s="228">
        <v>-2.0099999999999998</v>
      </c>
      <c r="DJ30" s="228">
        <v>-2.0099999999999998</v>
      </c>
      <c r="DK30" s="228">
        <v>32.21</v>
      </c>
      <c r="DL30" s="228">
        <v>33.22</v>
      </c>
      <c r="DM30" s="228">
        <v>-1.01</v>
      </c>
      <c r="DN30" s="228">
        <v>-1.01</v>
      </c>
      <c r="DO30" s="228">
        <v>0.83</v>
      </c>
      <c r="DP30" s="228">
        <v>0.98</v>
      </c>
      <c r="DQ30" s="228">
        <v>-0.15</v>
      </c>
      <c r="DR30" s="229">
        <v>-0.15310000000000001</v>
      </c>
      <c r="DS30" s="231">
        <v>4200</v>
      </c>
      <c r="DT30" s="231">
        <v>3800</v>
      </c>
      <c r="DU30" s="228">
        <v>0.37</v>
      </c>
      <c r="DV30" s="228">
        <v>0.65</v>
      </c>
      <c r="DW30" s="228">
        <v>-0.28000000000000003</v>
      </c>
      <c r="DX30" s="229">
        <v>-0.43080000000000002</v>
      </c>
      <c r="DY30" s="229">
        <v>4.7399999999999998E-2</v>
      </c>
      <c r="DZ30" s="230">
        <v>635425</v>
      </c>
      <c r="EA30" s="229">
        <v>-1.6000000000000001E-3</v>
      </c>
      <c r="EB30" s="229">
        <v>4.7399999999999998E-2</v>
      </c>
      <c r="EC30" s="228">
        <v>-8.9</v>
      </c>
      <c r="ED30" s="229">
        <v>-2.2000000000000001E-3</v>
      </c>
      <c r="EE30" s="230">
        <v>1175799</v>
      </c>
      <c r="EF30" s="230">
        <v>1285575</v>
      </c>
      <c r="EG30" s="229">
        <v>-8.5400000000000004E-2</v>
      </c>
      <c r="EH30" s="229">
        <v>0.52180000000000004</v>
      </c>
      <c r="EI30" s="231">
        <v>420184.28</v>
      </c>
      <c r="EJ30" s="231">
        <v>144147.79</v>
      </c>
      <c r="EK30" s="231">
        <v>93684.32</v>
      </c>
      <c r="EL30" s="231">
        <v>26436</v>
      </c>
      <c r="EM30" s="231">
        <v>658016.39</v>
      </c>
      <c r="EN30" s="231">
        <v>417982.36</v>
      </c>
      <c r="EO30" s="231">
        <v>240034.03</v>
      </c>
      <c r="EP30" s="229">
        <v>0.57430000000000003</v>
      </c>
      <c r="EQ30" s="231">
        <v>212888</v>
      </c>
      <c r="ER30" s="231">
        <v>160902</v>
      </c>
      <c r="ES30" s="231">
        <v>584223</v>
      </c>
      <c r="ET30" s="231">
        <v>136099497</v>
      </c>
      <c r="EU30" s="231">
        <v>958014</v>
      </c>
      <c r="EV30" s="231">
        <v>888797</v>
      </c>
      <c r="EW30" s="231">
        <v>69217</v>
      </c>
      <c r="EX30" s="229">
        <v>7.7899999999999997E-2</v>
      </c>
      <c r="EY30" s="229">
        <v>0.17080000000000001</v>
      </c>
    </row>
    <row r="31" spans="1:155" ht="17.25" thickBot="1" x14ac:dyDescent="0.3">
      <c r="A31" s="226">
        <v>46146</v>
      </c>
      <c r="B31" s="227" t="s">
        <v>162</v>
      </c>
      <c r="C31" s="227" t="s">
        <v>251</v>
      </c>
      <c r="D31" s="231">
        <v>3120.2</v>
      </c>
      <c r="E31" s="231">
        <v>3115</v>
      </c>
      <c r="F31" s="228">
        <v>5.2</v>
      </c>
      <c r="G31" s="229">
        <v>1.6999999999999999E-3</v>
      </c>
      <c r="H31" s="231">
        <v>3106.5</v>
      </c>
      <c r="I31" s="231">
        <v>3097.5</v>
      </c>
      <c r="J31" s="228">
        <v>9</v>
      </c>
      <c r="K31" s="229">
        <v>2.8999999999999998E-3</v>
      </c>
      <c r="L31" s="231">
        <v>3120.2</v>
      </c>
      <c r="M31" s="231">
        <v>3115</v>
      </c>
      <c r="N31" s="228">
        <v>5.2</v>
      </c>
      <c r="O31" s="229">
        <v>1.6999999999999999E-3</v>
      </c>
      <c r="P31" s="231">
        <v>3141.5</v>
      </c>
      <c r="Q31" s="231">
        <v>3135.4</v>
      </c>
      <c r="R31" s="228">
        <v>6.1</v>
      </c>
      <c r="S31" s="229">
        <v>1.9E-3</v>
      </c>
      <c r="T31" s="231">
        <v>3132.7</v>
      </c>
      <c r="U31" s="231">
        <v>3126</v>
      </c>
      <c r="V31" s="228">
        <v>6.7</v>
      </c>
      <c r="W31" s="229">
        <v>2.0999999999999999E-3</v>
      </c>
      <c r="X31" s="228">
        <v>13.7</v>
      </c>
      <c r="Y31" s="228">
        <v>17.5</v>
      </c>
      <c r="Z31" s="228">
        <v>-3.8</v>
      </c>
      <c r="AA31" s="229">
        <v>4.4000000000000003E-3</v>
      </c>
      <c r="AB31" s="228">
        <v>13.7</v>
      </c>
      <c r="AC31" s="228">
        <v>17.5</v>
      </c>
      <c r="AD31" s="228">
        <v>-3.8</v>
      </c>
      <c r="AE31" s="229">
        <v>4.4000000000000003E-3</v>
      </c>
      <c r="AF31" s="228">
        <v>35</v>
      </c>
      <c r="AG31" s="228">
        <v>37.9</v>
      </c>
      <c r="AH31" s="228">
        <v>-2.9</v>
      </c>
      <c r="AI31" s="229">
        <v>1.1299999999999999E-2</v>
      </c>
      <c r="AJ31" s="228">
        <v>26.2</v>
      </c>
      <c r="AK31" s="228">
        <v>28.5</v>
      </c>
      <c r="AL31" s="228">
        <v>-2.2999999999999998</v>
      </c>
      <c r="AM31" s="229">
        <v>8.3999999999999995E-3</v>
      </c>
      <c r="AN31" s="231">
        <v>3135.2</v>
      </c>
      <c r="AO31" s="231">
        <v>3153.4</v>
      </c>
      <c r="AP31" s="228">
        <v>0</v>
      </c>
      <c r="AQ31" s="230">
        <v>15639</v>
      </c>
      <c r="AR31" s="230">
        <v>10519</v>
      </c>
      <c r="AS31" s="230">
        <v>5120</v>
      </c>
      <c r="AT31" s="229">
        <v>0.48670000000000002</v>
      </c>
      <c r="AU31" s="230">
        <v>14665</v>
      </c>
      <c r="AV31" s="230">
        <v>9731</v>
      </c>
      <c r="AW31" s="230">
        <v>4934</v>
      </c>
      <c r="AX31" s="229">
        <v>0.50700000000000001</v>
      </c>
      <c r="AY31" s="228">
        <v>815</v>
      </c>
      <c r="AZ31" s="228">
        <v>613</v>
      </c>
      <c r="BA31" s="228">
        <v>202</v>
      </c>
      <c r="BB31" s="229">
        <v>0.32950000000000002</v>
      </c>
      <c r="BC31" s="228">
        <v>159</v>
      </c>
      <c r="BD31" s="228">
        <v>175</v>
      </c>
      <c r="BE31" s="228">
        <v>-16</v>
      </c>
      <c r="BF31" s="229">
        <v>-9.1399999999999995E-2</v>
      </c>
      <c r="BG31" s="230">
        <v>45099</v>
      </c>
      <c r="BH31" s="230">
        <v>23240</v>
      </c>
      <c r="BI31" s="230">
        <v>21859</v>
      </c>
      <c r="BJ31" s="229">
        <v>0.94059999999999999</v>
      </c>
      <c r="BK31" s="230">
        <v>16820</v>
      </c>
      <c r="BL31" s="230">
        <v>17013</v>
      </c>
      <c r="BM31" s="228">
        <v>-193</v>
      </c>
      <c r="BN31" s="229">
        <v>-1.1299999999999999E-2</v>
      </c>
      <c r="BO31" s="230">
        <v>77558</v>
      </c>
      <c r="BP31" s="230">
        <v>50772</v>
      </c>
      <c r="BQ31" s="230">
        <v>26786</v>
      </c>
      <c r="BR31" s="229">
        <v>0.52759999999999996</v>
      </c>
      <c r="BS31" s="230">
        <v>2976483</v>
      </c>
      <c r="BT31" s="230">
        <v>3564479</v>
      </c>
      <c r="BU31" s="230">
        <v>-587996</v>
      </c>
      <c r="BV31" s="229">
        <v>-0.16500000000000001</v>
      </c>
      <c r="BW31" s="230">
        <v>20421000</v>
      </c>
      <c r="BX31" s="230">
        <v>19942600</v>
      </c>
      <c r="BY31" s="230">
        <v>478400</v>
      </c>
      <c r="BZ31" s="229">
        <v>2.4E-2</v>
      </c>
      <c r="CA31" s="230">
        <v>17552000</v>
      </c>
      <c r="CB31" s="230">
        <v>17173600</v>
      </c>
      <c r="CC31" s="230">
        <v>378400</v>
      </c>
      <c r="CD31" s="229">
        <v>2.1999999999999999E-2</v>
      </c>
      <c r="CE31" s="230">
        <v>2818800</v>
      </c>
      <c r="CF31" s="230">
        <v>2735400</v>
      </c>
      <c r="CG31" s="230">
        <v>83400</v>
      </c>
      <c r="CH31" s="229">
        <v>3.0499999999999999E-2</v>
      </c>
      <c r="CI31" s="230">
        <v>50200</v>
      </c>
      <c r="CJ31" s="230">
        <v>33600</v>
      </c>
      <c r="CK31" s="230">
        <v>16600</v>
      </c>
      <c r="CL31" s="229">
        <v>0.49399999999999999</v>
      </c>
      <c r="CM31" s="230">
        <v>4595200</v>
      </c>
      <c r="CN31" s="230">
        <v>3557000</v>
      </c>
      <c r="CO31" s="230">
        <v>1038200</v>
      </c>
      <c r="CP31" s="229">
        <v>0.29189999999999999</v>
      </c>
      <c r="CQ31" s="230">
        <v>3698400</v>
      </c>
      <c r="CR31" s="230">
        <v>3168000</v>
      </c>
      <c r="CS31" s="230">
        <v>530400</v>
      </c>
      <c r="CT31" s="229">
        <v>0.16739999999999999</v>
      </c>
      <c r="CU31" s="230">
        <v>28714600</v>
      </c>
      <c r="CV31" s="230">
        <v>26667600</v>
      </c>
      <c r="CW31" s="230">
        <v>2047000</v>
      </c>
      <c r="CX31" s="229">
        <v>7.6799999999999993E-2</v>
      </c>
      <c r="CY31" s="228">
        <v>38.130000000000003</v>
      </c>
      <c r="CZ31" s="228">
        <v>35.5</v>
      </c>
      <c r="DA31" s="228">
        <v>2.63</v>
      </c>
      <c r="DB31" s="228">
        <v>2.63</v>
      </c>
      <c r="DC31" s="228">
        <v>35.6</v>
      </c>
      <c r="DD31" s="228">
        <v>35.68</v>
      </c>
      <c r="DE31" s="228">
        <v>2.5299999999999998</v>
      </c>
      <c r="DF31" s="228">
        <v>-0.08</v>
      </c>
      <c r="DG31" s="228">
        <v>38.07</v>
      </c>
      <c r="DH31" s="228">
        <v>35.299999999999997</v>
      </c>
      <c r="DI31" s="228">
        <v>2.77</v>
      </c>
      <c r="DJ31" s="228">
        <v>2.77</v>
      </c>
      <c r="DK31" s="228">
        <v>38.26</v>
      </c>
      <c r="DL31" s="228">
        <v>35.770000000000003</v>
      </c>
      <c r="DM31" s="228">
        <v>2.4900000000000002</v>
      </c>
      <c r="DN31" s="228">
        <v>2.4900000000000002</v>
      </c>
      <c r="DO31" s="228">
        <v>0.8</v>
      </c>
      <c r="DP31" s="228">
        <v>0.89</v>
      </c>
      <c r="DQ31" s="228">
        <v>-0.09</v>
      </c>
      <c r="DR31" s="229">
        <v>-0.1011</v>
      </c>
      <c r="DS31" s="231">
        <v>3200</v>
      </c>
      <c r="DT31" s="231">
        <v>3100</v>
      </c>
      <c r="DU31" s="228">
        <v>0.37</v>
      </c>
      <c r="DV31" s="228">
        <v>0.73</v>
      </c>
      <c r="DW31" s="228">
        <v>-0.36</v>
      </c>
      <c r="DX31" s="229">
        <v>-0.49320000000000003</v>
      </c>
      <c r="DY31" s="229">
        <v>0.14050000000000001</v>
      </c>
      <c r="DZ31" s="230">
        <v>2769000</v>
      </c>
      <c r="EA31" s="229">
        <v>6.7999999999999996E-3</v>
      </c>
      <c r="EB31" s="229">
        <v>0.14050000000000001</v>
      </c>
      <c r="EC31" s="228">
        <v>18.2</v>
      </c>
      <c r="ED31" s="229">
        <v>5.7999999999999996E-3</v>
      </c>
      <c r="EE31" s="230">
        <v>1476877</v>
      </c>
      <c r="EF31" s="230">
        <v>1851272</v>
      </c>
      <c r="EG31" s="229">
        <v>-0.20219999999999999</v>
      </c>
      <c r="EH31" s="229">
        <v>0.49619999999999997</v>
      </c>
      <c r="EI31" s="231">
        <v>299597.03999999998</v>
      </c>
      <c r="EJ31" s="231">
        <v>105205.42</v>
      </c>
      <c r="EK31" s="231">
        <v>98097.15</v>
      </c>
      <c r="EL31" s="231">
        <v>24248</v>
      </c>
      <c r="EM31" s="231">
        <v>502899.61</v>
      </c>
      <c r="EN31" s="231">
        <v>324245.28000000003</v>
      </c>
      <c r="EO31" s="231">
        <v>178654.33</v>
      </c>
      <c r="EP31" s="229">
        <v>0.55100000000000005</v>
      </c>
      <c r="EQ31" s="231">
        <v>150053</v>
      </c>
      <c r="ER31" s="231">
        <v>114234</v>
      </c>
      <c r="ES31" s="231">
        <v>637783</v>
      </c>
      <c r="ET31" s="231">
        <v>120808308</v>
      </c>
      <c r="EU31" s="231">
        <v>902070</v>
      </c>
      <c r="EV31" s="231">
        <v>835906</v>
      </c>
      <c r="EW31" s="231">
        <v>66164</v>
      </c>
      <c r="EX31" s="229">
        <v>7.9200000000000007E-2</v>
      </c>
      <c r="EY31" s="229">
        <v>0.23769999999999999</v>
      </c>
    </row>
    <row r="32" spans="1:155" ht="17.25" thickBot="1" x14ac:dyDescent="0.3">
      <c r="A32" s="226">
        <v>46146</v>
      </c>
      <c r="B32" s="227" t="s">
        <v>162</v>
      </c>
      <c r="C32" s="227" t="s">
        <v>255</v>
      </c>
      <c r="D32" s="231">
        <v>13656</v>
      </c>
      <c r="E32" s="231">
        <v>13386</v>
      </c>
      <c r="F32" s="228">
        <v>270</v>
      </c>
      <c r="G32" s="229">
        <v>2.0199999999999999E-2</v>
      </c>
      <c r="H32" s="231">
        <v>13580</v>
      </c>
      <c r="I32" s="231">
        <v>13314</v>
      </c>
      <c r="J32" s="228">
        <v>266</v>
      </c>
      <c r="K32" s="229">
        <v>0.02</v>
      </c>
      <c r="L32" s="231">
        <v>13656</v>
      </c>
      <c r="M32" s="231">
        <v>13386</v>
      </c>
      <c r="N32" s="228">
        <v>270</v>
      </c>
      <c r="O32" s="229">
        <v>2.0199999999999999E-2</v>
      </c>
      <c r="P32" s="231">
        <v>13742</v>
      </c>
      <c r="Q32" s="231">
        <v>13464</v>
      </c>
      <c r="R32" s="228">
        <v>278</v>
      </c>
      <c r="S32" s="229">
        <v>2.06E-2</v>
      </c>
      <c r="T32" s="231">
        <v>13817</v>
      </c>
      <c r="U32" s="231">
        <v>13541</v>
      </c>
      <c r="V32" s="228">
        <v>276</v>
      </c>
      <c r="W32" s="229">
        <v>2.0400000000000001E-2</v>
      </c>
      <c r="X32" s="228">
        <v>76</v>
      </c>
      <c r="Y32" s="228">
        <v>72</v>
      </c>
      <c r="Z32" s="228">
        <v>4</v>
      </c>
      <c r="AA32" s="229">
        <v>5.5999999999999999E-3</v>
      </c>
      <c r="AB32" s="228">
        <v>76</v>
      </c>
      <c r="AC32" s="228">
        <v>72</v>
      </c>
      <c r="AD32" s="228">
        <v>4</v>
      </c>
      <c r="AE32" s="229">
        <v>5.5999999999999999E-3</v>
      </c>
      <c r="AF32" s="228">
        <v>162</v>
      </c>
      <c r="AG32" s="228">
        <v>150</v>
      </c>
      <c r="AH32" s="228">
        <v>12</v>
      </c>
      <c r="AI32" s="229">
        <v>1.1900000000000001E-2</v>
      </c>
      <c r="AJ32" s="228">
        <v>237</v>
      </c>
      <c r="AK32" s="228">
        <v>227</v>
      </c>
      <c r="AL32" s="228">
        <v>10</v>
      </c>
      <c r="AM32" s="229">
        <v>1.7500000000000002E-2</v>
      </c>
      <c r="AN32" s="231">
        <v>13802.02</v>
      </c>
      <c r="AO32" s="231">
        <v>13820.16</v>
      </c>
      <c r="AP32" s="228">
        <v>0</v>
      </c>
      <c r="AQ32" s="230">
        <v>17103</v>
      </c>
      <c r="AR32" s="230">
        <v>9783</v>
      </c>
      <c r="AS32" s="230">
        <v>7320</v>
      </c>
      <c r="AT32" s="229">
        <v>0.74819999999999998</v>
      </c>
      <c r="AU32" s="230">
        <v>15506</v>
      </c>
      <c r="AV32" s="230">
        <v>9103</v>
      </c>
      <c r="AW32" s="230">
        <v>6403</v>
      </c>
      <c r="AX32" s="229">
        <v>0.70340000000000003</v>
      </c>
      <c r="AY32" s="230">
        <v>1528</v>
      </c>
      <c r="AZ32" s="228">
        <v>609</v>
      </c>
      <c r="BA32" s="228">
        <v>919</v>
      </c>
      <c r="BB32" s="229">
        <v>1.5089999999999999</v>
      </c>
      <c r="BC32" s="228">
        <v>69</v>
      </c>
      <c r="BD32" s="228">
        <v>71</v>
      </c>
      <c r="BE32" s="228">
        <v>-2</v>
      </c>
      <c r="BF32" s="229">
        <v>-2.8199999999999999E-2</v>
      </c>
      <c r="BG32" s="230">
        <v>132276</v>
      </c>
      <c r="BH32" s="230">
        <v>71601</v>
      </c>
      <c r="BI32" s="230">
        <v>60675</v>
      </c>
      <c r="BJ32" s="229">
        <v>0.84740000000000004</v>
      </c>
      <c r="BK32" s="230">
        <v>66849</v>
      </c>
      <c r="BL32" s="230">
        <v>37140</v>
      </c>
      <c r="BM32" s="230">
        <v>29709</v>
      </c>
      <c r="BN32" s="229">
        <v>0.79990000000000006</v>
      </c>
      <c r="BO32" s="230">
        <v>216228</v>
      </c>
      <c r="BP32" s="230">
        <v>118524</v>
      </c>
      <c r="BQ32" s="230">
        <v>97704</v>
      </c>
      <c r="BR32" s="229">
        <v>0.82430000000000003</v>
      </c>
      <c r="BS32" s="230">
        <v>756891</v>
      </c>
      <c r="BT32" s="230">
        <v>718163</v>
      </c>
      <c r="BU32" s="230">
        <v>38728</v>
      </c>
      <c r="BV32" s="229">
        <v>5.3900000000000003E-2</v>
      </c>
      <c r="BW32" s="230">
        <v>3103150</v>
      </c>
      <c r="BX32" s="230">
        <v>3078200</v>
      </c>
      <c r="BY32" s="230">
        <v>24950</v>
      </c>
      <c r="BZ32" s="229">
        <v>8.0999999999999996E-3</v>
      </c>
      <c r="CA32" s="230">
        <v>2494200</v>
      </c>
      <c r="CB32" s="230">
        <v>2507400</v>
      </c>
      <c r="CC32" s="230">
        <v>-13200</v>
      </c>
      <c r="CD32" s="229">
        <v>-5.3E-3</v>
      </c>
      <c r="CE32" s="230">
        <v>604700</v>
      </c>
      <c r="CF32" s="230">
        <v>567950</v>
      </c>
      <c r="CG32" s="230">
        <v>36750</v>
      </c>
      <c r="CH32" s="229">
        <v>6.4699999999999994E-2</v>
      </c>
      <c r="CI32" s="230">
        <v>4250</v>
      </c>
      <c r="CJ32" s="230">
        <v>2850</v>
      </c>
      <c r="CK32" s="230">
        <v>1400</v>
      </c>
      <c r="CL32" s="229">
        <v>0.49120000000000003</v>
      </c>
      <c r="CM32" s="230">
        <v>1902100</v>
      </c>
      <c r="CN32" s="230">
        <v>1620100</v>
      </c>
      <c r="CO32" s="230">
        <v>282000</v>
      </c>
      <c r="CP32" s="229">
        <v>0.1741</v>
      </c>
      <c r="CQ32" s="230">
        <v>942300</v>
      </c>
      <c r="CR32" s="230">
        <v>765300</v>
      </c>
      <c r="CS32" s="230">
        <v>177000</v>
      </c>
      <c r="CT32" s="229">
        <v>0.23130000000000001</v>
      </c>
      <c r="CU32" s="230">
        <v>5947550</v>
      </c>
      <c r="CV32" s="230">
        <v>5463600</v>
      </c>
      <c r="CW32" s="230">
        <v>483950</v>
      </c>
      <c r="CX32" s="229">
        <v>8.8599999999999998E-2</v>
      </c>
      <c r="CY32" s="228">
        <v>26.69</v>
      </c>
      <c r="CZ32" s="228">
        <v>27.3</v>
      </c>
      <c r="DA32" s="228">
        <v>-0.61</v>
      </c>
      <c r="DB32" s="228">
        <v>-0.61</v>
      </c>
      <c r="DC32" s="228">
        <v>29</v>
      </c>
      <c r="DD32" s="228">
        <v>28.95</v>
      </c>
      <c r="DE32" s="228">
        <v>-2.31</v>
      </c>
      <c r="DF32" s="228">
        <v>0.05</v>
      </c>
      <c r="DG32" s="228">
        <v>26.13</v>
      </c>
      <c r="DH32" s="228">
        <v>26.61</v>
      </c>
      <c r="DI32" s="228">
        <v>-0.48</v>
      </c>
      <c r="DJ32" s="228">
        <v>-0.48</v>
      </c>
      <c r="DK32" s="228">
        <v>27.78</v>
      </c>
      <c r="DL32" s="228">
        <v>28.64</v>
      </c>
      <c r="DM32" s="228">
        <v>-0.86</v>
      </c>
      <c r="DN32" s="228">
        <v>-0.86</v>
      </c>
      <c r="DO32" s="228">
        <v>0.5</v>
      </c>
      <c r="DP32" s="228">
        <v>0.47</v>
      </c>
      <c r="DQ32" s="228">
        <v>0.03</v>
      </c>
      <c r="DR32" s="229">
        <v>6.3799999999999996E-2</v>
      </c>
      <c r="DS32" s="231">
        <v>14000</v>
      </c>
      <c r="DT32" s="231">
        <v>13000</v>
      </c>
      <c r="DU32" s="228">
        <v>0.51</v>
      </c>
      <c r="DV32" s="228">
        <v>0.52</v>
      </c>
      <c r="DW32" s="228">
        <v>-0.01</v>
      </c>
      <c r="DX32" s="229">
        <v>-1.9199999999999998E-2</v>
      </c>
      <c r="DY32" s="229">
        <v>0.19620000000000001</v>
      </c>
      <c r="DZ32" s="230">
        <v>570800</v>
      </c>
      <c r="EA32" s="229">
        <v>6.3E-3</v>
      </c>
      <c r="EB32" s="229">
        <v>0.19620000000000001</v>
      </c>
      <c r="EC32" s="228">
        <v>18.14</v>
      </c>
      <c r="ED32" s="229">
        <v>1.2999999999999999E-3</v>
      </c>
      <c r="EE32" s="230">
        <v>303492</v>
      </c>
      <c r="EF32" s="230">
        <v>361449</v>
      </c>
      <c r="EG32" s="229">
        <v>-0.1603</v>
      </c>
      <c r="EH32" s="229">
        <v>0.40100000000000002</v>
      </c>
      <c r="EI32" s="231">
        <v>959323.65</v>
      </c>
      <c r="EJ32" s="231">
        <v>443531.22</v>
      </c>
      <c r="EK32" s="231">
        <v>118046.62</v>
      </c>
      <c r="EL32" s="231">
        <v>26974</v>
      </c>
      <c r="EM32" s="231">
        <v>1520901.49</v>
      </c>
      <c r="EN32" s="231">
        <v>809100.23</v>
      </c>
      <c r="EO32" s="231">
        <v>711801.26</v>
      </c>
      <c r="EP32" s="229">
        <v>0.87970000000000004</v>
      </c>
      <c r="EQ32" s="231">
        <v>268948</v>
      </c>
      <c r="ER32" s="231">
        <v>121010</v>
      </c>
      <c r="ES32" s="231">
        <v>424293</v>
      </c>
      <c r="ET32" s="231">
        <v>19673414</v>
      </c>
      <c r="EU32" s="231">
        <v>814251</v>
      </c>
      <c r="EV32" s="231">
        <v>737215</v>
      </c>
      <c r="EW32" s="231">
        <v>77036</v>
      </c>
      <c r="EX32" s="229">
        <v>0.1045</v>
      </c>
      <c r="EY32" s="229">
        <v>0.30230000000000001</v>
      </c>
    </row>
    <row r="33" spans="1:155" ht="17.25" thickBot="1" x14ac:dyDescent="0.3">
      <c r="A33" s="226">
        <v>46146</v>
      </c>
      <c r="B33" s="227" t="s">
        <v>170</v>
      </c>
      <c r="C33" s="227" t="s">
        <v>602</v>
      </c>
      <c r="D33" s="231">
        <v>1017.65</v>
      </c>
      <c r="E33" s="228">
        <v>998.95</v>
      </c>
      <c r="F33" s="228">
        <v>18.7</v>
      </c>
      <c r="G33" s="229">
        <v>1.8700000000000001E-2</v>
      </c>
      <c r="H33" s="231">
        <v>1011.55</v>
      </c>
      <c r="I33" s="228">
        <v>993.05</v>
      </c>
      <c r="J33" s="228">
        <v>18.5</v>
      </c>
      <c r="K33" s="229">
        <v>1.8599999999999998E-2</v>
      </c>
      <c r="L33" s="231">
        <v>1017.65</v>
      </c>
      <c r="M33" s="228">
        <v>998.95</v>
      </c>
      <c r="N33" s="228">
        <v>18.7</v>
      </c>
      <c r="O33" s="229">
        <v>1.8700000000000001E-2</v>
      </c>
      <c r="P33" s="231">
        <v>1024.2</v>
      </c>
      <c r="Q33" s="231">
        <v>1005.4</v>
      </c>
      <c r="R33" s="228">
        <v>18.8</v>
      </c>
      <c r="S33" s="229">
        <v>1.8700000000000001E-2</v>
      </c>
      <c r="T33" s="231">
        <v>1030</v>
      </c>
      <c r="U33" s="231">
        <v>1008.5</v>
      </c>
      <c r="V33" s="228">
        <v>21.5</v>
      </c>
      <c r="W33" s="229">
        <v>2.1299999999999999E-2</v>
      </c>
      <c r="X33" s="228">
        <v>6.1</v>
      </c>
      <c r="Y33" s="228">
        <v>5.9</v>
      </c>
      <c r="Z33" s="228">
        <v>0.2</v>
      </c>
      <c r="AA33" s="229">
        <v>6.0000000000000001E-3</v>
      </c>
      <c r="AB33" s="228">
        <v>6.1</v>
      </c>
      <c r="AC33" s="228">
        <v>5.9</v>
      </c>
      <c r="AD33" s="228">
        <v>0.2</v>
      </c>
      <c r="AE33" s="229">
        <v>6.0000000000000001E-3</v>
      </c>
      <c r="AF33" s="228">
        <v>12.65</v>
      </c>
      <c r="AG33" s="228">
        <v>12.35</v>
      </c>
      <c r="AH33" s="228">
        <v>0.3</v>
      </c>
      <c r="AI33" s="229">
        <v>1.2500000000000001E-2</v>
      </c>
      <c r="AJ33" s="228">
        <v>18.45</v>
      </c>
      <c r="AK33" s="228">
        <v>15.45</v>
      </c>
      <c r="AL33" s="228">
        <v>3</v>
      </c>
      <c r="AM33" s="229">
        <v>1.8200000000000001E-2</v>
      </c>
      <c r="AN33" s="231">
        <v>1015.01</v>
      </c>
      <c r="AO33" s="231">
        <v>1024.19</v>
      </c>
      <c r="AP33" s="228">
        <v>0</v>
      </c>
      <c r="AQ33" s="230">
        <v>3820</v>
      </c>
      <c r="AR33" s="230">
        <v>3047</v>
      </c>
      <c r="AS33" s="228">
        <v>773</v>
      </c>
      <c r="AT33" s="229">
        <v>0.25369999999999998</v>
      </c>
      <c r="AU33" s="230">
        <v>3512</v>
      </c>
      <c r="AV33" s="230">
        <v>2906</v>
      </c>
      <c r="AW33" s="228">
        <v>606</v>
      </c>
      <c r="AX33" s="229">
        <v>0.20849999999999999</v>
      </c>
      <c r="AY33" s="228">
        <v>300</v>
      </c>
      <c r="AZ33" s="228">
        <v>119</v>
      </c>
      <c r="BA33" s="228">
        <v>181</v>
      </c>
      <c r="BB33" s="229">
        <v>1.5209999999999999</v>
      </c>
      <c r="BC33" s="228">
        <v>8</v>
      </c>
      <c r="BD33" s="228">
        <v>22</v>
      </c>
      <c r="BE33" s="228">
        <v>-14</v>
      </c>
      <c r="BF33" s="229">
        <v>-0.63639999999999997</v>
      </c>
      <c r="BG33" s="230">
        <v>5588</v>
      </c>
      <c r="BH33" s="230">
        <v>4277</v>
      </c>
      <c r="BI33" s="230">
        <v>1311</v>
      </c>
      <c r="BJ33" s="229">
        <v>0.30649999999999999</v>
      </c>
      <c r="BK33" s="230">
        <v>2791</v>
      </c>
      <c r="BL33" s="230">
        <v>2931</v>
      </c>
      <c r="BM33" s="228">
        <v>-140</v>
      </c>
      <c r="BN33" s="229">
        <v>-4.7800000000000002E-2</v>
      </c>
      <c r="BO33" s="230">
        <v>12199</v>
      </c>
      <c r="BP33" s="230">
        <v>10255</v>
      </c>
      <c r="BQ33" s="230">
        <v>1944</v>
      </c>
      <c r="BR33" s="229">
        <v>0.18959999999999999</v>
      </c>
      <c r="BS33" s="230">
        <v>2694459</v>
      </c>
      <c r="BT33" s="230">
        <v>2437699</v>
      </c>
      <c r="BU33" s="230">
        <v>256760</v>
      </c>
      <c r="BV33" s="229">
        <v>0.1053</v>
      </c>
      <c r="BW33" s="230">
        <v>13225800</v>
      </c>
      <c r="BX33" s="230">
        <v>12958050</v>
      </c>
      <c r="BY33" s="230">
        <v>267750</v>
      </c>
      <c r="BZ33" s="229">
        <v>2.07E-2</v>
      </c>
      <c r="CA33" s="230">
        <v>12040350</v>
      </c>
      <c r="CB33" s="230">
        <v>11868675</v>
      </c>
      <c r="CC33" s="230">
        <v>171675</v>
      </c>
      <c r="CD33" s="229">
        <v>1.4500000000000001E-2</v>
      </c>
      <c r="CE33" s="230">
        <v>1172850</v>
      </c>
      <c r="CF33" s="230">
        <v>1079925</v>
      </c>
      <c r="CG33" s="230">
        <v>92925</v>
      </c>
      <c r="CH33" s="229">
        <v>8.5999999999999993E-2</v>
      </c>
      <c r="CI33" s="230">
        <v>12600</v>
      </c>
      <c r="CJ33" s="230">
        <v>9450</v>
      </c>
      <c r="CK33" s="230">
        <v>3150</v>
      </c>
      <c r="CL33" s="229">
        <v>0.33329999999999999</v>
      </c>
      <c r="CM33" s="230">
        <v>2087925</v>
      </c>
      <c r="CN33" s="230">
        <v>1875825</v>
      </c>
      <c r="CO33" s="230">
        <v>212100</v>
      </c>
      <c r="CP33" s="229">
        <v>0.11310000000000001</v>
      </c>
      <c r="CQ33" s="230">
        <v>1335075</v>
      </c>
      <c r="CR33" s="230">
        <v>1042125</v>
      </c>
      <c r="CS33" s="230">
        <v>292950</v>
      </c>
      <c r="CT33" s="229">
        <v>0.28110000000000002</v>
      </c>
      <c r="CU33" s="230">
        <v>16648800</v>
      </c>
      <c r="CV33" s="230">
        <v>15876000</v>
      </c>
      <c r="CW33" s="230">
        <v>772800</v>
      </c>
      <c r="CX33" s="229">
        <v>4.87E-2</v>
      </c>
      <c r="CY33" s="228">
        <v>31.69</v>
      </c>
      <c r="CZ33" s="228">
        <v>32.5</v>
      </c>
      <c r="DA33" s="228">
        <v>-0.81</v>
      </c>
      <c r="DB33" s="228">
        <v>-0.81</v>
      </c>
      <c r="DC33" s="228">
        <v>35.659999999999997</v>
      </c>
      <c r="DD33" s="228">
        <v>35.67</v>
      </c>
      <c r="DE33" s="228">
        <v>-3.97</v>
      </c>
      <c r="DF33" s="228">
        <v>-0.01</v>
      </c>
      <c r="DG33" s="228">
        <v>31.69</v>
      </c>
      <c r="DH33" s="228">
        <v>32.549999999999997</v>
      </c>
      <c r="DI33" s="228">
        <v>-0.86</v>
      </c>
      <c r="DJ33" s="228">
        <v>-0.86</v>
      </c>
      <c r="DK33" s="228">
        <v>31.7</v>
      </c>
      <c r="DL33" s="228">
        <v>32.43</v>
      </c>
      <c r="DM33" s="228">
        <v>-0.73</v>
      </c>
      <c r="DN33" s="228">
        <v>-0.73</v>
      </c>
      <c r="DO33" s="228">
        <v>0.64</v>
      </c>
      <c r="DP33" s="228">
        <v>0.56000000000000005</v>
      </c>
      <c r="DQ33" s="228">
        <v>0.08</v>
      </c>
      <c r="DR33" s="229">
        <v>0.1429</v>
      </c>
      <c r="DS33" s="231">
        <v>1100</v>
      </c>
      <c r="DT33" s="231">
        <v>1000</v>
      </c>
      <c r="DU33" s="228">
        <v>0.5</v>
      </c>
      <c r="DV33" s="228">
        <v>0.69</v>
      </c>
      <c r="DW33" s="228">
        <v>-0.19</v>
      </c>
      <c r="DX33" s="229">
        <v>-0.27539999999999998</v>
      </c>
      <c r="DY33" s="229">
        <v>8.9599999999999999E-2</v>
      </c>
      <c r="DZ33" s="230">
        <v>1089375</v>
      </c>
      <c r="EA33" s="229">
        <v>6.4000000000000003E-3</v>
      </c>
      <c r="EB33" s="229">
        <v>8.9599999999999999E-2</v>
      </c>
      <c r="EC33" s="228">
        <v>9.18</v>
      </c>
      <c r="ED33" s="229">
        <v>8.9999999999999993E-3</v>
      </c>
      <c r="EE33" s="230">
        <v>1528727</v>
      </c>
      <c r="EF33" s="230">
        <v>1142688</v>
      </c>
      <c r="EG33" s="229">
        <v>0.33779999999999999</v>
      </c>
      <c r="EH33" s="229">
        <v>0.56740000000000002</v>
      </c>
      <c r="EI33" s="231">
        <v>31287.98</v>
      </c>
      <c r="EJ33" s="231">
        <v>14860.06</v>
      </c>
      <c r="EK33" s="231">
        <v>20371.05</v>
      </c>
      <c r="EL33" s="231">
        <v>6364</v>
      </c>
      <c r="EM33" s="231">
        <v>66519.09</v>
      </c>
      <c r="EN33" s="231">
        <v>54975.23</v>
      </c>
      <c r="EO33" s="231">
        <v>11543.86</v>
      </c>
      <c r="EP33" s="229">
        <v>0.21</v>
      </c>
      <c r="EQ33" s="231">
        <v>22044</v>
      </c>
      <c r="ER33" s="231">
        <v>13328</v>
      </c>
      <c r="ES33" s="231">
        <v>134671</v>
      </c>
      <c r="ET33" s="231">
        <v>111298748</v>
      </c>
      <c r="EU33" s="231">
        <v>170043</v>
      </c>
      <c r="EV33" s="231">
        <v>159637</v>
      </c>
      <c r="EW33" s="231">
        <v>10406</v>
      </c>
      <c r="EX33" s="229">
        <v>6.5199999999999994E-2</v>
      </c>
      <c r="EY33" s="229">
        <v>0.14960000000000001</v>
      </c>
    </row>
    <row r="34" spans="1:155" ht="17.25" thickBot="1" x14ac:dyDescent="0.3">
      <c r="A34" s="226">
        <v>46146</v>
      </c>
      <c r="B34" s="227" t="s">
        <v>168</v>
      </c>
      <c r="C34" s="227" t="s">
        <v>265</v>
      </c>
      <c r="D34" s="231">
        <v>1460.1</v>
      </c>
      <c r="E34" s="231">
        <v>1462.1</v>
      </c>
      <c r="F34" s="228">
        <v>-2</v>
      </c>
      <c r="G34" s="229">
        <v>-1.4E-3</v>
      </c>
      <c r="H34" s="231">
        <v>1457.1</v>
      </c>
      <c r="I34" s="231">
        <v>1458.6</v>
      </c>
      <c r="J34" s="228">
        <v>-1.5</v>
      </c>
      <c r="K34" s="229">
        <v>-1E-3</v>
      </c>
      <c r="L34" s="231">
        <v>1460.1</v>
      </c>
      <c r="M34" s="231">
        <v>1462.1</v>
      </c>
      <c r="N34" s="228">
        <v>-2</v>
      </c>
      <c r="O34" s="229">
        <v>-1.4E-3</v>
      </c>
      <c r="P34" s="231">
        <v>1469.9</v>
      </c>
      <c r="Q34" s="231">
        <v>1471.2</v>
      </c>
      <c r="R34" s="228">
        <v>-1.3</v>
      </c>
      <c r="S34" s="229">
        <v>-8.9999999999999998E-4</v>
      </c>
      <c r="T34" s="231">
        <v>1475</v>
      </c>
      <c r="U34" s="231">
        <v>1475.3</v>
      </c>
      <c r="V34" s="228">
        <v>-0.3</v>
      </c>
      <c r="W34" s="229">
        <v>-2.0000000000000001E-4</v>
      </c>
      <c r="X34" s="228">
        <v>3</v>
      </c>
      <c r="Y34" s="228">
        <v>3.5</v>
      </c>
      <c r="Z34" s="228">
        <v>-0.5</v>
      </c>
      <c r="AA34" s="229">
        <v>2.0999999999999999E-3</v>
      </c>
      <c r="AB34" s="228">
        <v>3</v>
      </c>
      <c r="AC34" s="228">
        <v>3.5</v>
      </c>
      <c r="AD34" s="228">
        <v>-0.5</v>
      </c>
      <c r="AE34" s="229">
        <v>2.0999999999999999E-3</v>
      </c>
      <c r="AF34" s="228">
        <v>12.8</v>
      </c>
      <c r="AG34" s="228">
        <v>12.6</v>
      </c>
      <c r="AH34" s="228">
        <v>0.2</v>
      </c>
      <c r="AI34" s="229">
        <v>8.8000000000000005E-3</v>
      </c>
      <c r="AJ34" s="228">
        <v>17.899999999999999</v>
      </c>
      <c r="AK34" s="228">
        <v>16.7</v>
      </c>
      <c r="AL34" s="228">
        <v>1.2</v>
      </c>
      <c r="AM34" s="229">
        <v>1.23E-2</v>
      </c>
      <c r="AN34" s="231">
        <v>1463.33</v>
      </c>
      <c r="AO34" s="231">
        <v>1473.14</v>
      </c>
      <c r="AP34" s="228">
        <v>0</v>
      </c>
      <c r="AQ34" s="230">
        <v>3141</v>
      </c>
      <c r="AR34" s="230">
        <v>3871</v>
      </c>
      <c r="AS34" s="228">
        <v>-730</v>
      </c>
      <c r="AT34" s="229">
        <v>-0.18859999999999999</v>
      </c>
      <c r="AU34" s="230">
        <v>2924</v>
      </c>
      <c r="AV34" s="230">
        <v>3716</v>
      </c>
      <c r="AW34" s="228">
        <v>-792</v>
      </c>
      <c r="AX34" s="229">
        <v>-0.21310000000000001</v>
      </c>
      <c r="AY34" s="228">
        <v>209</v>
      </c>
      <c r="AZ34" s="228">
        <v>137</v>
      </c>
      <c r="BA34" s="228">
        <v>72</v>
      </c>
      <c r="BB34" s="229">
        <v>0.52549999999999997</v>
      </c>
      <c r="BC34" s="228">
        <v>8</v>
      </c>
      <c r="BD34" s="228">
        <v>18</v>
      </c>
      <c r="BE34" s="228">
        <v>-10</v>
      </c>
      <c r="BF34" s="229">
        <v>-0.55559999999999998</v>
      </c>
      <c r="BG34" s="230">
        <v>7199</v>
      </c>
      <c r="BH34" s="230">
        <v>9636</v>
      </c>
      <c r="BI34" s="230">
        <v>-2437</v>
      </c>
      <c r="BJ34" s="229">
        <v>-0.25290000000000001</v>
      </c>
      <c r="BK34" s="230">
        <v>4309</v>
      </c>
      <c r="BL34" s="230">
        <v>7960</v>
      </c>
      <c r="BM34" s="230">
        <v>-3651</v>
      </c>
      <c r="BN34" s="229">
        <v>-0.4587</v>
      </c>
      <c r="BO34" s="230">
        <v>14649</v>
      </c>
      <c r="BP34" s="230">
        <v>21467</v>
      </c>
      <c r="BQ34" s="230">
        <v>-6818</v>
      </c>
      <c r="BR34" s="229">
        <v>-0.31759999999999999</v>
      </c>
      <c r="BS34" s="230">
        <v>1779525</v>
      </c>
      <c r="BT34" s="230">
        <v>2499206</v>
      </c>
      <c r="BU34" s="230">
        <v>-719681</v>
      </c>
      <c r="BV34" s="229">
        <v>-0.28799999999999998</v>
      </c>
      <c r="BW34" s="230">
        <v>14609000</v>
      </c>
      <c r="BX34" s="230">
        <v>14812500</v>
      </c>
      <c r="BY34" s="230">
        <v>-203500</v>
      </c>
      <c r="BZ34" s="229">
        <v>-1.37E-2</v>
      </c>
      <c r="CA34" s="230">
        <v>13542000</v>
      </c>
      <c r="CB34" s="230">
        <v>13765500</v>
      </c>
      <c r="CC34" s="230">
        <v>-223500</v>
      </c>
      <c r="CD34" s="229">
        <v>-1.6199999999999999E-2</v>
      </c>
      <c r="CE34" s="230">
        <v>1055000</v>
      </c>
      <c r="CF34" s="230">
        <v>1035000</v>
      </c>
      <c r="CG34" s="230">
        <v>20000</v>
      </c>
      <c r="CH34" s="229">
        <v>1.9300000000000001E-2</v>
      </c>
      <c r="CI34" s="230">
        <v>12000</v>
      </c>
      <c r="CJ34" s="230">
        <v>12000</v>
      </c>
      <c r="CK34" s="228">
        <v>0</v>
      </c>
      <c r="CL34" s="229">
        <v>0</v>
      </c>
      <c r="CM34" s="230">
        <v>3640500</v>
      </c>
      <c r="CN34" s="230">
        <v>3407500</v>
      </c>
      <c r="CO34" s="230">
        <v>233000</v>
      </c>
      <c r="CP34" s="229">
        <v>6.8400000000000002E-2</v>
      </c>
      <c r="CQ34" s="230">
        <v>3171000</v>
      </c>
      <c r="CR34" s="230">
        <v>3076500</v>
      </c>
      <c r="CS34" s="230">
        <v>94500</v>
      </c>
      <c r="CT34" s="229">
        <v>3.0700000000000002E-2</v>
      </c>
      <c r="CU34" s="230">
        <v>21420500</v>
      </c>
      <c r="CV34" s="230">
        <v>21296500</v>
      </c>
      <c r="CW34" s="230">
        <v>124000</v>
      </c>
      <c r="CX34" s="229">
        <v>5.7999999999999996E-3</v>
      </c>
      <c r="CY34" s="228">
        <v>22.56</v>
      </c>
      <c r="CZ34" s="228">
        <v>22.55</v>
      </c>
      <c r="DA34" s="228">
        <v>0.01</v>
      </c>
      <c r="DB34" s="228">
        <v>0.01</v>
      </c>
      <c r="DC34" s="228">
        <v>25.12</v>
      </c>
      <c r="DD34" s="228">
        <v>25.18</v>
      </c>
      <c r="DE34" s="228">
        <v>-2.56</v>
      </c>
      <c r="DF34" s="228">
        <v>-0.06</v>
      </c>
      <c r="DG34" s="228">
        <v>21.99</v>
      </c>
      <c r="DH34" s="228">
        <v>21.76</v>
      </c>
      <c r="DI34" s="228">
        <v>0.23</v>
      </c>
      <c r="DJ34" s="228">
        <v>0.23</v>
      </c>
      <c r="DK34" s="228">
        <v>23.5</v>
      </c>
      <c r="DL34" s="228">
        <v>23.49</v>
      </c>
      <c r="DM34" s="228">
        <v>0.01</v>
      </c>
      <c r="DN34" s="228">
        <v>0.01</v>
      </c>
      <c r="DO34" s="228">
        <v>0.87</v>
      </c>
      <c r="DP34" s="228">
        <v>0.9</v>
      </c>
      <c r="DQ34" s="228">
        <v>-0.03</v>
      </c>
      <c r="DR34" s="229">
        <v>-3.3300000000000003E-2</v>
      </c>
      <c r="DS34" s="231">
        <v>1480</v>
      </c>
      <c r="DT34" s="231">
        <v>1400</v>
      </c>
      <c r="DU34" s="228">
        <v>0.6</v>
      </c>
      <c r="DV34" s="228">
        <v>0.83</v>
      </c>
      <c r="DW34" s="228">
        <v>-0.23</v>
      </c>
      <c r="DX34" s="229">
        <v>-0.27710000000000001</v>
      </c>
      <c r="DY34" s="229">
        <v>7.2999999999999995E-2</v>
      </c>
      <c r="DZ34" s="230">
        <v>1047000</v>
      </c>
      <c r="EA34" s="229">
        <v>6.7000000000000002E-3</v>
      </c>
      <c r="EB34" s="229">
        <v>7.2999999999999995E-2</v>
      </c>
      <c r="EC34" s="228">
        <v>9.81</v>
      </c>
      <c r="ED34" s="229">
        <v>6.7000000000000002E-3</v>
      </c>
      <c r="EE34" s="230">
        <v>1131711</v>
      </c>
      <c r="EF34" s="230">
        <v>1787005</v>
      </c>
      <c r="EG34" s="229">
        <v>-0.36670000000000003</v>
      </c>
      <c r="EH34" s="229">
        <v>0.63600000000000001</v>
      </c>
      <c r="EI34" s="231">
        <v>54731.09</v>
      </c>
      <c r="EJ34" s="231">
        <v>31124.07</v>
      </c>
      <c r="EK34" s="231">
        <v>22992.45</v>
      </c>
      <c r="EL34" s="231">
        <v>9402</v>
      </c>
      <c r="EM34" s="231">
        <v>108847.61</v>
      </c>
      <c r="EN34" s="231">
        <v>158220.49</v>
      </c>
      <c r="EO34" s="231">
        <v>-49372.88</v>
      </c>
      <c r="EP34" s="229">
        <v>-0.31209999999999999</v>
      </c>
      <c r="EQ34" s="231">
        <v>53462</v>
      </c>
      <c r="ER34" s="231">
        <v>44031</v>
      </c>
      <c r="ES34" s="231">
        <v>213411</v>
      </c>
      <c r="ET34" s="231">
        <v>71801274</v>
      </c>
      <c r="EU34" s="231">
        <v>310904</v>
      </c>
      <c r="EV34" s="231">
        <v>309189</v>
      </c>
      <c r="EW34" s="231">
        <v>1715</v>
      </c>
      <c r="EX34" s="229">
        <v>5.4999999999999997E-3</v>
      </c>
      <c r="EY34" s="229">
        <v>0.29830000000000001</v>
      </c>
    </row>
    <row r="35" spans="1:155" ht="17.25" thickBot="1" x14ac:dyDescent="0.3">
      <c r="A35" s="226">
        <v>46146</v>
      </c>
      <c r="B35" s="227" t="s">
        <v>161</v>
      </c>
      <c r="C35" s="227" t="s">
        <v>268</v>
      </c>
      <c r="D35" s="228">
        <v>402.2</v>
      </c>
      <c r="E35" s="228">
        <v>400.5</v>
      </c>
      <c r="F35" s="228">
        <v>1.7</v>
      </c>
      <c r="G35" s="229">
        <v>4.1999999999999997E-3</v>
      </c>
      <c r="H35" s="228">
        <v>400.05</v>
      </c>
      <c r="I35" s="228">
        <v>399.15</v>
      </c>
      <c r="J35" s="228">
        <v>0.9</v>
      </c>
      <c r="K35" s="229">
        <v>2.3E-3</v>
      </c>
      <c r="L35" s="228">
        <v>402.2</v>
      </c>
      <c r="M35" s="228">
        <v>400.5</v>
      </c>
      <c r="N35" s="228">
        <v>1.7</v>
      </c>
      <c r="O35" s="229">
        <v>4.1999999999999997E-3</v>
      </c>
      <c r="P35" s="228">
        <v>404.85</v>
      </c>
      <c r="Q35" s="228">
        <v>403.3</v>
      </c>
      <c r="R35" s="228">
        <v>1.55</v>
      </c>
      <c r="S35" s="229">
        <v>3.8E-3</v>
      </c>
      <c r="T35" s="228">
        <v>407.65</v>
      </c>
      <c r="U35" s="228">
        <v>405.65</v>
      </c>
      <c r="V35" s="228">
        <v>2</v>
      </c>
      <c r="W35" s="229">
        <v>4.8999999999999998E-3</v>
      </c>
      <c r="X35" s="228">
        <v>2.15</v>
      </c>
      <c r="Y35" s="228">
        <v>1.35</v>
      </c>
      <c r="Z35" s="228">
        <v>0.8</v>
      </c>
      <c r="AA35" s="229">
        <v>5.4000000000000003E-3</v>
      </c>
      <c r="AB35" s="228">
        <v>2.15</v>
      </c>
      <c r="AC35" s="228">
        <v>1.35</v>
      </c>
      <c r="AD35" s="228">
        <v>0.8</v>
      </c>
      <c r="AE35" s="229">
        <v>5.4000000000000003E-3</v>
      </c>
      <c r="AF35" s="228">
        <v>4.8</v>
      </c>
      <c r="AG35" s="228">
        <v>4.1500000000000004</v>
      </c>
      <c r="AH35" s="228">
        <v>0.65</v>
      </c>
      <c r="AI35" s="229">
        <v>1.2E-2</v>
      </c>
      <c r="AJ35" s="228">
        <v>7.6</v>
      </c>
      <c r="AK35" s="228">
        <v>6.5</v>
      </c>
      <c r="AL35" s="228">
        <v>1.1000000000000001</v>
      </c>
      <c r="AM35" s="229">
        <v>1.9E-2</v>
      </c>
      <c r="AN35" s="228">
        <v>402.59</v>
      </c>
      <c r="AO35" s="228">
        <v>404.79</v>
      </c>
      <c r="AP35" s="228">
        <v>0</v>
      </c>
      <c r="AQ35" s="230">
        <v>4666</v>
      </c>
      <c r="AR35" s="230">
        <v>4860</v>
      </c>
      <c r="AS35" s="228">
        <v>-194</v>
      </c>
      <c r="AT35" s="229">
        <v>-3.9899999999999998E-2</v>
      </c>
      <c r="AU35" s="230">
        <v>4069</v>
      </c>
      <c r="AV35" s="230">
        <v>4574</v>
      </c>
      <c r="AW35" s="228">
        <v>-505</v>
      </c>
      <c r="AX35" s="229">
        <v>-0.1104</v>
      </c>
      <c r="AY35" s="228">
        <v>556</v>
      </c>
      <c r="AZ35" s="228">
        <v>236</v>
      </c>
      <c r="BA35" s="228">
        <v>320</v>
      </c>
      <c r="BB35" s="229">
        <v>1.3559000000000001</v>
      </c>
      <c r="BC35" s="228">
        <v>41</v>
      </c>
      <c r="BD35" s="228">
        <v>50</v>
      </c>
      <c r="BE35" s="228">
        <v>-9</v>
      </c>
      <c r="BF35" s="229">
        <v>-0.18</v>
      </c>
      <c r="BG35" s="230">
        <v>16760</v>
      </c>
      <c r="BH35" s="230">
        <v>28121</v>
      </c>
      <c r="BI35" s="230">
        <v>-11361</v>
      </c>
      <c r="BJ35" s="229">
        <v>-0.40400000000000003</v>
      </c>
      <c r="BK35" s="230">
        <v>6502</v>
      </c>
      <c r="BL35" s="230">
        <v>8064</v>
      </c>
      <c r="BM35" s="230">
        <v>-1562</v>
      </c>
      <c r="BN35" s="229">
        <v>-0.19370000000000001</v>
      </c>
      <c r="BO35" s="230">
        <v>27928</v>
      </c>
      <c r="BP35" s="230">
        <v>41045</v>
      </c>
      <c r="BQ35" s="230">
        <v>-13117</v>
      </c>
      <c r="BR35" s="229">
        <v>-0.3196</v>
      </c>
      <c r="BS35" s="230">
        <v>6735146</v>
      </c>
      <c r="BT35" s="230">
        <v>8206773</v>
      </c>
      <c r="BU35" s="230">
        <v>-1471627</v>
      </c>
      <c r="BV35" s="229">
        <v>-0.17929999999999999</v>
      </c>
      <c r="BW35" s="230">
        <v>111685500</v>
      </c>
      <c r="BX35" s="230">
        <v>110689500</v>
      </c>
      <c r="BY35" s="230">
        <v>996000</v>
      </c>
      <c r="BZ35" s="229">
        <v>8.9999999999999993E-3</v>
      </c>
      <c r="CA35" s="230">
        <v>101590500</v>
      </c>
      <c r="CB35" s="230">
        <v>101217000</v>
      </c>
      <c r="CC35" s="230">
        <v>373500</v>
      </c>
      <c r="CD35" s="229">
        <v>3.7000000000000002E-3</v>
      </c>
      <c r="CE35" s="230">
        <v>9978000</v>
      </c>
      <c r="CF35" s="230">
        <v>9393000</v>
      </c>
      <c r="CG35" s="230">
        <v>585000</v>
      </c>
      <c r="CH35" s="229">
        <v>6.2300000000000001E-2</v>
      </c>
      <c r="CI35" s="230">
        <v>117000</v>
      </c>
      <c r="CJ35" s="230">
        <v>79500</v>
      </c>
      <c r="CK35" s="230">
        <v>37500</v>
      </c>
      <c r="CL35" s="229">
        <v>0.47170000000000001</v>
      </c>
      <c r="CM35" s="230">
        <v>31764000</v>
      </c>
      <c r="CN35" s="230">
        <v>29782500</v>
      </c>
      <c r="CO35" s="230">
        <v>1981500</v>
      </c>
      <c r="CP35" s="229">
        <v>6.6500000000000004E-2</v>
      </c>
      <c r="CQ35" s="230">
        <v>13584000</v>
      </c>
      <c r="CR35" s="230">
        <v>12984000</v>
      </c>
      <c r="CS35" s="230">
        <v>600000</v>
      </c>
      <c r="CT35" s="229">
        <v>4.6199999999999998E-2</v>
      </c>
      <c r="CU35" s="230">
        <v>157033500</v>
      </c>
      <c r="CV35" s="230">
        <v>153456000</v>
      </c>
      <c r="CW35" s="230">
        <v>3577500</v>
      </c>
      <c r="CX35" s="229">
        <v>2.3300000000000001E-2</v>
      </c>
      <c r="CY35" s="228">
        <v>24.4</v>
      </c>
      <c r="CZ35" s="228">
        <v>24.47</v>
      </c>
      <c r="DA35" s="228">
        <v>-7.0000000000000007E-2</v>
      </c>
      <c r="DB35" s="228">
        <v>-7.0000000000000007E-2</v>
      </c>
      <c r="DC35" s="228">
        <v>27.22</v>
      </c>
      <c r="DD35" s="228">
        <v>27.29</v>
      </c>
      <c r="DE35" s="228">
        <v>-2.82</v>
      </c>
      <c r="DF35" s="228">
        <v>-7.0000000000000007E-2</v>
      </c>
      <c r="DG35" s="228">
        <v>24.5</v>
      </c>
      <c r="DH35" s="228">
        <v>24.37</v>
      </c>
      <c r="DI35" s="228">
        <v>0.13</v>
      </c>
      <c r="DJ35" s="228">
        <v>0.13</v>
      </c>
      <c r="DK35" s="228">
        <v>24.14</v>
      </c>
      <c r="DL35" s="228">
        <v>24.86</v>
      </c>
      <c r="DM35" s="228">
        <v>-0.72</v>
      </c>
      <c r="DN35" s="228">
        <v>-0.72</v>
      </c>
      <c r="DO35" s="228">
        <v>0.43</v>
      </c>
      <c r="DP35" s="228">
        <v>0.44</v>
      </c>
      <c r="DQ35" s="228">
        <v>-0.01</v>
      </c>
      <c r="DR35" s="229">
        <v>-2.2700000000000001E-2</v>
      </c>
      <c r="DS35" s="228">
        <v>410</v>
      </c>
      <c r="DT35" s="228">
        <v>400</v>
      </c>
      <c r="DU35" s="228">
        <v>0.39</v>
      </c>
      <c r="DV35" s="228">
        <v>0.28999999999999998</v>
      </c>
      <c r="DW35" s="228">
        <v>0.1</v>
      </c>
      <c r="DX35" s="229">
        <v>0.3448</v>
      </c>
      <c r="DY35" s="229">
        <v>9.0399999999999994E-2</v>
      </c>
      <c r="DZ35" s="230">
        <v>9472500</v>
      </c>
      <c r="EA35" s="229">
        <v>6.6E-3</v>
      </c>
      <c r="EB35" s="229">
        <v>9.0399999999999994E-2</v>
      </c>
      <c r="EC35" s="228">
        <v>2.2000000000000002</v>
      </c>
      <c r="ED35" s="229">
        <v>5.4999999999999997E-3</v>
      </c>
      <c r="EE35" s="230">
        <v>4107738</v>
      </c>
      <c r="EF35" s="230">
        <v>4958143</v>
      </c>
      <c r="EG35" s="229">
        <v>-0.17150000000000001</v>
      </c>
      <c r="EH35" s="229">
        <v>0.6099</v>
      </c>
      <c r="EI35" s="231">
        <v>106489.2</v>
      </c>
      <c r="EJ35" s="231">
        <v>39176.28</v>
      </c>
      <c r="EK35" s="231">
        <v>28198.66</v>
      </c>
      <c r="EL35" s="231">
        <v>22070</v>
      </c>
      <c r="EM35" s="231">
        <v>173864.14</v>
      </c>
      <c r="EN35" s="231">
        <v>255067.59</v>
      </c>
      <c r="EO35" s="231">
        <v>-81203.45</v>
      </c>
      <c r="EP35" s="229">
        <v>-0.31840000000000002</v>
      </c>
      <c r="EQ35" s="231">
        <v>133930</v>
      </c>
      <c r="ER35" s="231">
        <v>53280</v>
      </c>
      <c r="ES35" s="231">
        <v>449470</v>
      </c>
      <c r="ET35" s="231">
        <v>550512361</v>
      </c>
      <c r="EU35" s="231">
        <v>636680</v>
      </c>
      <c r="EV35" s="231">
        <v>620080</v>
      </c>
      <c r="EW35" s="231">
        <v>16600</v>
      </c>
      <c r="EX35" s="229">
        <v>2.6800000000000001E-2</v>
      </c>
      <c r="EY35" s="229">
        <v>0.28520000000000001</v>
      </c>
    </row>
    <row r="36" spans="1:155" ht="17.25" thickBot="1" x14ac:dyDescent="0.3">
      <c r="A36" s="226">
        <v>46146</v>
      </c>
      <c r="B36" s="227" t="s">
        <v>193</v>
      </c>
      <c r="C36" s="227" t="s">
        <v>269</v>
      </c>
      <c r="D36" s="228">
        <v>294.55</v>
      </c>
      <c r="E36" s="228">
        <v>301.05</v>
      </c>
      <c r="F36" s="228">
        <v>-6.5</v>
      </c>
      <c r="G36" s="229">
        <v>-2.1600000000000001E-2</v>
      </c>
      <c r="H36" s="228">
        <v>292.89999999999998</v>
      </c>
      <c r="I36" s="228">
        <v>299.55</v>
      </c>
      <c r="J36" s="228">
        <v>-6.65</v>
      </c>
      <c r="K36" s="229">
        <v>-2.2200000000000001E-2</v>
      </c>
      <c r="L36" s="228">
        <v>294.55</v>
      </c>
      <c r="M36" s="228">
        <v>301.05</v>
      </c>
      <c r="N36" s="228">
        <v>-6.5</v>
      </c>
      <c r="O36" s="229">
        <v>-2.1600000000000001E-2</v>
      </c>
      <c r="P36" s="228">
        <v>296.5</v>
      </c>
      <c r="Q36" s="228">
        <v>302.85000000000002</v>
      </c>
      <c r="R36" s="228">
        <v>-6.35</v>
      </c>
      <c r="S36" s="229">
        <v>-2.1000000000000001E-2</v>
      </c>
      <c r="T36" s="228">
        <v>297.55</v>
      </c>
      <c r="U36" s="228">
        <v>304.89999999999998</v>
      </c>
      <c r="V36" s="228">
        <v>-7.35</v>
      </c>
      <c r="W36" s="229">
        <v>-2.41E-2</v>
      </c>
      <c r="X36" s="228">
        <v>1.65</v>
      </c>
      <c r="Y36" s="228">
        <v>1.5</v>
      </c>
      <c r="Z36" s="228">
        <v>0.15</v>
      </c>
      <c r="AA36" s="229">
        <v>5.5999999999999999E-3</v>
      </c>
      <c r="AB36" s="228">
        <v>1.65</v>
      </c>
      <c r="AC36" s="228">
        <v>1.5</v>
      </c>
      <c r="AD36" s="228">
        <v>0.15</v>
      </c>
      <c r="AE36" s="229">
        <v>5.5999999999999999E-3</v>
      </c>
      <c r="AF36" s="228">
        <v>3.6</v>
      </c>
      <c r="AG36" s="228">
        <v>3.3</v>
      </c>
      <c r="AH36" s="228">
        <v>0.3</v>
      </c>
      <c r="AI36" s="229">
        <v>1.23E-2</v>
      </c>
      <c r="AJ36" s="228">
        <v>4.6500000000000004</v>
      </c>
      <c r="AK36" s="228">
        <v>5.35</v>
      </c>
      <c r="AL36" s="228">
        <v>-0.7</v>
      </c>
      <c r="AM36" s="229">
        <v>1.5900000000000001E-2</v>
      </c>
      <c r="AN36" s="228">
        <v>295.87</v>
      </c>
      <c r="AO36" s="228">
        <v>297.52999999999997</v>
      </c>
      <c r="AP36" s="228">
        <v>0</v>
      </c>
      <c r="AQ36" s="230">
        <v>4439</v>
      </c>
      <c r="AR36" s="230">
        <v>6051</v>
      </c>
      <c r="AS36" s="230">
        <v>-1612</v>
      </c>
      <c r="AT36" s="229">
        <v>-0.26640000000000003</v>
      </c>
      <c r="AU36" s="230">
        <v>4024</v>
      </c>
      <c r="AV36" s="230">
        <v>5563</v>
      </c>
      <c r="AW36" s="230">
        <v>-1539</v>
      </c>
      <c r="AX36" s="229">
        <v>-0.27660000000000001</v>
      </c>
      <c r="AY36" s="228">
        <v>377</v>
      </c>
      <c r="AZ36" s="228">
        <v>445</v>
      </c>
      <c r="BA36" s="228">
        <v>-68</v>
      </c>
      <c r="BB36" s="229">
        <v>-0.15279999999999999</v>
      </c>
      <c r="BC36" s="228">
        <v>38</v>
      </c>
      <c r="BD36" s="228">
        <v>43</v>
      </c>
      <c r="BE36" s="228">
        <v>-5</v>
      </c>
      <c r="BF36" s="229">
        <v>-0.1163</v>
      </c>
      <c r="BG36" s="230">
        <v>23377</v>
      </c>
      <c r="BH36" s="230">
        <v>39706</v>
      </c>
      <c r="BI36" s="230">
        <v>-16329</v>
      </c>
      <c r="BJ36" s="229">
        <v>-0.41120000000000001</v>
      </c>
      <c r="BK36" s="230">
        <v>7949</v>
      </c>
      <c r="BL36" s="230">
        <v>12212</v>
      </c>
      <c r="BM36" s="230">
        <v>-4263</v>
      </c>
      <c r="BN36" s="229">
        <v>-0.34910000000000002</v>
      </c>
      <c r="BO36" s="230">
        <v>35765</v>
      </c>
      <c r="BP36" s="230">
        <v>57969</v>
      </c>
      <c r="BQ36" s="230">
        <v>-22204</v>
      </c>
      <c r="BR36" s="229">
        <v>-0.38300000000000001</v>
      </c>
      <c r="BS36" s="230">
        <v>15760512</v>
      </c>
      <c r="BT36" s="230">
        <v>18673442</v>
      </c>
      <c r="BU36" s="230">
        <v>-2912930</v>
      </c>
      <c r="BV36" s="229">
        <v>-0.156</v>
      </c>
      <c r="BW36" s="230">
        <v>102048750</v>
      </c>
      <c r="BX36" s="230">
        <v>101785500</v>
      </c>
      <c r="BY36" s="230">
        <v>263250</v>
      </c>
      <c r="BZ36" s="229">
        <v>2.5999999999999999E-3</v>
      </c>
      <c r="CA36" s="230">
        <v>83549250</v>
      </c>
      <c r="CB36" s="230">
        <v>83655000</v>
      </c>
      <c r="CC36" s="230">
        <v>-105750</v>
      </c>
      <c r="CD36" s="229">
        <v>-1.2999999999999999E-3</v>
      </c>
      <c r="CE36" s="230">
        <v>18351000</v>
      </c>
      <c r="CF36" s="230">
        <v>18027000</v>
      </c>
      <c r="CG36" s="230">
        <v>324000</v>
      </c>
      <c r="CH36" s="229">
        <v>1.7999999999999999E-2</v>
      </c>
      <c r="CI36" s="230">
        <v>148500</v>
      </c>
      <c r="CJ36" s="230">
        <v>103500</v>
      </c>
      <c r="CK36" s="230">
        <v>45000</v>
      </c>
      <c r="CL36" s="229">
        <v>0.43480000000000002</v>
      </c>
      <c r="CM36" s="230">
        <v>43314750</v>
      </c>
      <c r="CN36" s="230">
        <v>37278000</v>
      </c>
      <c r="CO36" s="230">
        <v>6036750</v>
      </c>
      <c r="CP36" s="229">
        <v>0.16189999999999999</v>
      </c>
      <c r="CQ36" s="230">
        <v>17613000</v>
      </c>
      <c r="CR36" s="230">
        <v>19271250</v>
      </c>
      <c r="CS36" s="230">
        <v>-1658250</v>
      </c>
      <c r="CT36" s="229">
        <v>-8.5999999999999993E-2</v>
      </c>
      <c r="CU36" s="230">
        <v>162976500</v>
      </c>
      <c r="CV36" s="230">
        <v>158334750</v>
      </c>
      <c r="CW36" s="230">
        <v>4641750</v>
      </c>
      <c r="CX36" s="229">
        <v>2.93E-2</v>
      </c>
      <c r="CY36" s="228">
        <v>26.5</v>
      </c>
      <c r="CZ36" s="228">
        <v>26.15</v>
      </c>
      <c r="DA36" s="228">
        <v>0.35</v>
      </c>
      <c r="DB36" s="228">
        <v>0.35</v>
      </c>
      <c r="DC36" s="228">
        <v>31.93</v>
      </c>
      <c r="DD36" s="228">
        <v>31.86</v>
      </c>
      <c r="DE36" s="228">
        <v>-5.43</v>
      </c>
      <c r="DF36" s="228">
        <v>7.0000000000000007E-2</v>
      </c>
      <c r="DG36" s="228">
        <v>26.5</v>
      </c>
      <c r="DH36" s="228">
        <v>25.93</v>
      </c>
      <c r="DI36" s="228">
        <v>0.56999999999999995</v>
      </c>
      <c r="DJ36" s="228">
        <v>0.56999999999999995</v>
      </c>
      <c r="DK36" s="228">
        <v>26.49</v>
      </c>
      <c r="DL36" s="228">
        <v>26.87</v>
      </c>
      <c r="DM36" s="228">
        <v>-0.38</v>
      </c>
      <c r="DN36" s="228">
        <v>-0.38</v>
      </c>
      <c r="DO36" s="228">
        <v>0.41</v>
      </c>
      <c r="DP36" s="228">
        <v>0.52</v>
      </c>
      <c r="DQ36" s="228">
        <v>-0.11</v>
      </c>
      <c r="DR36" s="229">
        <v>-0.21149999999999999</v>
      </c>
      <c r="DS36" s="228">
        <v>310</v>
      </c>
      <c r="DT36" s="228">
        <v>280</v>
      </c>
      <c r="DU36" s="228">
        <v>0.34</v>
      </c>
      <c r="DV36" s="228">
        <v>0.31</v>
      </c>
      <c r="DW36" s="228">
        <v>0.03</v>
      </c>
      <c r="DX36" s="229">
        <v>9.6799999999999997E-2</v>
      </c>
      <c r="DY36" s="229">
        <v>0.18129999999999999</v>
      </c>
      <c r="DZ36" s="230">
        <v>18130500</v>
      </c>
      <c r="EA36" s="229">
        <v>6.6E-3</v>
      </c>
      <c r="EB36" s="229">
        <v>0.18129999999999999</v>
      </c>
      <c r="EC36" s="228">
        <v>1.66</v>
      </c>
      <c r="ED36" s="229">
        <v>5.5999999999999999E-3</v>
      </c>
      <c r="EE36" s="230">
        <v>9281057</v>
      </c>
      <c r="EF36" s="230">
        <v>8007096</v>
      </c>
      <c r="EG36" s="229">
        <v>0.15909999999999999</v>
      </c>
      <c r="EH36" s="229">
        <v>0.58889999999999998</v>
      </c>
      <c r="EI36" s="231">
        <v>164399.04999999999</v>
      </c>
      <c r="EJ36" s="231">
        <v>52865.71</v>
      </c>
      <c r="EK36" s="231">
        <v>29567.58</v>
      </c>
      <c r="EL36" s="231">
        <v>18447</v>
      </c>
      <c r="EM36" s="231">
        <v>246832.34</v>
      </c>
      <c r="EN36" s="231">
        <v>408185.82</v>
      </c>
      <c r="EO36" s="231">
        <v>-161353.48000000001</v>
      </c>
      <c r="EP36" s="229">
        <v>-0.39529999999999998</v>
      </c>
      <c r="EQ36" s="231">
        <v>133331</v>
      </c>
      <c r="ER36" s="231">
        <v>50553</v>
      </c>
      <c r="ES36" s="231">
        <v>300947</v>
      </c>
      <c r="ET36" s="231">
        <v>711370982</v>
      </c>
      <c r="EU36" s="231">
        <v>484831</v>
      </c>
      <c r="EV36" s="231">
        <v>476808</v>
      </c>
      <c r="EW36" s="231">
        <v>8023</v>
      </c>
      <c r="EX36" s="229">
        <v>1.6799999999999999E-2</v>
      </c>
      <c r="EY36" s="229">
        <v>0.2291</v>
      </c>
    </row>
    <row r="37" spans="1:155" ht="17.25" thickBot="1" x14ac:dyDescent="0.3">
      <c r="A37" s="226">
        <v>46146</v>
      </c>
      <c r="B37" s="227" t="s">
        <v>161</v>
      </c>
      <c r="C37" s="227" t="s">
        <v>276</v>
      </c>
      <c r="D37" s="228">
        <v>320.10000000000002</v>
      </c>
      <c r="E37" s="228">
        <v>319.14999999999998</v>
      </c>
      <c r="F37" s="228">
        <v>0.95</v>
      </c>
      <c r="G37" s="229">
        <v>3.0000000000000001E-3</v>
      </c>
      <c r="H37" s="228">
        <v>319.05</v>
      </c>
      <c r="I37" s="228">
        <v>318.35000000000002</v>
      </c>
      <c r="J37" s="228">
        <v>0.7</v>
      </c>
      <c r="K37" s="229">
        <v>2.2000000000000001E-3</v>
      </c>
      <c r="L37" s="228">
        <v>320.10000000000002</v>
      </c>
      <c r="M37" s="228">
        <v>319.14999999999998</v>
      </c>
      <c r="N37" s="228">
        <v>0.95</v>
      </c>
      <c r="O37" s="229">
        <v>3.0000000000000001E-3</v>
      </c>
      <c r="P37" s="228">
        <v>322.39999999999998</v>
      </c>
      <c r="Q37" s="228">
        <v>321.3</v>
      </c>
      <c r="R37" s="228">
        <v>1.1000000000000001</v>
      </c>
      <c r="S37" s="229">
        <v>3.3999999999999998E-3</v>
      </c>
      <c r="T37" s="228">
        <v>323.2</v>
      </c>
      <c r="U37" s="228">
        <v>323.2</v>
      </c>
      <c r="V37" s="228">
        <v>0</v>
      </c>
      <c r="W37" s="229">
        <v>0</v>
      </c>
      <c r="X37" s="228">
        <v>1.05</v>
      </c>
      <c r="Y37" s="228">
        <v>0.8</v>
      </c>
      <c r="Z37" s="228">
        <v>0.25</v>
      </c>
      <c r="AA37" s="229">
        <v>3.3E-3</v>
      </c>
      <c r="AB37" s="228">
        <v>1.05</v>
      </c>
      <c r="AC37" s="228">
        <v>0.8</v>
      </c>
      <c r="AD37" s="228">
        <v>0.25</v>
      </c>
      <c r="AE37" s="229">
        <v>3.3E-3</v>
      </c>
      <c r="AF37" s="228">
        <v>3.35</v>
      </c>
      <c r="AG37" s="228">
        <v>2.95</v>
      </c>
      <c r="AH37" s="228">
        <v>0.4</v>
      </c>
      <c r="AI37" s="229">
        <v>1.0500000000000001E-2</v>
      </c>
      <c r="AJ37" s="228">
        <v>4.1500000000000004</v>
      </c>
      <c r="AK37" s="228">
        <v>4.8499999999999996</v>
      </c>
      <c r="AL37" s="228">
        <v>-0.7</v>
      </c>
      <c r="AM37" s="229">
        <v>1.2999999999999999E-2</v>
      </c>
      <c r="AN37" s="228">
        <v>321.08</v>
      </c>
      <c r="AO37" s="228">
        <v>322.89999999999998</v>
      </c>
      <c r="AP37" s="228">
        <v>0</v>
      </c>
      <c r="AQ37" s="230">
        <v>3737</v>
      </c>
      <c r="AR37" s="230">
        <v>4581</v>
      </c>
      <c r="AS37" s="228">
        <v>-844</v>
      </c>
      <c r="AT37" s="229">
        <v>-0.1842</v>
      </c>
      <c r="AU37" s="230">
        <v>3468</v>
      </c>
      <c r="AV37" s="230">
        <v>4395</v>
      </c>
      <c r="AW37" s="228">
        <v>-927</v>
      </c>
      <c r="AX37" s="229">
        <v>-0.2109</v>
      </c>
      <c r="AY37" s="228">
        <v>253</v>
      </c>
      <c r="AZ37" s="228">
        <v>158</v>
      </c>
      <c r="BA37" s="228">
        <v>95</v>
      </c>
      <c r="BB37" s="229">
        <v>0.60129999999999995</v>
      </c>
      <c r="BC37" s="228">
        <v>16</v>
      </c>
      <c r="BD37" s="228">
        <v>28</v>
      </c>
      <c r="BE37" s="228">
        <v>-12</v>
      </c>
      <c r="BF37" s="229">
        <v>-0.42859999999999998</v>
      </c>
      <c r="BG37" s="230">
        <v>11438</v>
      </c>
      <c r="BH37" s="230">
        <v>10828</v>
      </c>
      <c r="BI37" s="228">
        <v>610</v>
      </c>
      <c r="BJ37" s="229">
        <v>5.6300000000000003E-2</v>
      </c>
      <c r="BK37" s="230">
        <v>5466</v>
      </c>
      <c r="BL37" s="230">
        <v>5310</v>
      </c>
      <c r="BM37" s="228">
        <v>156</v>
      </c>
      <c r="BN37" s="229">
        <v>2.9399999999999999E-2</v>
      </c>
      <c r="BO37" s="230">
        <v>20641</v>
      </c>
      <c r="BP37" s="230">
        <v>20719</v>
      </c>
      <c r="BQ37" s="228">
        <v>-78</v>
      </c>
      <c r="BR37" s="229">
        <v>-3.8E-3</v>
      </c>
      <c r="BS37" s="230">
        <v>7657796</v>
      </c>
      <c r="BT37" s="230">
        <v>10028580</v>
      </c>
      <c r="BU37" s="230">
        <v>-2370784</v>
      </c>
      <c r="BV37" s="229">
        <v>-0.2364</v>
      </c>
      <c r="BW37" s="230">
        <v>80687300</v>
      </c>
      <c r="BX37" s="230">
        <v>79991900</v>
      </c>
      <c r="BY37" s="230">
        <v>695400</v>
      </c>
      <c r="BZ37" s="229">
        <v>8.6999999999999994E-3</v>
      </c>
      <c r="CA37" s="230">
        <v>68603300</v>
      </c>
      <c r="CB37" s="230">
        <v>68208100</v>
      </c>
      <c r="CC37" s="230">
        <v>395200</v>
      </c>
      <c r="CD37" s="229">
        <v>5.7999999999999996E-3</v>
      </c>
      <c r="CE37" s="230">
        <v>12015600</v>
      </c>
      <c r="CF37" s="230">
        <v>11723000</v>
      </c>
      <c r="CG37" s="230">
        <v>292600</v>
      </c>
      <c r="CH37" s="229">
        <v>2.5000000000000001E-2</v>
      </c>
      <c r="CI37" s="230">
        <v>68400</v>
      </c>
      <c r="CJ37" s="230">
        <v>60800</v>
      </c>
      <c r="CK37" s="230">
        <v>7600</v>
      </c>
      <c r="CL37" s="229">
        <v>0.125</v>
      </c>
      <c r="CM37" s="230">
        <v>19001900</v>
      </c>
      <c r="CN37" s="230">
        <v>16245000</v>
      </c>
      <c r="CO37" s="230">
        <v>2756900</v>
      </c>
      <c r="CP37" s="229">
        <v>0.16969999999999999</v>
      </c>
      <c r="CQ37" s="230">
        <v>12348100</v>
      </c>
      <c r="CR37" s="230">
        <v>11344900</v>
      </c>
      <c r="CS37" s="230">
        <v>1003200</v>
      </c>
      <c r="CT37" s="229">
        <v>8.8400000000000006E-2</v>
      </c>
      <c r="CU37" s="230">
        <v>112037300</v>
      </c>
      <c r="CV37" s="230">
        <v>107581800</v>
      </c>
      <c r="CW37" s="230">
        <v>4455500</v>
      </c>
      <c r="CX37" s="229">
        <v>4.1399999999999999E-2</v>
      </c>
      <c r="CY37" s="228">
        <v>26.14</v>
      </c>
      <c r="CZ37" s="228">
        <v>26.7</v>
      </c>
      <c r="DA37" s="228">
        <v>-0.56000000000000005</v>
      </c>
      <c r="DB37" s="228">
        <v>-0.56000000000000005</v>
      </c>
      <c r="DC37" s="228">
        <v>28.44</v>
      </c>
      <c r="DD37" s="228">
        <v>28.51</v>
      </c>
      <c r="DE37" s="228">
        <v>-2.2999999999999998</v>
      </c>
      <c r="DF37" s="228">
        <v>-7.0000000000000007E-2</v>
      </c>
      <c r="DG37" s="228">
        <v>26.07</v>
      </c>
      <c r="DH37" s="228">
        <v>26.89</v>
      </c>
      <c r="DI37" s="228">
        <v>-0.82</v>
      </c>
      <c r="DJ37" s="228">
        <v>-0.82</v>
      </c>
      <c r="DK37" s="228">
        <v>26.29</v>
      </c>
      <c r="DL37" s="228">
        <v>26.32</v>
      </c>
      <c r="DM37" s="228">
        <v>-0.03</v>
      </c>
      <c r="DN37" s="228">
        <v>-0.03</v>
      </c>
      <c r="DO37" s="228">
        <v>0.65</v>
      </c>
      <c r="DP37" s="228">
        <v>0.7</v>
      </c>
      <c r="DQ37" s="228">
        <v>-0.05</v>
      </c>
      <c r="DR37" s="229">
        <v>-7.1400000000000005E-2</v>
      </c>
      <c r="DS37" s="228">
        <v>320</v>
      </c>
      <c r="DT37" s="228">
        <v>320</v>
      </c>
      <c r="DU37" s="228">
        <v>0.48</v>
      </c>
      <c r="DV37" s="228">
        <v>0.49</v>
      </c>
      <c r="DW37" s="228">
        <v>-0.01</v>
      </c>
      <c r="DX37" s="229">
        <v>-2.0400000000000001E-2</v>
      </c>
      <c r="DY37" s="229">
        <v>0.14979999999999999</v>
      </c>
      <c r="DZ37" s="230">
        <v>11783800</v>
      </c>
      <c r="EA37" s="229">
        <v>7.1999999999999998E-3</v>
      </c>
      <c r="EB37" s="229">
        <v>0.14979999999999999</v>
      </c>
      <c r="EC37" s="228">
        <v>1.82</v>
      </c>
      <c r="ED37" s="229">
        <v>5.7000000000000002E-3</v>
      </c>
      <c r="EE37" s="230">
        <v>4185458</v>
      </c>
      <c r="EF37" s="230">
        <v>5898180</v>
      </c>
      <c r="EG37" s="229">
        <v>-0.29039999999999999</v>
      </c>
      <c r="EH37" s="229">
        <v>0.54659999999999997</v>
      </c>
      <c r="EI37" s="231">
        <v>72803.460000000006</v>
      </c>
      <c r="EJ37" s="231">
        <v>32989.71</v>
      </c>
      <c r="EK37" s="231">
        <v>22807.34</v>
      </c>
      <c r="EL37" s="231">
        <v>12429</v>
      </c>
      <c r="EM37" s="231">
        <v>128600.51</v>
      </c>
      <c r="EN37" s="231">
        <v>128963.88</v>
      </c>
      <c r="EO37" s="228">
        <v>-363.37</v>
      </c>
      <c r="EP37" s="229">
        <v>-2.8E-3</v>
      </c>
      <c r="EQ37" s="231">
        <v>62674</v>
      </c>
      <c r="ER37" s="231">
        <v>38187</v>
      </c>
      <c r="ES37" s="231">
        <v>258559</v>
      </c>
      <c r="ET37" s="231">
        <v>660840864</v>
      </c>
      <c r="EU37" s="231">
        <v>359419</v>
      </c>
      <c r="EV37" s="231">
        <v>344010</v>
      </c>
      <c r="EW37" s="231">
        <v>15409</v>
      </c>
      <c r="EX37" s="229">
        <v>4.48E-2</v>
      </c>
      <c r="EY37" s="229">
        <v>0.16950000000000001</v>
      </c>
    </row>
    <row r="38" spans="1:155" ht="17.25" thickBot="1" x14ac:dyDescent="0.3">
      <c r="A38" s="226">
        <v>46146</v>
      </c>
      <c r="B38" s="227" t="s">
        <v>193</v>
      </c>
      <c r="C38" s="227" t="s">
        <v>281</v>
      </c>
      <c r="D38" s="231">
        <v>1467</v>
      </c>
      <c r="E38" s="231">
        <v>1435.2</v>
      </c>
      <c r="F38" s="228">
        <v>31.8</v>
      </c>
      <c r="G38" s="229">
        <v>2.2200000000000001E-2</v>
      </c>
      <c r="H38" s="231">
        <v>1463.1</v>
      </c>
      <c r="I38" s="231">
        <v>1430.8</v>
      </c>
      <c r="J38" s="228">
        <v>32.299999999999997</v>
      </c>
      <c r="K38" s="229">
        <v>2.2599999999999999E-2</v>
      </c>
      <c r="L38" s="231">
        <v>1467</v>
      </c>
      <c r="M38" s="231">
        <v>1435.2</v>
      </c>
      <c r="N38" s="228">
        <v>31.8</v>
      </c>
      <c r="O38" s="229">
        <v>2.2200000000000001E-2</v>
      </c>
      <c r="P38" s="231">
        <v>1476.3</v>
      </c>
      <c r="Q38" s="231">
        <v>1444</v>
      </c>
      <c r="R38" s="228">
        <v>32.299999999999997</v>
      </c>
      <c r="S38" s="229">
        <v>2.24E-2</v>
      </c>
      <c r="T38" s="231">
        <v>1483.7</v>
      </c>
      <c r="U38" s="231">
        <v>1451.9</v>
      </c>
      <c r="V38" s="228">
        <v>31.8</v>
      </c>
      <c r="W38" s="229">
        <v>2.1899999999999999E-2</v>
      </c>
      <c r="X38" s="228">
        <v>3.9</v>
      </c>
      <c r="Y38" s="228">
        <v>4.4000000000000004</v>
      </c>
      <c r="Z38" s="228">
        <v>-0.5</v>
      </c>
      <c r="AA38" s="229">
        <v>2.7000000000000001E-3</v>
      </c>
      <c r="AB38" s="228">
        <v>3.9</v>
      </c>
      <c r="AC38" s="228">
        <v>4.4000000000000004</v>
      </c>
      <c r="AD38" s="228">
        <v>-0.5</v>
      </c>
      <c r="AE38" s="229">
        <v>2.7000000000000001E-3</v>
      </c>
      <c r="AF38" s="228">
        <v>13.2</v>
      </c>
      <c r="AG38" s="228">
        <v>13.2</v>
      </c>
      <c r="AH38" s="228">
        <v>0</v>
      </c>
      <c r="AI38" s="229">
        <v>8.9999999999999993E-3</v>
      </c>
      <c r="AJ38" s="228">
        <v>20.6</v>
      </c>
      <c r="AK38" s="228">
        <v>21.1</v>
      </c>
      <c r="AL38" s="228">
        <v>-0.5</v>
      </c>
      <c r="AM38" s="229">
        <v>1.41E-2</v>
      </c>
      <c r="AN38" s="231">
        <v>1457.18</v>
      </c>
      <c r="AO38" s="231">
        <v>1465.24</v>
      </c>
      <c r="AP38" s="228">
        <v>0</v>
      </c>
      <c r="AQ38" s="230">
        <v>36332</v>
      </c>
      <c r="AR38" s="230">
        <v>34470</v>
      </c>
      <c r="AS38" s="230">
        <v>1862</v>
      </c>
      <c r="AT38" s="229">
        <v>5.3999999999999999E-2</v>
      </c>
      <c r="AU38" s="230">
        <v>32983</v>
      </c>
      <c r="AV38" s="230">
        <v>31906</v>
      </c>
      <c r="AW38" s="230">
        <v>1077</v>
      </c>
      <c r="AX38" s="229">
        <v>3.3799999999999997E-2</v>
      </c>
      <c r="AY38" s="230">
        <v>2980</v>
      </c>
      <c r="AZ38" s="230">
        <v>2149</v>
      </c>
      <c r="BA38" s="228">
        <v>831</v>
      </c>
      <c r="BB38" s="229">
        <v>0.38669999999999999</v>
      </c>
      <c r="BC38" s="228">
        <v>369</v>
      </c>
      <c r="BD38" s="228">
        <v>415</v>
      </c>
      <c r="BE38" s="228">
        <v>-46</v>
      </c>
      <c r="BF38" s="229">
        <v>-0.1108</v>
      </c>
      <c r="BG38" s="230">
        <v>189583</v>
      </c>
      <c r="BH38" s="230">
        <v>164655</v>
      </c>
      <c r="BI38" s="230">
        <v>24928</v>
      </c>
      <c r="BJ38" s="229">
        <v>0.15140000000000001</v>
      </c>
      <c r="BK38" s="230">
        <v>124989</v>
      </c>
      <c r="BL38" s="230">
        <v>111483</v>
      </c>
      <c r="BM38" s="230">
        <v>13506</v>
      </c>
      <c r="BN38" s="229">
        <v>0.1211</v>
      </c>
      <c r="BO38" s="230">
        <v>350904</v>
      </c>
      <c r="BP38" s="230">
        <v>310608</v>
      </c>
      <c r="BQ38" s="230">
        <v>40296</v>
      </c>
      <c r="BR38" s="229">
        <v>0.12970000000000001</v>
      </c>
      <c r="BS38" s="230">
        <v>26893422</v>
      </c>
      <c r="BT38" s="230">
        <v>35699233</v>
      </c>
      <c r="BU38" s="230">
        <v>-8805811</v>
      </c>
      <c r="BV38" s="229">
        <v>-0.2467</v>
      </c>
      <c r="BW38" s="230">
        <v>98839500</v>
      </c>
      <c r="BX38" s="230">
        <v>100750000</v>
      </c>
      <c r="BY38" s="230">
        <v>-1910500</v>
      </c>
      <c r="BZ38" s="229">
        <v>-1.9E-2</v>
      </c>
      <c r="CA38" s="230">
        <v>79726500</v>
      </c>
      <c r="CB38" s="230">
        <v>82265000</v>
      </c>
      <c r="CC38" s="230">
        <v>-2538500</v>
      </c>
      <c r="CD38" s="229">
        <v>-3.09E-2</v>
      </c>
      <c r="CE38" s="230">
        <v>18848000</v>
      </c>
      <c r="CF38" s="230">
        <v>18272000</v>
      </c>
      <c r="CG38" s="230">
        <v>576000</v>
      </c>
      <c r="CH38" s="229">
        <v>3.15E-2</v>
      </c>
      <c r="CI38" s="230">
        <v>265000</v>
      </c>
      <c r="CJ38" s="230">
        <v>213000</v>
      </c>
      <c r="CK38" s="230">
        <v>52000</v>
      </c>
      <c r="CL38" s="229">
        <v>0.24410000000000001</v>
      </c>
      <c r="CM38" s="230">
        <v>40771000</v>
      </c>
      <c r="CN38" s="230">
        <v>40413500</v>
      </c>
      <c r="CO38" s="230">
        <v>357500</v>
      </c>
      <c r="CP38" s="229">
        <v>8.8000000000000005E-3</v>
      </c>
      <c r="CQ38" s="230">
        <v>37435500</v>
      </c>
      <c r="CR38" s="230">
        <v>34506500</v>
      </c>
      <c r="CS38" s="230">
        <v>2929000</v>
      </c>
      <c r="CT38" s="229">
        <v>8.4900000000000003E-2</v>
      </c>
      <c r="CU38" s="230">
        <v>177046000</v>
      </c>
      <c r="CV38" s="230">
        <v>175670000</v>
      </c>
      <c r="CW38" s="230">
        <v>1376000</v>
      </c>
      <c r="CX38" s="229">
        <v>7.7999999999999996E-3</v>
      </c>
      <c r="CY38" s="228">
        <v>21.84</v>
      </c>
      <c r="CZ38" s="228">
        <v>21.93</v>
      </c>
      <c r="DA38" s="228">
        <v>-0.09</v>
      </c>
      <c r="DB38" s="228">
        <v>-0.09</v>
      </c>
      <c r="DC38" s="228">
        <v>26.73</v>
      </c>
      <c r="DD38" s="228">
        <v>26.63</v>
      </c>
      <c r="DE38" s="228">
        <v>-4.8899999999999997</v>
      </c>
      <c r="DF38" s="228">
        <v>0.1</v>
      </c>
      <c r="DG38" s="228">
        <v>20.190000000000001</v>
      </c>
      <c r="DH38" s="228">
        <v>20.73</v>
      </c>
      <c r="DI38" s="228">
        <v>-0.54</v>
      </c>
      <c r="DJ38" s="228">
        <v>-0.54</v>
      </c>
      <c r="DK38" s="228">
        <v>24.35</v>
      </c>
      <c r="DL38" s="228">
        <v>23.7</v>
      </c>
      <c r="DM38" s="228">
        <v>0.65</v>
      </c>
      <c r="DN38" s="228">
        <v>0.65</v>
      </c>
      <c r="DO38" s="228">
        <v>0.92</v>
      </c>
      <c r="DP38" s="228">
        <v>0.85</v>
      </c>
      <c r="DQ38" s="228">
        <v>7.0000000000000007E-2</v>
      </c>
      <c r="DR38" s="229">
        <v>8.2400000000000001E-2</v>
      </c>
      <c r="DS38" s="231">
        <v>1500</v>
      </c>
      <c r="DT38" s="231">
        <v>1400</v>
      </c>
      <c r="DU38" s="228">
        <v>0.66</v>
      </c>
      <c r="DV38" s="228">
        <v>0.68</v>
      </c>
      <c r="DW38" s="228">
        <v>-0.02</v>
      </c>
      <c r="DX38" s="229">
        <v>-2.9399999999999999E-2</v>
      </c>
      <c r="DY38" s="229">
        <v>0.19339999999999999</v>
      </c>
      <c r="DZ38" s="230">
        <v>18485000</v>
      </c>
      <c r="EA38" s="229">
        <v>6.3E-3</v>
      </c>
      <c r="EB38" s="229">
        <v>0.19339999999999999</v>
      </c>
      <c r="EC38" s="228">
        <v>8.06</v>
      </c>
      <c r="ED38" s="229">
        <v>5.4999999999999997E-3</v>
      </c>
      <c r="EE38" s="230">
        <v>18837998</v>
      </c>
      <c r="EF38" s="230">
        <v>19090599</v>
      </c>
      <c r="EG38" s="229">
        <v>-1.32E-2</v>
      </c>
      <c r="EH38" s="229">
        <v>0.70050000000000001</v>
      </c>
      <c r="EI38" s="231">
        <v>1430891.06</v>
      </c>
      <c r="EJ38" s="231">
        <v>884578.36</v>
      </c>
      <c r="EK38" s="231">
        <v>264859.36</v>
      </c>
      <c r="EL38" s="231">
        <v>82601</v>
      </c>
      <c r="EM38" s="231">
        <v>2580328.7799999998</v>
      </c>
      <c r="EN38" s="231">
        <v>2242280.17</v>
      </c>
      <c r="EO38" s="231">
        <v>338048.61</v>
      </c>
      <c r="EP38" s="229">
        <v>0.15079999999999999</v>
      </c>
      <c r="EQ38" s="231">
        <v>599461</v>
      </c>
      <c r="ER38" s="231">
        <v>513031</v>
      </c>
      <c r="ES38" s="231">
        <v>1451773</v>
      </c>
      <c r="ET38" s="231">
        <v>664381721</v>
      </c>
      <c r="EU38" s="231">
        <v>2564265</v>
      </c>
      <c r="EV38" s="231">
        <v>2503567</v>
      </c>
      <c r="EW38" s="231">
        <v>60698</v>
      </c>
      <c r="EX38" s="229">
        <v>2.4199999999999999E-2</v>
      </c>
      <c r="EY38" s="229">
        <v>0.26650000000000001</v>
      </c>
    </row>
    <row r="39" spans="1:155" ht="17.25" thickBot="1" x14ac:dyDescent="0.3">
      <c r="A39" s="226">
        <v>46146</v>
      </c>
      <c r="B39" s="227" t="s">
        <v>175</v>
      </c>
      <c r="C39" s="227" t="s">
        <v>462</v>
      </c>
      <c r="D39" s="231">
        <v>1827.4</v>
      </c>
      <c r="E39" s="231">
        <v>1824</v>
      </c>
      <c r="F39" s="228">
        <v>3.4</v>
      </c>
      <c r="G39" s="229">
        <v>1.9E-3</v>
      </c>
      <c r="H39" s="231">
        <v>1820.1</v>
      </c>
      <c r="I39" s="231">
        <v>1819</v>
      </c>
      <c r="J39" s="228">
        <v>1.1000000000000001</v>
      </c>
      <c r="K39" s="229">
        <v>5.9999999999999995E-4</v>
      </c>
      <c r="L39" s="231">
        <v>1827.4</v>
      </c>
      <c r="M39" s="231">
        <v>1824</v>
      </c>
      <c r="N39" s="228">
        <v>3.4</v>
      </c>
      <c r="O39" s="229">
        <v>1.9E-3</v>
      </c>
      <c r="P39" s="231">
        <v>1841.3</v>
      </c>
      <c r="Q39" s="231">
        <v>1837.2</v>
      </c>
      <c r="R39" s="228">
        <v>4.0999999999999996</v>
      </c>
      <c r="S39" s="229">
        <v>2.2000000000000001E-3</v>
      </c>
      <c r="T39" s="231">
        <v>1858.3</v>
      </c>
      <c r="U39" s="231">
        <v>1846.5</v>
      </c>
      <c r="V39" s="228">
        <v>11.8</v>
      </c>
      <c r="W39" s="229">
        <v>6.4000000000000003E-3</v>
      </c>
      <c r="X39" s="228">
        <v>7.3</v>
      </c>
      <c r="Y39" s="228">
        <v>5</v>
      </c>
      <c r="Z39" s="228">
        <v>2.2999999999999998</v>
      </c>
      <c r="AA39" s="229">
        <v>4.0000000000000001E-3</v>
      </c>
      <c r="AB39" s="228">
        <v>7.3</v>
      </c>
      <c r="AC39" s="228">
        <v>5</v>
      </c>
      <c r="AD39" s="228">
        <v>2.2999999999999998</v>
      </c>
      <c r="AE39" s="229">
        <v>4.0000000000000001E-3</v>
      </c>
      <c r="AF39" s="228">
        <v>21.2</v>
      </c>
      <c r="AG39" s="228">
        <v>18.2</v>
      </c>
      <c r="AH39" s="228">
        <v>3</v>
      </c>
      <c r="AI39" s="229">
        <v>1.1599999999999999E-2</v>
      </c>
      <c r="AJ39" s="228">
        <v>38.200000000000003</v>
      </c>
      <c r="AK39" s="228">
        <v>27.5</v>
      </c>
      <c r="AL39" s="228">
        <v>10.7</v>
      </c>
      <c r="AM39" s="229">
        <v>2.1000000000000001E-2</v>
      </c>
      <c r="AN39" s="231">
        <v>1834.78</v>
      </c>
      <c r="AO39" s="231">
        <v>1846.82</v>
      </c>
      <c r="AP39" s="228">
        <v>0</v>
      </c>
      <c r="AQ39" s="230">
        <v>2823</v>
      </c>
      <c r="AR39" s="230">
        <v>2566</v>
      </c>
      <c r="AS39" s="228">
        <v>257</v>
      </c>
      <c r="AT39" s="229">
        <v>0.1002</v>
      </c>
      <c r="AU39" s="230">
        <v>2631</v>
      </c>
      <c r="AV39" s="230">
        <v>2501</v>
      </c>
      <c r="AW39" s="228">
        <v>130</v>
      </c>
      <c r="AX39" s="229">
        <v>5.1999999999999998E-2</v>
      </c>
      <c r="AY39" s="228">
        <v>190</v>
      </c>
      <c r="AZ39" s="228">
        <v>59</v>
      </c>
      <c r="BA39" s="228">
        <v>131</v>
      </c>
      <c r="BB39" s="229">
        <v>2.2202999999999999</v>
      </c>
      <c r="BC39" s="228">
        <v>2</v>
      </c>
      <c r="BD39" s="228">
        <v>6</v>
      </c>
      <c r="BE39" s="228">
        <v>-4</v>
      </c>
      <c r="BF39" s="229">
        <v>-0.66669999999999996</v>
      </c>
      <c r="BG39" s="230">
        <v>7878</v>
      </c>
      <c r="BH39" s="230">
        <v>4681</v>
      </c>
      <c r="BI39" s="230">
        <v>3197</v>
      </c>
      <c r="BJ39" s="229">
        <v>0.68300000000000005</v>
      </c>
      <c r="BK39" s="230">
        <v>3156</v>
      </c>
      <c r="BL39" s="230">
        <v>2547</v>
      </c>
      <c r="BM39" s="228">
        <v>609</v>
      </c>
      <c r="BN39" s="229">
        <v>0.23910000000000001</v>
      </c>
      <c r="BO39" s="230">
        <v>13857</v>
      </c>
      <c r="BP39" s="230">
        <v>9794</v>
      </c>
      <c r="BQ39" s="230">
        <v>4063</v>
      </c>
      <c r="BR39" s="229">
        <v>0.4148</v>
      </c>
      <c r="BS39" s="230">
        <v>1963164</v>
      </c>
      <c r="BT39" s="230">
        <v>1121750</v>
      </c>
      <c r="BU39" s="230">
        <v>841414</v>
      </c>
      <c r="BV39" s="229">
        <v>0.75009999999999999</v>
      </c>
      <c r="BW39" s="230">
        <v>10467375</v>
      </c>
      <c r="BX39" s="230">
        <v>10479000</v>
      </c>
      <c r="BY39" s="230">
        <v>-11625</v>
      </c>
      <c r="BZ39" s="229">
        <v>-1.1000000000000001E-3</v>
      </c>
      <c r="CA39" s="230">
        <v>9169500</v>
      </c>
      <c r="CB39" s="230">
        <v>9220125</v>
      </c>
      <c r="CC39" s="230">
        <v>-50625</v>
      </c>
      <c r="CD39" s="229">
        <v>-5.4999999999999997E-3</v>
      </c>
      <c r="CE39" s="230">
        <v>1293750</v>
      </c>
      <c r="CF39" s="230">
        <v>1255125</v>
      </c>
      <c r="CG39" s="230">
        <v>38625</v>
      </c>
      <c r="CH39" s="229">
        <v>3.0800000000000001E-2</v>
      </c>
      <c r="CI39" s="230">
        <v>4125</v>
      </c>
      <c r="CJ39" s="230">
        <v>3750</v>
      </c>
      <c r="CK39" s="228">
        <v>375</v>
      </c>
      <c r="CL39" s="229">
        <v>0.1</v>
      </c>
      <c r="CM39" s="230">
        <v>3123375</v>
      </c>
      <c r="CN39" s="230">
        <v>2560125</v>
      </c>
      <c r="CO39" s="230">
        <v>563250</v>
      </c>
      <c r="CP39" s="229">
        <v>0.22</v>
      </c>
      <c r="CQ39" s="230">
        <v>1788000</v>
      </c>
      <c r="CR39" s="230">
        <v>1765500</v>
      </c>
      <c r="CS39" s="230">
        <v>22500</v>
      </c>
      <c r="CT39" s="229">
        <v>1.2699999999999999E-2</v>
      </c>
      <c r="CU39" s="230">
        <v>15378750</v>
      </c>
      <c r="CV39" s="230">
        <v>14804625</v>
      </c>
      <c r="CW39" s="230">
        <v>574125</v>
      </c>
      <c r="CX39" s="229">
        <v>3.8800000000000001E-2</v>
      </c>
      <c r="CY39" s="228">
        <v>25.5</v>
      </c>
      <c r="CZ39" s="228">
        <v>26.41</v>
      </c>
      <c r="DA39" s="228">
        <v>-0.91</v>
      </c>
      <c r="DB39" s="228">
        <v>-0.91</v>
      </c>
      <c r="DC39" s="228">
        <v>26.74</v>
      </c>
      <c r="DD39" s="228">
        <v>26.8</v>
      </c>
      <c r="DE39" s="228">
        <v>-1.24</v>
      </c>
      <c r="DF39" s="228">
        <v>-0.06</v>
      </c>
      <c r="DG39" s="228">
        <v>25.19</v>
      </c>
      <c r="DH39" s="228">
        <v>26.12</v>
      </c>
      <c r="DI39" s="228">
        <v>-0.93</v>
      </c>
      <c r="DJ39" s="228">
        <v>-0.93</v>
      </c>
      <c r="DK39" s="228">
        <v>26.27</v>
      </c>
      <c r="DL39" s="228">
        <v>26.95</v>
      </c>
      <c r="DM39" s="228">
        <v>-0.68</v>
      </c>
      <c r="DN39" s="228">
        <v>-0.68</v>
      </c>
      <c r="DO39" s="228">
        <v>0.56999999999999995</v>
      </c>
      <c r="DP39" s="228">
        <v>0.69</v>
      </c>
      <c r="DQ39" s="228">
        <v>-0.12</v>
      </c>
      <c r="DR39" s="229">
        <v>-0.1739</v>
      </c>
      <c r="DS39" s="231">
        <v>1860</v>
      </c>
      <c r="DT39" s="231">
        <v>1700</v>
      </c>
      <c r="DU39" s="228">
        <v>0.4</v>
      </c>
      <c r="DV39" s="228">
        <v>0.54</v>
      </c>
      <c r="DW39" s="228">
        <v>-0.14000000000000001</v>
      </c>
      <c r="DX39" s="229">
        <v>-0.25929999999999997</v>
      </c>
      <c r="DY39" s="229">
        <v>0.124</v>
      </c>
      <c r="DZ39" s="230">
        <v>1258875</v>
      </c>
      <c r="EA39" s="229">
        <v>7.6E-3</v>
      </c>
      <c r="EB39" s="229">
        <v>0.124</v>
      </c>
      <c r="EC39" s="228">
        <v>12.04</v>
      </c>
      <c r="ED39" s="229">
        <v>6.6E-3</v>
      </c>
      <c r="EE39" s="230">
        <v>1257858</v>
      </c>
      <c r="EF39" s="230">
        <v>715011</v>
      </c>
      <c r="EG39" s="229">
        <v>0.75919999999999999</v>
      </c>
      <c r="EH39" s="229">
        <v>0.64070000000000005</v>
      </c>
      <c r="EI39" s="231">
        <v>57146.05</v>
      </c>
      <c r="EJ39" s="231">
        <v>21215.99</v>
      </c>
      <c r="EK39" s="231">
        <v>19432.29</v>
      </c>
      <c r="EL39" s="231">
        <v>7342</v>
      </c>
      <c r="EM39" s="231">
        <v>97794.33</v>
      </c>
      <c r="EN39" s="231">
        <v>68072.66</v>
      </c>
      <c r="EO39" s="231">
        <v>29721.67</v>
      </c>
      <c r="EP39" s="229">
        <v>0.43659999999999999</v>
      </c>
      <c r="EQ39" s="231">
        <v>60093</v>
      </c>
      <c r="ER39" s="231">
        <v>31419</v>
      </c>
      <c r="ES39" s="231">
        <v>191462</v>
      </c>
      <c r="ET39" s="231">
        <v>45527821</v>
      </c>
      <c r="EU39" s="231">
        <v>282974</v>
      </c>
      <c r="EV39" s="231">
        <v>271779</v>
      </c>
      <c r="EW39" s="231">
        <v>11195</v>
      </c>
      <c r="EX39" s="229">
        <v>4.1200000000000001E-2</v>
      </c>
      <c r="EY39" s="229">
        <v>0.33779999999999999</v>
      </c>
    </row>
    <row r="40" spans="1:155" ht="17.25" thickBot="1" x14ac:dyDescent="0.3">
      <c r="A40" s="226">
        <v>46146</v>
      </c>
      <c r="B40" s="227" t="s">
        <v>172</v>
      </c>
      <c r="C40" s="227" t="s">
        <v>283</v>
      </c>
      <c r="D40" s="231">
        <v>1060</v>
      </c>
      <c r="E40" s="231">
        <v>1064.0999999999999</v>
      </c>
      <c r="F40" s="228">
        <v>-4.0999999999999996</v>
      </c>
      <c r="G40" s="229">
        <v>-3.8999999999999998E-3</v>
      </c>
      <c r="H40" s="231">
        <v>1068.4000000000001</v>
      </c>
      <c r="I40" s="231">
        <v>1068.45</v>
      </c>
      <c r="J40" s="228">
        <v>-0.05</v>
      </c>
      <c r="K40" s="229">
        <v>0</v>
      </c>
      <c r="L40" s="231">
        <v>1060</v>
      </c>
      <c r="M40" s="231">
        <v>1064.0999999999999</v>
      </c>
      <c r="N40" s="228">
        <v>-4.0999999999999996</v>
      </c>
      <c r="O40" s="229">
        <v>-3.8999999999999998E-3</v>
      </c>
      <c r="P40" s="231">
        <v>1065</v>
      </c>
      <c r="Q40" s="231">
        <v>1065.3</v>
      </c>
      <c r="R40" s="228">
        <v>-0.3</v>
      </c>
      <c r="S40" s="229">
        <v>-2.9999999999999997E-4</v>
      </c>
      <c r="T40" s="231">
        <v>1070.4000000000001</v>
      </c>
      <c r="U40" s="231">
        <v>1070.4000000000001</v>
      </c>
      <c r="V40" s="228">
        <v>0</v>
      </c>
      <c r="W40" s="229">
        <v>0</v>
      </c>
      <c r="X40" s="228">
        <v>-8.4</v>
      </c>
      <c r="Y40" s="228">
        <v>-4.3499999999999996</v>
      </c>
      <c r="Z40" s="228">
        <v>-4.05</v>
      </c>
      <c r="AA40" s="229">
        <v>-7.9000000000000008E-3</v>
      </c>
      <c r="AB40" s="228">
        <v>-8.4</v>
      </c>
      <c r="AC40" s="228">
        <v>-4.3499999999999996</v>
      </c>
      <c r="AD40" s="228">
        <v>-4.05</v>
      </c>
      <c r="AE40" s="229">
        <v>-7.9000000000000008E-3</v>
      </c>
      <c r="AF40" s="228">
        <v>-3.4</v>
      </c>
      <c r="AG40" s="228">
        <v>-3.15</v>
      </c>
      <c r="AH40" s="228">
        <v>-0.25</v>
      </c>
      <c r="AI40" s="229">
        <v>-3.2000000000000002E-3</v>
      </c>
      <c r="AJ40" s="228">
        <v>2</v>
      </c>
      <c r="AK40" s="228">
        <v>1.95</v>
      </c>
      <c r="AL40" s="228">
        <v>0.05</v>
      </c>
      <c r="AM40" s="229">
        <v>1.9E-3</v>
      </c>
      <c r="AN40" s="231">
        <v>1069.1500000000001</v>
      </c>
      <c r="AO40" s="231">
        <v>1073.8499999999999</v>
      </c>
      <c r="AP40" s="228">
        <v>0</v>
      </c>
      <c r="AQ40" s="230">
        <v>16213</v>
      </c>
      <c r="AR40" s="230">
        <v>17849</v>
      </c>
      <c r="AS40" s="230">
        <v>-1636</v>
      </c>
      <c r="AT40" s="229">
        <v>-9.1700000000000004E-2</v>
      </c>
      <c r="AU40" s="230">
        <v>14445</v>
      </c>
      <c r="AV40" s="230">
        <v>16360</v>
      </c>
      <c r="AW40" s="230">
        <v>-1915</v>
      </c>
      <c r="AX40" s="229">
        <v>-0.1171</v>
      </c>
      <c r="AY40" s="230">
        <v>1650</v>
      </c>
      <c r="AZ40" s="230">
        <v>1338</v>
      </c>
      <c r="BA40" s="228">
        <v>312</v>
      </c>
      <c r="BB40" s="229">
        <v>0.23319999999999999</v>
      </c>
      <c r="BC40" s="228">
        <v>118</v>
      </c>
      <c r="BD40" s="228">
        <v>151</v>
      </c>
      <c r="BE40" s="228">
        <v>-33</v>
      </c>
      <c r="BF40" s="229">
        <v>-0.2185</v>
      </c>
      <c r="BG40" s="230">
        <v>51486</v>
      </c>
      <c r="BH40" s="230">
        <v>48242</v>
      </c>
      <c r="BI40" s="230">
        <v>3244</v>
      </c>
      <c r="BJ40" s="229">
        <v>6.7199999999999996E-2</v>
      </c>
      <c r="BK40" s="230">
        <v>29231</v>
      </c>
      <c r="BL40" s="230">
        <v>34153</v>
      </c>
      <c r="BM40" s="230">
        <v>-4922</v>
      </c>
      <c r="BN40" s="229">
        <v>-0.14410000000000001</v>
      </c>
      <c r="BO40" s="230">
        <v>96930</v>
      </c>
      <c r="BP40" s="230">
        <v>100244</v>
      </c>
      <c r="BQ40" s="230">
        <v>-3314</v>
      </c>
      <c r="BR40" s="229">
        <v>-3.3099999999999997E-2</v>
      </c>
      <c r="BS40" s="230">
        <v>12126606</v>
      </c>
      <c r="BT40" s="230">
        <v>15668387</v>
      </c>
      <c r="BU40" s="230">
        <v>-3541781</v>
      </c>
      <c r="BV40" s="229">
        <v>-0.22600000000000001</v>
      </c>
      <c r="BW40" s="230">
        <v>94068750</v>
      </c>
      <c r="BX40" s="230">
        <v>90114000</v>
      </c>
      <c r="BY40" s="230">
        <v>3954750</v>
      </c>
      <c r="BZ40" s="229">
        <v>4.3900000000000002E-2</v>
      </c>
      <c r="CA40" s="230">
        <v>73549500</v>
      </c>
      <c r="CB40" s="230">
        <v>70380000</v>
      </c>
      <c r="CC40" s="230">
        <v>3169500</v>
      </c>
      <c r="CD40" s="229">
        <v>4.4999999999999998E-2</v>
      </c>
      <c r="CE40" s="230">
        <v>20370000</v>
      </c>
      <c r="CF40" s="230">
        <v>19624500</v>
      </c>
      <c r="CG40" s="230">
        <v>745500</v>
      </c>
      <c r="CH40" s="229">
        <v>3.7999999999999999E-2</v>
      </c>
      <c r="CI40" s="230">
        <v>149250</v>
      </c>
      <c r="CJ40" s="230">
        <v>109500</v>
      </c>
      <c r="CK40" s="230">
        <v>39750</v>
      </c>
      <c r="CL40" s="229">
        <v>0.36299999999999999</v>
      </c>
      <c r="CM40" s="230">
        <v>31978500</v>
      </c>
      <c r="CN40" s="230">
        <v>27549750</v>
      </c>
      <c r="CO40" s="230">
        <v>4428750</v>
      </c>
      <c r="CP40" s="229">
        <v>0.1608</v>
      </c>
      <c r="CQ40" s="230">
        <v>23210250</v>
      </c>
      <c r="CR40" s="230">
        <v>20792250</v>
      </c>
      <c r="CS40" s="230">
        <v>2418000</v>
      </c>
      <c r="CT40" s="229">
        <v>0.1163</v>
      </c>
      <c r="CU40" s="230">
        <v>149257500</v>
      </c>
      <c r="CV40" s="230">
        <v>138456000</v>
      </c>
      <c r="CW40" s="230">
        <v>10801500</v>
      </c>
      <c r="CX40" s="229">
        <v>7.8E-2</v>
      </c>
      <c r="CY40" s="228">
        <v>32.43</v>
      </c>
      <c r="CZ40" s="228">
        <v>30.63</v>
      </c>
      <c r="DA40" s="228">
        <v>1.8</v>
      </c>
      <c r="DB40" s="228">
        <v>1.8</v>
      </c>
      <c r="DC40" s="228">
        <v>28.94</v>
      </c>
      <c r="DD40" s="228">
        <v>29.02</v>
      </c>
      <c r="DE40" s="228">
        <v>3.49</v>
      </c>
      <c r="DF40" s="228">
        <v>-0.08</v>
      </c>
      <c r="DG40" s="228">
        <v>32.68</v>
      </c>
      <c r="DH40" s="228">
        <v>30.75</v>
      </c>
      <c r="DI40" s="228">
        <v>1.93</v>
      </c>
      <c r="DJ40" s="228">
        <v>1.93</v>
      </c>
      <c r="DK40" s="228">
        <v>31.98</v>
      </c>
      <c r="DL40" s="228">
        <v>30.45</v>
      </c>
      <c r="DM40" s="228">
        <v>1.53</v>
      </c>
      <c r="DN40" s="228">
        <v>1.53</v>
      </c>
      <c r="DO40" s="228">
        <v>0.73</v>
      </c>
      <c r="DP40" s="228">
        <v>0.75</v>
      </c>
      <c r="DQ40" s="228">
        <v>-0.02</v>
      </c>
      <c r="DR40" s="229">
        <v>-2.6700000000000002E-2</v>
      </c>
      <c r="DS40" s="231">
        <v>1100</v>
      </c>
      <c r="DT40" s="231">
        <v>1100</v>
      </c>
      <c r="DU40" s="228">
        <v>0.56999999999999995</v>
      </c>
      <c r="DV40" s="228">
        <v>0.71</v>
      </c>
      <c r="DW40" s="228">
        <v>-0.14000000000000001</v>
      </c>
      <c r="DX40" s="229">
        <v>-0.19719999999999999</v>
      </c>
      <c r="DY40" s="229">
        <v>0.21809999999999999</v>
      </c>
      <c r="DZ40" s="230">
        <v>19734000</v>
      </c>
      <c r="EA40" s="229">
        <v>4.7000000000000002E-3</v>
      </c>
      <c r="EB40" s="229">
        <v>0.21809999999999999</v>
      </c>
      <c r="EC40" s="228">
        <v>4.7</v>
      </c>
      <c r="ED40" s="229">
        <v>4.4000000000000003E-3</v>
      </c>
      <c r="EE40" s="230">
        <v>7047227</v>
      </c>
      <c r="EF40" s="230">
        <v>6903358</v>
      </c>
      <c r="EG40" s="229">
        <v>2.0799999999999999E-2</v>
      </c>
      <c r="EH40" s="229">
        <v>0.58109999999999995</v>
      </c>
      <c r="EI40" s="231">
        <v>438990.96</v>
      </c>
      <c r="EJ40" s="231">
        <v>231392.78</v>
      </c>
      <c r="EK40" s="231">
        <v>130071.52</v>
      </c>
      <c r="EL40" s="231">
        <v>36391</v>
      </c>
      <c r="EM40" s="231">
        <v>800455.26</v>
      </c>
      <c r="EN40" s="231">
        <v>823692.63</v>
      </c>
      <c r="EO40" s="231">
        <v>-23237.37</v>
      </c>
      <c r="EP40" s="229">
        <v>-2.8199999999999999E-2</v>
      </c>
      <c r="EQ40" s="231">
        <v>363397</v>
      </c>
      <c r="ER40" s="231">
        <v>244999</v>
      </c>
      <c r="ES40" s="231">
        <v>998163</v>
      </c>
      <c r="ET40" s="231">
        <v>580324288</v>
      </c>
      <c r="EU40" s="231">
        <v>1606560</v>
      </c>
      <c r="EV40" s="231">
        <v>1493463</v>
      </c>
      <c r="EW40" s="231">
        <v>113097</v>
      </c>
      <c r="EX40" s="229">
        <v>7.5700000000000003E-2</v>
      </c>
      <c r="EY40" s="229">
        <v>0.25719999999999998</v>
      </c>
    </row>
    <row r="41" spans="1:155" ht="17.25" thickBot="1" x14ac:dyDescent="0.3">
      <c r="A41" s="226">
        <v>46146</v>
      </c>
      <c r="B41" s="227" t="s">
        <v>175</v>
      </c>
      <c r="C41" s="227" t="s">
        <v>561</v>
      </c>
      <c r="D41" s="228">
        <v>962.95</v>
      </c>
      <c r="E41" s="228">
        <v>939.95</v>
      </c>
      <c r="F41" s="228">
        <v>23</v>
      </c>
      <c r="G41" s="229">
        <v>2.4500000000000001E-2</v>
      </c>
      <c r="H41" s="228">
        <v>960.45</v>
      </c>
      <c r="I41" s="228">
        <v>937.35</v>
      </c>
      <c r="J41" s="228">
        <v>23.1</v>
      </c>
      <c r="K41" s="229">
        <v>2.46E-2</v>
      </c>
      <c r="L41" s="228">
        <v>962.95</v>
      </c>
      <c r="M41" s="228">
        <v>939.95</v>
      </c>
      <c r="N41" s="228">
        <v>23</v>
      </c>
      <c r="O41" s="229">
        <v>2.4500000000000001E-2</v>
      </c>
      <c r="P41" s="228">
        <v>969.35</v>
      </c>
      <c r="Q41" s="228">
        <v>946.9</v>
      </c>
      <c r="R41" s="228">
        <v>22.45</v>
      </c>
      <c r="S41" s="229">
        <v>2.3699999999999999E-2</v>
      </c>
      <c r="T41" s="228">
        <v>968.45</v>
      </c>
      <c r="U41" s="228">
        <v>945.1</v>
      </c>
      <c r="V41" s="228">
        <v>23.35</v>
      </c>
      <c r="W41" s="229">
        <v>2.47E-2</v>
      </c>
      <c r="X41" s="228">
        <v>2.5</v>
      </c>
      <c r="Y41" s="228">
        <v>2.6</v>
      </c>
      <c r="Z41" s="228">
        <v>-0.1</v>
      </c>
      <c r="AA41" s="229">
        <v>2.5999999999999999E-3</v>
      </c>
      <c r="AB41" s="228">
        <v>2.5</v>
      </c>
      <c r="AC41" s="228">
        <v>2.6</v>
      </c>
      <c r="AD41" s="228">
        <v>-0.1</v>
      </c>
      <c r="AE41" s="229">
        <v>2.5999999999999999E-3</v>
      </c>
      <c r="AF41" s="228">
        <v>8.9</v>
      </c>
      <c r="AG41" s="228">
        <v>9.5500000000000007</v>
      </c>
      <c r="AH41" s="228">
        <v>-0.65</v>
      </c>
      <c r="AI41" s="229">
        <v>9.2999999999999992E-3</v>
      </c>
      <c r="AJ41" s="228">
        <v>8</v>
      </c>
      <c r="AK41" s="228">
        <v>7.75</v>
      </c>
      <c r="AL41" s="228">
        <v>0.25</v>
      </c>
      <c r="AM41" s="229">
        <v>8.3000000000000001E-3</v>
      </c>
      <c r="AN41" s="228">
        <v>964.15</v>
      </c>
      <c r="AO41" s="228">
        <v>969.83</v>
      </c>
      <c r="AP41" s="228">
        <v>0</v>
      </c>
      <c r="AQ41" s="230">
        <v>7566</v>
      </c>
      <c r="AR41" s="230">
        <v>7979</v>
      </c>
      <c r="AS41" s="228">
        <v>-413</v>
      </c>
      <c r="AT41" s="229">
        <v>-5.1799999999999999E-2</v>
      </c>
      <c r="AU41" s="230">
        <v>7117</v>
      </c>
      <c r="AV41" s="230">
        <v>7610</v>
      </c>
      <c r="AW41" s="228">
        <v>-493</v>
      </c>
      <c r="AX41" s="229">
        <v>-6.4799999999999996E-2</v>
      </c>
      <c r="AY41" s="228">
        <v>385</v>
      </c>
      <c r="AZ41" s="228">
        <v>296</v>
      </c>
      <c r="BA41" s="228">
        <v>89</v>
      </c>
      <c r="BB41" s="229">
        <v>0.30070000000000002</v>
      </c>
      <c r="BC41" s="228">
        <v>64</v>
      </c>
      <c r="BD41" s="228">
        <v>73</v>
      </c>
      <c r="BE41" s="228">
        <v>-9</v>
      </c>
      <c r="BF41" s="229">
        <v>-0.12330000000000001</v>
      </c>
      <c r="BG41" s="230">
        <v>20126</v>
      </c>
      <c r="BH41" s="230">
        <v>22876</v>
      </c>
      <c r="BI41" s="230">
        <v>-2750</v>
      </c>
      <c r="BJ41" s="229">
        <v>-0.1202</v>
      </c>
      <c r="BK41" s="230">
        <v>7548</v>
      </c>
      <c r="BL41" s="230">
        <v>12305</v>
      </c>
      <c r="BM41" s="230">
        <v>-4757</v>
      </c>
      <c r="BN41" s="229">
        <v>-0.3866</v>
      </c>
      <c r="BO41" s="230">
        <v>35240</v>
      </c>
      <c r="BP41" s="230">
        <v>43160</v>
      </c>
      <c r="BQ41" s="230">
        <v>-7920</v>
      </c>
      <c r="BR41" s="229">
        <v>-0.1835</v>
      </c>
      <c r="BS41" s="230">
        <v>4189219</v>
      </c>
      <c r="BT41" s="230">
        <v>6209789</v>
      </c>
      <c r="BU41" s="230">
        <v>-2020570</v>
      </c>
      <c r="BV41" s="229">
        <v>-0.32540000000000002</v>
      </c>
      <c r="BW41" s="230">
        <v>44382525</v>
      </c>
      <c r="BX41" s="230">
        <v>43366950</v>
      </c>
      <c r="BY41" s="230">
        <v>1015575</v>
      </c>
      <c r="BZ41" s="229">
        <v>2.3400000000000001E-2</v>
      </c>
      <c r="CA41" s="230">
        <v>38591850</v>
      </c>
      <c r="CB41" s="230">
        <v>37718175</v>
      </c>
      <c r="CC41" s="230">
        <v>873675</v>
      </c>
      <c r="CD41" s="229">
        <v>2.3199999999999998E-2</v>
      </c>
      <c r="CE41" s="230">
        <v>5716425</v>
      </c>
      <c r="CF41" s="230">
        <v>5586075</v>
      </c>
      <c r="CG41" s="230">
        <v>130350</v>
      </c>
      <c r="CH41" s="229">
        <v>2.3300000000000001E-2</v>
      </c>
      <c r="CI41" s="230">
        <v>74250</v>
      </c>
      <c r="CJ41" s="230">
        <v>62700</v>
      </c>
      <c r="CK41" s="230">
        <v>11550</v>
      </c>
      <c r="CL41" s="229">
        <v>0.1842</v>
      </c>
      <c r="CM41" s="230">
        <v>18715125</v>
      </c>
      <c r="CN41" s="230">
        <v>18428850</v>
      </c>
      <c r="CO41" s="230">
        <v>286275</v>
      </c>
      <c r="CP41" s="229">
        <v>1.55E-2</v>
      </c>
      <c r="CQ41" s="230">
        <v>8768925</v>
      </c>
      <c r="CR41" s="230">
        <v>8820900</v>
      </c>
      <c r="CS41" s="230">
        <v>-51975</v>
      </c>
      <c r="CT41" s="229">
        <v>-5.8999999999999999E-3</v>
      </c>
      <c r="CU41" s="230">
        <v>71866575</v>
      </c>
      <c r="CV41" s="230">
        <v>70616700</v>
      </c>
      <c r="CW41" s="230">
        <v>1249875</v>
      </c>
      <c r="CX41" s="229">
        <v>1.77E-2</v>
      </c>
      <c r="CY41" s="228">
        <v>38.44</v>
      </c>
      <c r="CZ41" s="228">
        <v>38.24</v>
      </c>
      <c r="DA41" s="228">
        <v>0.2</v>
      </c>
      <c r="DB41" s="228">
        <v>0.2</v>
      </c>
      <c r="DC41" s="228">
        <v>44.83</v>
      </c>
      <c r="DD41" s="228">
        <v>44.82</v>
      </c>
      <c r="DE41" s="228">
        <v>-6.39</v>
      </c>
      <c r="DF41" s="228">
        <v>0.01</v>
      </c>
      <c r="DG41" s="228">
        <v>38.590000000000003</v>
      </c>
      <c r="DH41" s="228">
        <v>38.659999999999997</v>
      </c>
      <c r="DI41" s="228">
        <v>-7.0000000000000007E-2</v>
      </c>
      <c r="DJ41" s="228">
        <v>-7.0000000000000007E-2</v>
      </c>
      <c r="DK41" s="228">
        <v>38.04</v>
      </c>
      <c r="DL41" s="228">
        <v>37.479999999999997</v>
      </c>
      <c r="DM41" s="228">
        <v>0.56000000000000005</v>
      </c>
      <c r="DN41" s="228">
        <v>0.56000000000000005</v>
      </c>
      <c r="DO41" s="228">
        <v>0.47</v>
      </c>
      <c r="DP41" s="228">
        <v>0.48</v>
      </c>
      <c r="DQ41" s="228">
        <v>-0.01</v>
      </c>
      <c r="DR41" s="229">
        <v>-2.0799999999999999E-2</v>
      </c>
      <c r="DS41" s="231">
        <v>1100</v>
      </c>
      <c r="DT41" s="228">
        <v>900</v>
      </c>
      <c r="DU41" s="228">
        <v>0.38</v>
      </c>
      <c r="DV41" s="228">
        <v>0.54</v>
      </c>
      <c r="DW41" s="228">
        <v>-0.16</v>
      </c>
      <c r="DX41" s="229">
        <v>-0.29630000000000001</v>
      </c>
      <c r="DY41" s="229">
        <v>0.1305</v>
      </c>
      <c r="DZ41" s="230">
        <v>5648775</v>
      </c>
      <c r="EA41" s="229">
        <v>6.6E-3</v>
      </c>
      <c r="EB41" s="229">
        <v>0.1305</v>
      </c>
      <c r="EC41" s="228">
        <v>5.68</v>
      </c>
      <c r="ED41" s="229">
        <v>5.8999999999999999E-3</v>
      </c>
      <c r="EE41" s="230">
        <v>1865709</v>
      </c>
      <c r="EF41" s="230">
        <v>2973121</v>
      </c>
      <c r="EG41" s="229">
        <v>-0.3725</v>
      </c>
      <c r="EH41" s="229">
        <v>0.44540000000000002</v>
      </c>
      <c r="EI41" s="231">
        <v>171483.39</v>
      </c>
      <c r="EJ41" s="231">
        <v>58753.760000000002</v>
      </c>
      <c r="EK41" s="231">
        <v>60201.58</v>
      </c>
      <c r="EL41" s="231">
        <v>18176</v>
      </c>
      <c r="EM41" s="231">
        <v>290438.73</v>
      </c>
      <c r="EN41" s="231">
        <v>349998.72</v>
      </c>
      <c r="EO41" s="231">
        <v>-59559.99</v>
      </c>
      <c r="EP41" s="229">
        <v>-0.17019999999999999</v>
      </c>
      <c r="EQ41" s="231">
        <v>193861</v>
      </c>
      <c r="ER41" s="231">
        <v>81859</v>
      </c>
      <c r="ES41" s="231">
        <v>427751</v>
      </c>
      <c r="ET41" s="231">
        <v>210567108</v>
      </c>
      <c r="EU41" s="231">
        <v>703471</v>
      </c>
      <c r="EV41" s="231">
        <v>681115</v>
      </c>
      <c r="EW41" s="231">
        <v>22356</v>
      </c>
      <c r="EX41" s="229">
        <v>3.2800000000000003E-2</v>
      </c>
      <c r="EY41" s="229">
        <v>0.34129999999999999</v>
      </c>
    </row>
    <row r="42" spans="1:155" ht="17.25" thickBot="1" x14ac:dyDescent="0.3">
      <c r="A42" s="226">
        <v>46146</v>
      </c>
      <c r="B42" s="227" t="s">
        <v>170</v>
      </c>
      <c r="C42" s="227" t="s">
        <v>288</v>
      </c>
      <c r="D42" s="231">
        <v>1828.1</v>
      </c>
      <c r="E42" s="231">
        <v>1815</v>
      </c>
      <c r="F42" s="228">
        <v>13.1</v>
      </c>
      <c r="G42" s="229">
        <v>7.1999999999999998E-3</v>
      </c>
      <c r="H42" s="231">
        <v>1823.5</v>
      </c>
      <c r="I42" s="231">
        <v>1808.3</v>
      </c>
      <c r="J42" s="228">
        <v>15.2</v>
      </c>
      <c r="K42" s="229">
        <v>8.3999999999999995E-3</v>
      </c>
      <c r="L42" s="231">
        <v>1828.1</v>
      </c>
      <c r="M42" s="231">
        <v>1815</v>
      </c>
      <c r="N42" s="228">
        <v>13.1</v>
      </c>
      <c r="O42" s="229">
        <v>7.1999999999999998E-3</v>
      </c>
      <c r="P42" s="231">
        <v>1840.7</v>
      </c>
      <c r="Q42" s="231">
        <v>1826.2</v>
      </c>
      <c r="R42" s="228">
        <v>14.5</v>
      </c>
      <c r="S42" s="229">
        <v>7.9000000000000008E-3</v>
      </c>
      <c r="T42" s="231">
        <v>1843.2</v>
      </c>
      <c r="U42" s="231">
        <v>1832</v>
      </c>
      <c r="V42" s="228">
        <v>11.2</v>
      </c>
      <c r="W42" s="229">
        <v>6.1000000000000004E-3</v>
      </c>
      <c r="X42" s="228">
        <v>4.5999999999999996</v>
      </c>
      <c r="Y42" s="228">
        <v>6.7</v>
      </c>
      <c r="Z42" s="228">
        <v>-2.1</v>
      </c>
      <c r="AA42" s="229">
        <v>2.5000000000000001E-3</v>
      </c>
      <c r="AB42" s="228">
        <v>4.5999999999999996</v>
      </c>
      <c r="AC42" s="228">
        <v>6.7</v>
      </c>
      <c r="AD42" s="228">
        <v>-2.1</v>
      </c>
      <c r="AE42" s="229">
        <v>2.5000000000000001E-3</v>
      </c>
      <c r="AF42" s="228">
        <v>17.2</v>
      </c>
      <c r="AG42" s="228">
        <v>17.899999999999999</v>
      </c>
      <c r="AH42" s="228">
        <v>-0.7</v>
      </c>
      <c r="AI42" s="229">
        <v>9.4000000000000004E-3</v>
      </c>
      <c r="AJ42" s="228">
        <v>19.7</v>
      </c>
      <c r="AK42" s="228">
        <v>23.7</v>
      </c>
      <c r="AL42" s="228">
        <v>-4</v>
      </c>
      <c r="AM42" s="229">
        <v>1.0800000000000001E-2</v>
      </c>
      <c r="AN42" s="231">
        <v>1828.36</v>
      </c>
      <c r="AO42" s="231">
        <v>1840.93</v>
      </c>
      <c r="AP42" s="228">
        <v>0</v>
      </c>
      <c r="AQ42" s="230">
        <v>8915</v>
      </c>
      <c r="AR42" s="230">
        <v>11697</v>
      </c>
      <c r="AS42" s="230">
        <v>-2782</v>
      </c>
      <c r="AT42" s="229">
        <v>-0.23780000000000001</v>
      </c>
      <c r="AU42" s="230">
        <v>8405</v>
      </c>
      <c r="AV42" s="230">
        <v>11306</v>
      </c>
      <c r="AW42" s="230">
        <v>-2901</v>
      </c>
      <c r="AX42" s="229">
        <v>-0.25659999999999999</v>
      </c>
      <c r="AY42" s="228">
        <v>487</v>
      </c>
      <c r="AZ42" s="228">
        <v>349</v>
      </c>
      <c r="BA42" s="228">
        <v>138</v>
      </c>
      <c r="BB42" s="229">
        <v>0.39539999999999997</v>
      </c>
      <c r="BC42" s="228">
        <v>23</v>
      </c>
      <c r="BD42" s="228">
        <v>42</v>
      </c>
      <c r="BE42" s="228">
        <v>-19</v>
      </c>
      <c r="BF42" s="229">
        <v>-0.45240000000000002</v>
      </c>
      <c r="BG42" s="230">
        <v>36969</v>
      </c>
      <c r="BH42" s="230">
        <v>56800</v>
      </c>
      <c r="BI42" s="230">
        <v>-19831</v>
      </c>
      <c r="BJ42" s="229">
        <v>-0.34910000000000002</v>
      </c>
      <c r="BK42" s="230">
        <v>19504</v>
      </c>
      <c r="BL42" s="230">
        <v>27389</v>
      </c>
      <c r="BM42" s="230">
        <v>-7885</v>
      </c>
      <c r="BN42" s="229">
        <v>-0.28789999999999999</v>
      </c>
      <c r="BO42" s="230">
        <v>65388</v>
      </c>
      <c r="BP42" s="230">
        <v>95886</v>
      </c>
      <c r="BQ42" s="230">
        <v>-30498</v>
      </c>
      <c r="BR42" s="229">
        <v>-0.31809999999999999</v>
      </c>
      <c r="BS42" s="230">
        <v>4468829</v>
      </c>
      <c r="BT42" s="230">
        <v>4960661</v>
      </c>
      <c r="BU42" s="230">
        <v>-491832</v>
      </c>
      <c r="BV42" s="229">
        <v>-9.9099999999999994E-2</v>
      </c>
      <c r="BW42" s="230">
        <v>28402850</v>
      </c>
      <c r="BX42" s="230">
        <v>28301350</v>
      </c>
      <c r="BY42" s="230">
        <v>101500</v>
      </c>
      <c r="BZ42" s="229">
        <v>3.5999999999999999E-3</v>
      </c>
      <c r="CA42" s="230">
        <v>24770550</v>
      </c>
      <c r="CB42" s="230">
        <v>24780000</v>
      </c>
      <c r="CC42" s="230">
        <v>-9450</v>
      </c>
      <c r="CD42" s="229">
        <v>-4.0000000000000002E-4</v>
      </c>
      <c r="CE42" s="230">
        <v>3613750</v>
      </c>
      <c r="CF42" s="230">
        <v>3503850</v>
      </c>
      <c r="CG42" s="230">
        <v>109900</v>
      </c>
      <c r="CH42" s="229">
        <v>3.1399999999999997E-2</v>
      </c>
      <c r="CI42" s="230">
        <v>18550</v>
      </c>
      <c r="CJ42" s="230">
        <v>17500</v>
      </c>
      <c r="CK42" s="230">
        <v>1050</v>
      </c>
      <c r="CL42" s="229">
        <v>0.06</v>
      </c>
      <c r="CM42" s="230">
        <v>9427600</v>
      </c>
      <c r="CN42" s="230">
        <v>8057700</v>
      </c>
      <c r="CO42" s="230">
        <v>1369900</v>
      </c>
      <c r="CP42" s="229">
        <v>0.17</v>
      </c>
      <c r="CQ42" s="230">
        <v>6761300</v>
      </c>
      <c r="CR42" s="230">
        <v>6085800</v>
      </c>
      <c r="CS42" s="230">
        <v>675500</v>
      </c>
      <c r="CT42" s="229">
        <v>0.111</v>
      </c>
      <c r="CU42" s="230">
        <v>44591750</v>
      </c>
      <c r="CV42" s="230">
        <v>42444850</v>
      </c>
      <c r="CW42" s="230">
        <v>2146900</v>
      </c>
      <c r="CX42" s="229">
        <v>5.0599999999999999E-2</v>
      </c>
      <c r="CY42" s="228">
        <v>23.25</v>
      </c>
      <c r="CZ42" s="228">
        <v>22.78</v>
      </c>
      <c r="DA42" s="228">
        <v>0.47</v>
      </c>
      <c r="DB42" s="228">
        <v>0.47</v>
      </c>
      <c r="DC42" s="228">
        <v>25.6</v>
      </c>
      <c r="DD42" s="228">
        <v>25.64</v>
      </c>
      <c r="DE42" s="228">
        <v>-2.35</v>
      </c>
      <c r="DF42" s="228">
        <v>-0.04</v>
      </c>
      <c r="DG42" s="228">
        <v>22.54</v>
      </c>
      <c r="DH42" s="228">
        <v>22.12</v>
      </c>
      <c r="DI42" s="228">
        <v>0.42</v>
      </c>
      <c r="DJ42" s="228">
        <v>0.42</v>
      </c>
      <c r="DK42" s="228">
        <v>24.6</v>
      </c>
      <c r="DL42" s="228">
        <v>24.15</v>
      </c>
      <c r="DM42" s="228">
        <v>0.45</v>
      </c>
      <c r="DN42" s="228">
        <v>0.45</v>
      </c>
      <c r="DO42" s="228">
        <v>0.72</v>
      </c>
      <c r="DP42" s="228">
        <v>0.76</v>
      </c>
      <c r="DQ42" s="228">
        <v>-0.04</v>
      </c>
      <c r="DR42" s="229">
        <v>-5.2600000000000001E-2</v>
      </c>
      <c r="DS42" s="231">
        <v>1860</v>
      </c>
      <c r="DT42" s="231">
        <v>1700</v>
      </c>
      <c r="DU42" s="228">
        <v>0.53</v>
      </c>
      <c r="DV42" s="228">
        <v>0.48</v>
      </c>
      <c r="DW42" s="228">
        <v>0.05</v>
      </c>
      <c r="DX42" s="229">
        <v>0.1042</v>
      </c>
      <c r="DY42" s="229">
        <v>0.12790000000000001</v>
      </c>
      <c r="DZ42" s="230">
        <v>3521350</v>
      </c>
      <c r="EA42" s="229">
        <v>6.8999999999999999E-3</v>
      </c>
      <c r="EB42" s="229">
        <v>0.12790000000000001</v>
      </c>
      <c r="EC42" s="228">
        <v>12.57</v>
      </c>
      <c r="ED42" s="229">
        <v>6.8999999999999999E-3</v>
      </c>
      <c r="EE42" s="230">
        <v>2817612</v>
      </c>
      <c r="EF42" s="230">
        <v>3327254</v>
      </c>
      <c r="EG42" s="229">
        <v>-0.1532</v>
      </c>
      <c r="EH42" s="229">
        <v>0.63049999999999995</v>
      </c>
      <c r="EI42" s="231">
        <v>246051.83</v>
      </c>
      <c r="EJ42" s="231">
        <v>121759.76</v>
      </c>
      <c r="EK42" s="231">
        <v>57071.95</v>
      </c>
      <c r="EL42" s="231">
        <v>34611</v>
      </c>
      <c r="EM42" s="231">
        <v>424883.54</v>
      </c>
      <c r="EN42" s="231">
        <v>613477.04</v>
      </c>
      <c r="EO42" s="231">
        <v>-188593.5</v>
      </c>
      <c r="EP42" s="229">
        <v>-0.30740000000000001</v>
      </c>
      <c r="EQ42" s="231">
        <v>171930</v>
      </c>
      <c r="ER42" s="231">
        <v>114614</v>
      </c>
      <c r="ES42" s="231">
        <v>519691</v>
      </c>
      <c r="ET42" s="231">
        <v>121755902</v>
      </c>
      <c r="EU42" s="231">
        <v>806235</v>
      </c>
      <c r="EV42" s="231">
        <v>762362</v>
      </c>
      <c r="EW42" s="231">
        <v>43873</v>
      </c>
      <c r="EX42" s="229">
        <v>5.7500000000000002E-2</v>
      </c>
      <c r="EY42" s="229">
        <v>0.36620000000000003</v>
      </c>
    </row>
    <row r="43" spans="1:155" ht="17.25" thickBot="1" x14ac:dyDescent="0.3">
      <c r="A43" s="226">
        <v>46146</v>
      </c>
      <c r="B43" s="227" t="s">
        <v>168</v>
      </c>
      <c r="C43" s="227" t="s">
        <v>291</v>
      </c>
      <c r="D43" s="231">
        <v>1163.4000000000001</v>
      </c>
      <c r="E43" s="231">
        <v>1150.0999999999999</v>
      </c>
      <c r="F43" s="228">
        <v>13.3</v>
      </c>
      <c r="G43" s="229">
        <v>1.1599999999999999E-2</v>
      </c>
      <c r="H43" s="231">
        <v>1160.4000000000001</v>
      </c>
      <c r="I43" s="231">
        <v>1144.5999999999999</v>
      </c>
      <c r="J43" s="228">
        <v>15.8</v>
      </c>
      <c r="K43" s="229">
        <v>1.38E-2</v>
      </c>
      <c r="L43" s="231">
        <v>1163.4000000000001</v>
      </c>
      <c r="M43" s="231">
        <v>1150.0999999999999</v>
      </c>
      <c r="N43" s="228">
        <v>13.3</v>
      </c>
      <c r="O43" s="229">
        <v>1.1599999999999999E-2</v>
      </c>
      <c r="P43" s="231">
        <v>1165.0999999999999</v>
      </c>
      <c r="Q43" s="231">
        <v>1150.8</v>
      </c>
      <c r="R43" s="228">
        <v>14.3</v>
      </c>
      <c r="S43" s="229">
        <v>1.24E-2</v>
      </c>
      <c r="T43" s="231">
        <v>1157.5</v>
      </c>
      <c r="U43" s="231">
        <v>1157.5</v>
      </c>
      <c r="V43" s="228">
        <v>0</v>
      </c>
      <c r="W43" s="229">
        <v>0</v>
      </c>
      <c r="X43" s="228">
        <v>3</v>
      </c>
      <c r="Y43" s="228">
        <v>5.5</v>
      </c>
      <c r="Z43" s="228">
        <v>-2.5</v>
      </c>
      <c r="AA43" s="229">
        <v>2.5999999999999999E-3</v>
      </c>
      <c r="AB43" s="228">
        <v>3</v>
      </c>
      <c r="AC43" s="228">
        <v>5.5</v>
      </c>
      <c r="AD43" s="228">
        <v>-2.5</v>
      </c>
      <c r="AE43" s="229">
        <v>2.5999999999999999E-3</v>
      </c>
      <c r="AF43" s="228">
        <v>4.7</v>
      </c>
      <c r="AG43" s="228">
        <v>6.2</v>
      </c>
      <c r="AH43" s="228">
        <v>-1.5</v>
      </c>
      <c r="AI43" s="229">
        <v>4.1000000000000003E-3</v>
      </c>
      <c r="AJ43" s="228">
        <v>-2.9</v>
      </c>
      <c r="AK43" s="228">
        <v>12.9</v>
      </c>
      <c r="AL43" s="228">
        <v>-15.8</v>
      </c>
      <c r="AM43" s="229">
        <v>-2.5000000000000001E-3</v>
      </c>
      <c r="AN43" s="231">
        <v>1167.29</v>
      </c>
      <c r="AO43" s="231">
        <v>1167.8499999999999</v>
      </c>
      <c r="AP43" s="228">
        <v>0</v>
      </c>
      <c r="AQ43" s="230">
        <v>2091</v>
      </c>
      <c r="AR43" s="230">
        <v>2961</v>
      </c>
      <c r="AS43" s="228">
        <v>-870</v>
      </c>
      <c r="AT43" s="229">
        <v>-0.29380000000000001</v>
      </c>
      <c r="AU43" s="230">
        <v>1917</v>
      </c>
      <c r="AV43" s="230">
        <v>2782</v>
      </c>
      <c r="AW43" s="228">
        <v>-865</v>
      </c>
      <c r="AX43" s="229">
        <v>-0.31090000000000001</v>
      </c>
      <c r="AY43" s="228">
        <v>174</v>
      </c>
      <c r="AZ43" s="228">
        <v>172</v>
      </c>
      <c r="BA43" s="228">
        <v>2</v>
      </c>
      <c r="BB43" s="229">
        <v>1.1599999999999999E-2</v>
      </c>
      <c r="BC43" s="228">
        <v>0</v>
      </c>
      <c r="BD43" s="228">
        <v>7</v>
      </c>
      <c r="BE43" s="228">
        <v>-7</v>
      </c>
      <c r="BF43" s="229">
        <v>-1</v>
      </c>
      <c r="BG43" s="230">
        <v>6090</v>
      </c>
      <c r="BH43" s="230">
        <v>3313</v>
      </c>
      <c r="BI43" s="230">
        <v>2777</v>
      </c>
      <c r="BJ43" s="229">
        <v>0.83819999999999995</v>
      </c>
      <c r="BK43" s="230">
        <v>1565</v>
      </c>
      <c r="BL43" s="230">
        <v>1403</v>
      </c>
      <c r="BM43" s="228">
        <v>162</v>
      </c>
      <c r="BN43" s="229">
        <v>0.11550000000000001</v>
      </c>
      <c r="BO43" s="230">
        <v>9746</v>
      </c>
      <c r="BP43" s="230">
        <v>7677</v>
      </c>
      <c r="BQ43" s="230">
        <v>2069</v>
      </c>
      <c r="BR43" s="229">
        <v>0.26950000000000002</v>
      </c>
      <c r="BS43" s="230">
        <v>1488174</v>
      </c>
      <c r="BT43" s="230">
        <v>1586977</v>
      </c>
      <c r="BU43" s="230">
        <v>-98803</v>
      </c>
      <c r="BV43" s="229">
        <v>-6.2300000000000001E-2</v>
      </c>
      <c r="BW43" s="230">
        <v>9276850</v>
      </c>
      <c r="BX43" s="230">
        <v>9275200</v>
      </c>
      <c r="BY43" s="230">
        <v>1650</v>
      </c>
      <c r="BZ43" s="229">
        <v>2.0000000000000001E-4</v>
      </c>
      <c r="CA43" s="230">
        <v>8303350</v>
      </c>
      <c r="CB43" s="230">
        <v>8340750</v>
      </c>
      <c r="CC43" s="230">
        <v>-37400</v>
      </c>
      <c r="CD43" s="229">
        <v>-4.4999999999999997E-3</v>
      </c>
      <c r="CE43" s="230">
        <v>968000</v>
      </c>
      <c r="CF43" s="230">
        <v>928950</v>
      </c>
      <c r="CG43" s="230">
        <v>39050</v>
      </c>
      <c r="CH43" s="229">
        <v>4.2000000000000003E-2</v>
      </c>
      <c r="CI43" s="230">
        <v>5500</v>
      </c>
      <c r="CJ43" s="230">
        <v>5500</v>
      </c>
      <c r="CK43" s="228">
        <v>0</v>
      </c>
      <c r="CL43" s="229">
        <v>0</v>
      </c>
      <c r="CM43" s="230">
        <v>2390850</v>
      </c>
      <c r="CN43" s="230">
        <v>1984400</v>
      </c>
      <c r="CO43" s="230">
        <v>406450</v>
      </c>
      <c r="CP43" s="229">
        <v>0.20480000000000001</v>
      </c>
      <c r="CQ43" s="230">
        <v>1349150</v>
      </c>
      <c r="CR43" s="230">
        <v>1223200</v>
      </c>
      <c r="CS43" s="230">
        <v>125950</v>
      </c>
      <c r="CT43" s="229">
        <v>0.10299999999999999</v>
      </c>
      <c r="CU43" s="230">
        <v>13016850</v>
      </c>
      <c r="CV43" s="230">
        <v>12482800</v>
      </c>
      <c r="CW43" s="230">
        <v>534050</v>
      </c>
      <c r="CX43" s="229">
        <v>4.2799999999999998E-2</v>
      </c>
      <c r="CY43" s="228">
        <v>28.41</v>
      </c>
      <c r="CZ43" s="228">
        <v>27.67</v>
      </c>
      <c r="DA43" s="228">
        <v>0.74</v>
      </c>
      <c r="DB43" s="228">
        <v>0.74</v>
      </c>
      <c r="DC43" s="228">
        <v>27.56</v>
      </c>
      <c r="DD43" s="228">
        <v>27.56</v>
      </c>
      <c r="DE43" s="228">
        <v>0.85</v>
      </c>
      <c r="DF43" s="228">
        <v>0</v>
      </c>
      <c r="DG43" s="228">
        <v>28.27</v>
      </c>
      <c r="DH43" s="228">
        <v>27.7</v>
      </c>
      <c r="DI43" s="228">
        <v>0.56999999999999995</v>
      </c>
      <c r="DJ43" s="228">
        <v>0.56999999999999995</v>
      </c>
      <c r="DK43" s="228">
        <v>28.94</v>
      </c>
      <c r="DL43" s="228">
        <v>27.6</v>
      </c>
      <c r="DM43" s="228">
        <v>1.34</v>
      </c>
      <c r="DN43" s="228">
        <v>1.34</v>
      </c>
      <c r="DO43" s="228">
        <v>0.56000000000000005</v>
      </c>
      <c r="DP43" s="228">
        <v>0.62</v>
      </c>
      <c r="DQ43" s="228">
        <v>-0.06</v>
      </c>
      <c r="DR43" s="229">
        <v>-9.6799999999999997E-2</v>
      </c>
      <c r="DS43" s="231">
        <v>1200</v>
      </c>
      <c r="DT43" s="231">
        <v>1100</v>
      </c>
      <c r="DU43" s="228">
        <v>0.26</v>
      </c>
      <c r="DV43" s="228">
        <v>0.42</v>
      </c>
      <c r="DW43" s="228">
        <v>-0.16</v>
      </c>
      <c r="DX43" s="229">
        <v>-0.38100000000000001</v>
      </c>
      <c r="DY43" s="229">
        <v>0.10489999999999999</v>
      </c>
      <c r="DZ43" s="230">
        <v>934450</v>
      </c>
      <c r="EA43" s="229">
        <v>1.5E-3</v>
      </c>
      <c r="EB43" s="229">
        <v>0.10489999999999999</v>
      </c>
      <c r="EC43" s="228">
        <v>0.56000000000000005</v>
      </c>
      <c r="ED43" s="229">
        <v>5.0000000000000001E-4</v>
      </c>
      <c r="EE43" s="230">
        <v>817618</v>
      </c>
      <c r="EF43" s="230">
        <v>1016552</v>
      </c>
      <c r="EG43" s="229">
        <v>-0.19570000000000001</v>
      </c>
      <c r="EH43" s="229">
        <v>0.5494</v>
      </c>
      <c r="EI43" s="231">
        <v>41031.449999999997</v>
      </c>
      <c r="EJ43" s="231">
        <v>9992.4699999999993</v>
      </c>
      <c r="EK43" s="231">
        <v>13424.94</v>
      </c>
      <c r="EL43" s="231">
        <v>6801</v>
      </c>
      <c r="EM43" s="231">
        <v>64448.86</v>
      </c>
      <c r="EN43" s="231">
        <v>49881.72</v>
      </c>
      <c r="EO43" s="231">
        <v>14567.14</v>
      </c>
      <c r="EP43" s="229">
        <v>0.29199999999999998</v>
      </c>
      <c r="EQ43" s="231">
        <v>29147</v>
      </c>
      <c r="ER43" s="231">
        <v>15090</v>
      </c>
      <c r="ES43" s="231">
        <v>107943</v>
      </c>
      <c r="ET43" s="231">
        <v>65472757</v>
      </c>
      <c r="EU43" s="231">
        <v>152180</v>
      </c>
      <c r="EV43" s="231">
        <v>144460</v>
      </c>
      <c r="EW43" s="231">
        <v>7720</v>
      </c>
      <c r="EX43" s="229">
        <v>5.3400000000000003E-2</v>
      </c>
      <c r="EY43" s="229">
        <v>0.1988</v>
      </c>
    </row>
    <row r="44" spans="1:155" ht="17.25" thickBot="1" x14ac:dyDescent="0.3">
      <c r="A44" s="226">
        <v>46146</v>
      </c>
      <c r="B44" s="227" t="s">
        <v>227</v>
      </c>
      <c r="C44" s="227" t="s">
        <v>294</v>
      </c>
      <c r="D44" s="228">
        <v>212.87</v>
      </c>
      <c r="E44" s="228">
        <v>212.06</v>
      </c>
      <c r="F44" s="228">
        <v>0.81</v>
      </c>
      <c r="G44" s="229">
        <v>3.8E-3</v>
      </c>
      <c r="H44" s="228">
        <v>212.24</v>
      </c>
      <c r="I44" s="228">
        <v>211.36</v>
      </c>
      <c r="J44" s="228">
        <v>0.88</v>
      </c>
      <c r="K44" s="229">
        <v>4.1999999999999997E-3</v>
      </c>
      <c r="L44" s="228">
        <v>212.87</v>
      </c>
      <c r="M44" s="228">
        <v>212.06</v>
      </c>
      <c r="N44" s="228">
        <v>0.81</v>
      </c>
      <c r="O44" s="229">
        <v>3.8E-3</v>
      </c>
      <c r="P44" s="228">
        <v>212.01</v>
      </c>
      <c r="Q44" s="228">
        <v>210.35</v>
      </c>
      <c r="R44" s="228">
        <v>1.66</v>
      </c>
      <c r="S44" s="229">
        <v>7.9000000000000008E-3</v>
      </c>
      <c r="T44" s="228">
        <v>212.92</v>
      </c>
      <c r="U44" s="228">
        <v>211.73</v>
      </c>
      <c r="V44" s="228">
        <v>1.19</v>
      </c>
      <c r="W44" s="229">
        <v>5.5999999999999999E-3</v>
      </c>
      <c r="X44" s="228">
        <v>0.63</v>
      </c>
      <c r="Y44" s="228">
        <v>0.7</v>
      </c>
      <c r="Z44" s="228">
        <v>-7.0000000000000007E-2</v>
      </c>
      <c r="AA44" s="229">
        <v>3.0000000000000001E-3</v>
      </c>
      <c r="AB44" s="228">
        <v>0.63</v>
      </c>
      <c r="AC44" s="228">
        <v>0.7</v>
      </c>
      <c r="AD44" s="228">
        <v>-7.0000000000000007E-2</v>
      </c>
      <c r="AE44" s="229">
        <v>3.0000000000000001E-3</v>
      </c>
      <c r="AF44" s="228">
        <v>-0.23</v>
      </c>
      <c r="AG44" s="228">
        <v>-1.01</v>
      </c>
      <c r="AH44" s="228">
        <v>0.78</v>
      </c>
      <c r="AI44" s="229">
        <v>-1.1000000000000001E-3</v>
      </c>
      <c r="AJ44" s="228">
        <v>0.68</v>
      </c>
      <c r="AK44" s="228">
        <v>0.37</v>
      </c>
      <c r="AL44" s="228">
        <v>0.31</v>
      </c>
      <c r="AM44" s="229">
        <v>3.2000000000000002E-3</v>
      </c>
      <c r="AN44" s="228">
        <v>213.75</v>
      </c>
      <c r="AO44" s="228">
        <v>212.41</v>
      </c>
      <c r="AP44" s="228">
        <v>0</v>
      </c>
      <c r="AQ44" s="230">
        <v>6572</v>
      </c>
      <c r="AR44" s="230">
        <v>10380</v>
      </c>
      <c r="AS44" s="230">
        <v>-3808</v>
      </c>
      <c r="AT44" s="229">
        <v>-0.3669</v>
      </c>
      <c r="AU44" s="230">
        <v>5924</v>
      </c>
      <c r="AV44" s="230">
        <v>9373</v>
      </c>
      <c r="AW44" s="230">
        <v>-3449</v>
      </c>
      <c r="AX44" s="229">
        <v>-0.36799999999999999</v>
      </c>
      <c r="AY44" s="228">
        <v>611</v>
      </c>
      <c r="AZ44" s="228">
        <v>902</v>
      </c>
      <c r="BA44" s="228">
        <v>-291</v>
      </c>
      <c r="BB44" s="229">
        <v>-0.3226</v>
      </c>
      <c r="BC44" s="228">
        <v>37</v>
      </c>
      <c r="BD44" s="228">
        <v>105</v>
      </c>
      <c r="BE44" s="228">
        <v>-68</v>
      </c>
      <c r="BF44" s="229">
        <v>-0.64759999999999995</v>
      </c>
      <c r="BG44" s="230">
        <v>21712</v>
      </c>
      <c r="BH44" s="230">
        <v>28499</v>
      </c>
      <c r="BI44" s="230">
        <v>-6787</v>
      </c>
      <c r="BJ44" s="229">
        <v>-0.23810000000000001</v>
      </c>
      <c r="BK44" s="230">
        <v>12023</v>
      </c>
      <c r="BL44" s="230">
        <v>21363</v>
      </c>
      <c r="BM44" s="230">
        <v>-9340</v>
      </c>
      <c r="BN44" s="229">
        <v>-0.43719999999999998</v>
      </c>
      <c r="BO44" s="230">
        <v>40307</v>
      </c>
      <c r="BP44" s="230">
        <v>60242</v>
      </c>
      <c r="BQ44" s="230">
        <v>-19935</v>
      </c>
      <c r="BR44" s="229">
        <v>-0.33090000000000003</v>
      </c>
      <c r="BS44" s="230">
        <v>24491559</v>
      </c>
      <c r="BT44" s="230">
        <v>26326581</v>
      </c>
      <c r="BU44" s="230">
        <v>-1835022</v>
      </c>
      <c r="BV44" s="229">
        <v>-6.9699999999999998E-2</v>
      </c>
      <c r="BW44" s="230">
        <v>185539750</v>
      </c>
      <c r="BX44" s="230">
        <v>185421500</v>
      </c>
      <c r="BY44" s="230">
        <v>118250</v>
      </c>
      <c r="BZ44" s="229">
        <v>5.9999999999999995E-4</v>
      </c>
      <c r="CA44" s="230">
        <v>171976750</v>
      </c>
      <c r="CB44" s="230">
        <v>172183000</v>
      </c>
      <c r="CC44" s="230">
        <v>-206250</v>
      </c>
      <c r="CD44" s="229">
        <v>-1.1999999999999999E-3</v>
      </c>
      <c r="CE44" s="230">
        <v>13329250</v>
      </c>
      <c r="CF44" s="230">
        <v>13024000</v>
      </c>
      <c r="CG44" s="230">
        <v>305250</v>
      </c>
      <c r="CH44" s="229">
        <v>2.3400000000000001E-2</v>
      </c>
      <c r="CI44" s="230">
        <v>233750</v>
      </c>
      <c r="CJ44" s="230">
        <v>214500</v>
      </c>
      <c r="CK44" s="230">
        <v>19250</v>
      </c>
      <c r="CL44" s="229">
        <v>8.9700000000000002E-2</v>
      </c>
      <c r="CM44" s="230">
        <v>80286250</v>
      </c>
      <c r="CN44" s="230">
        <v>78028500</v>
      </c>
      <c r="CO44" s="230">
        <v>2257750</v>
      </c>
      <c r="CP44" s="229">
        <v>2.8899999999999999E-2</v>
      </c>
      <c r="CQ44" s="230">
        <v>52580000</v>
      </c>
      <c r="CR44" s="230">
        <v>47833500</v>
      </c>
      <c r="CS44" s="230">
        <v>4746500</v>
      </c>
      <c r="CT44" s="229">
        <v>9.9199999999999997E-2</v>
      </c>
      <c r="CU44" s="230">
        <v>318406000</v>
      </c>
      <c r="CV44" s="230">
        <v>311283500</v>
      </c>
      <c r="CW44" s="230">
        <v>7122500</v>
      </c>
      <c r="CX44" s="229">
        <v>2.29E-2</v>
      </c>
      <c r="CY44" s="228">
        <v>30.06</v>
      </c>
      <c r="CZ44" s="228">
        <v>30.05</v>
      </c>
      <c r="DA44" s="228">
        <v>0.01</v>
      </c>
      <c r="DB44" s="228">
        <v>0.01</v>
      </c>
      <c r="DC44" s="228">
        <v>35.520000000000003</v>
      </c>
      <c r="DD44" s="228">
        <v>35.61</v>
      </c>
      <c r="DE44" s="228">
        <v>-5.46</v>
      </c>
      <c r="DF44" s="228">
        <v>-0.09</v>
      </c>
      <c r="DG44" s="228">
        <v>29.42</v>
      </c>
      <c r="DH44" s="228">
        <v>29.93</v>
      </c>
      <c r="DI44" s="228">
        <v>-0.51</v>
      </c>
      <c r="DJ44" s="228">
        <v>-0.51</v>
      </c>
      <c r="DK44" s="228">
        <v>31.21</v>
      </c>
      <c r="DL44" s="228">
        <v>30.2</v>
      </c>
      <c r="DM44" s="228">
        <v>1.01</v>
      </c>
      <c r="DN44" s="228">
        <v>1.01</v>
      </c>
      <c r="DO44" s="228">
        <v>0.65</v>
      </c>
      <c r="DP44" s="228">
        <v>0.61</v>
      </c>
      <c r="DQ44" s="228">
        <v>0.04</v>
      </c>
      <c r="DR44" s="229">
        <v>6.5600000000000006E-2</v>
      </c>
      <c r="DS44" s="228">
        <v>210</v>
      </c>
      <c r="DT44" s="228">
        <v>210</v>
      </c>
      <c r="DU44" s="228">
        <v>0.55000000000000004</v>
      </c>
      <c r="DV44" s="228">
        <v>0.75</v>
      </c>
      <c r="DW44" s="228">
        <v>-0.2</v>
      </c>
      <c r="DX44" s="229">
        <v>-0.26669999999999999</v>
      </c>
      <c r="DY44" s="229">
        <v>7.3099999999999998E-2</v>
      </c>
      <c r="DZ44" s="230">
        <v>13238500</v>
      </c>
      <c r="EA44" s="229">
        <v>-4.0000000000000001E-3</v>
      </c>
      <c r="EB44" s="229">
        <v>7.3099999999999998E-2</v>
      </c>
      <c r="EC44" s="228">
        <v>-1.34</v>
      </c>
      <c r="ED44" s="229">
        <v>-6.3E-3</v>
      </c>
      <c r="EE44" s="230">
        <v>12231871</v>
      </c>
      <c r="EF44" s="230">
        <v>12873524</v>
      </c>
      <c r="EG44" s="229">
        <v>-4.9799999999999997E-2</v>
      </c>
      <c r="EH44" s="229">
        <v>0.49940000000000001</v>
      </c>
      <c r="EI44" s="231">
        <v>134681.35</v>
      </c>
      <c r="EJ44" s="231">
        <v>69336.72</v>
      </c>
      <c r="EK44" s="231">
        <v>38607.47</v>
      </c>
      <c r="EL44" s="231">
        <v>16476</v>
      </c>
      <c r="EM44" s="231">
        <v>242625.54</v>
      </c>
      <c r="EN44" s="231">
        <v>360338.91</v>
      </c>
      <c r="EO44" s="231">
        <v>-117713.37</v>
      </c>
      <c r="EP44" s="229">
        <v>-0.32669999999999999</v>
      </c>
      <c r="EQ44" s="231">
        <v>174929</v>
      </c>
      <c r="ER44" s="231">
        <v>107458</v>
      </c>
      <c r="ES44" s="231">
        <v>394844</v>
      </c>
      <c r="ET44" s="231">
        <v>1049350971</v>
      </c>
      <c r="EU44" s="231">
        <v>677231</v>
      </c>
      <c r="EV44" s="231">
        <v>660391</v>
      </c>
      <c r="EW44" s="231">
        <v>16840</v>
      </c>
      <c r="EX44" s="229">
        <v>2.5499999999999998E-2</v>
      </c>
      <c r="EY44" s="229">
        <v>0.3034</v>
      </c>
    </row>
    <row r="45" spans="1:155" ht="17.25" thickBot="1" x14ac:dyDescent="0.3">
      <c r="A45" s="226">
        <v>46146</v>
      </c>
      <c r="B45" s="227" t="s">
        <v>221</v>
      </c>
      <c r="C45" s="227" t="s">
        <v>295</v>
      </c>
      <c r="D45" s="231">
        <v>2421.8000000000002</v>
      </c>
      <c r="E45" s="231">
        <v>2440.6</v>
      </c>
      <c r="F45" s="228">
        <v>-18.8</v>
      </c>
      <c r="G45" s="229">
        <v>-7.7000000000000002E-3</v>
      </c>
      <c r="H45" s="231">
        <v>2431.3000000000002</v>
      </c>
      <c r="I45" s="231">
        <v>2473.9</v>
      </c>
      <c r="J45" s="228">
        <v>-42.6</v>
      </c>
      <c r="K45" s="229">
        <v>-1.72E-2</v>
      </c>
      <c r="L45" s="231">
        <v>2421.8000000000002</v>
      </c>
      <c r="M45" s="231">
        <v>2440.6</v>
      </c>
      <c r="N45" s="228">
        <v>-18.8</v>
      </c>
      <c r="O45" s="229">
        <v>-7.7000000000000002E-3</v>
      </c>
      <c r="P45" s="231">
        <v>2410.1999999999998</v>
      </c>
      <c r="Q45" s="231">
        <v>2431.9</v>
      </c>
      <c r="R45" s="228">
        <v>-21.7</v>
      </c>
      <c r="S45" s="229">
        <v>-8.8999999999999999E-3</v>
      </c>
      <c r="T45" s="231">
        <v>2409.9</v>
      </c>
      <c r="U45" s="231">
        <v>2431.8000000000002</v>
      </c>
      <c r="V45" s="228">
        <v>-21.9</v>
      </c>
      <c r="W45" s="229">
        <v>-8.9999999999999993E-3</v>
      </c>
      <c r="X45" s="228">
        <v>-9.5</v>
      </c>
      <c r="Y45" s="228">
        <v>-33.299999999999997</v>
      </c>
      <c r="Z45" s="228">
        <v>23.8</v>
      </c>
      <c r="AA45" s="229">
        <v>-3.8999999999999998E-3</v>
      </c>
      <c r="AB45" s="228">
        <v>-9.5</v>
      </c>
      <c r="AC45" s="228">
        <v>-33.299999999999997</v>
      </c>
      <c r="AD45" s="228">
        <v>23.8</v>
      </c>
      <c r="AE45" s="229">
        <v>-3.8999999999999998E-3</v>
      </c>
      <c r="AF45" s="228">
        <v>-21.1</v>
      </c>
      <c r="AG45" s="228">
        <v>-42</v>
      </c>
      <c r="AH45" s="228">
        <v>20.9</v>
      </c>
      <c r="AI45" s="229">
        <v>-8.6999999999999994E-3</v>
      </c>
      <c r="AJ45" s="228">
        <v>-21.4</v>
      </c>
      <c r="AK45" s="228">
        <v>-42.1</v>
      </c>
      <c r="AL45" s="228">
        <v>20.7</v>
      </c>
      <c r="AM45" s="229">
        <v>-8.8000000000000005E-3</v>
      </c>
      <c r="AN45" s="231">
        <v>2429.73</v>
      </c>
      <c r="AO45" s="231">
        <v>2418.17</v>
      </c>
      <c r="AP45" s="228">
        <v>0</v>
      </c>
      <c r="AQ45" s="230">
        <v>13601</v>
      </c>
      <c r="AR45" s="230">
        <v>20159</v>
      </c>
      <c r="AS45" s="230">
        <v>-6558</v>
      </c>
      <c r="AT45" s="229">
        <v>-0.32529999999999998</v>
      </c>
      <c r="AU45" s="230">
        <v>10361</v>
      </c>
      <c r="AV45" s="230">
        <v>17873</v>
      </c>
      <c r="AW45" s="230">
        <v>-7512</v>
      </c>
      <c r="AX45" s="229">
        <v>-0.42030000000000001</v>
      </c>
      <c r="AY45" s="230">
        <v>2621</v>
      </c>
      <c r="AZ45" s="230">
        <v>2041</v>
      </c>
      <c r="BA45" s="228">
        <v>580</v>
      </c>
      <c r="BB45" s="229">
        <v>0.28420000000000001</v>
      </c>
      <c r="BC45" s="228">
        <v>619</v>
      </c>
      <c r="BD45" s="228">
        <v>245</v>
      </c>
      <c r="BE45" s="228">
        <v>374</v>
      </c>
      <c r="BF45" s="229">
        <v>1.5265</v>
      </c>
      <c r="BG45" s="230">
        <v>53632</v>
      </c>
      <c r="BH45" s="230">
        <v>56506</v>
      </c>
      <c r="BI45" s="230">
        <v>-2874</v>
      </c>
      <c r="BJ45" s="229">
        <v>-5.0900000000000001E-2</v>
      </c>
      <c r="BK45" s="230">
        <v>27897</v>
      </c>
      <c r="BL45" s="230">
        <v>27033</v>
      </c>
      <c r="BM45" s="228">
        <v>864</v>
      </c>
      <c r="BN45" s="229">
        <v>3.2000000000000001E-2</v>
      </c>
      <c r="BO45" s="230">
        <v>95130</v>
      </c>
      <c r="BP45" s="230">
        <v>103698</v>
      </c>
      <c r="BQ45" s="230">
        <v>-8568</v>
      </c>
      <c r="BR45" s="229">
        <v>-8.2600000000000007E-2</v>
      </c>
      <c r="BS45" s="230">
        <v>2958250</v>
      </c>
      <c r="BT45" s="230">
        <v>4427098</v>
      </c>
      <c r="BU45" s="230">
        <v>-1468848</v>
      </c>
      <c r="BV45" s="229">
        <v>-0.33179999999999998</v>
      </c>
      <c r="BW45" s="230">
        <v>37727850</v>
      </c>
      <c r="BX45" s="230">
        <v>37468600</v>
      </c>
      <c r="BY45" s="230">
        <v>259250</v>
      </c>
      <c r="BZ45" s="229">
        <v>6.8999999999999999E-3</v>
      </c>
      <c r="CA45" s="230">
        <v>35011900</v>
      </c>
      <c r="CB45" s="230">
        <v>34999125</v>
      </c>
      <c r="CC45" s="230">
        <v>12775</v>
      </c>
      <c r="CD45" s="229">
        <v>4.0000000000000002E-4</v>
      </c>
      <c r="CE45" s="230">
        <v>2528750</v>
      </c>
      <c r="CF45" s="230">
        <v>2404675</v>
      </c>
      <c r="CG45" s="230">
        <v>124075</v>
      </c>
      <c r="CH45" s="229">
        <v>5.16E-2</v>
      </c>
      <c r="CI45" s="230">
        <v>187200</v>
      </c>
      <c r="CJ45" s="230">
        <v>64800</v>
      </c>
      <c r="CK45" s="230">
        <v>122400</v>
      </c>
      <c r="CL45" s="229">
        <v>1.8889</v>
      </c>
      <c r="CM45" s="230">
        <v>11516350</v>
      </c>
      <c r="CN45" s="230">
        <v>10179775</v>
      </c>
      <c r="CO45" s="230">
        <v>1336575</v>
      </c>
      <c r="CP45" s="229">
        <v>0.1313</v>
      </c>
      <c r="CQ45" s="230">
        <v>8463425</v>
      </c>
      <c r="CR45" s="230">
        <v>8218500</v>
      </c>
      <c r="CS45" s="230">
        <v>244925</v>
      </c>
      <c r="CT45" s="229">
        <v>2.98E-2</v>
      </c>
      <c r="CU45" s="230">
        <v>57707625</v>
      </c>
      <c r="CV45" s="230">
        <v>55866875</v>
      </c>
      <c r="CW45" s="230">
        <v>1840750</v>
      </c>
      <c r="CX45" s="229">
        <v>3.2899999999999999E-2</v>
      </c>
      <c r="CY45" s="228">
        <v>27.53</v>
      </c>
      <c r="CZ45" s="228">
        <v>27.35</v>
      </c>
      <c r="DA45" s="228">
        <v>0.18</v>
      </c>
      <c r="DB45" s="228">
        <v>0.18</v>
      </c>
      <c r="DC45" s="228">
        <v>28.09</v>
      </c>
      <c r="DD45" s="228">
        <v>28.06</v>
      </c>
      <c r="DE45" s="228">
        <v>-0.56000000000000005</v>
      </c>
      <c r="DF45" s="228">
        <v>0.03</v>
      </c>
      <c r="DG45" s="228">
        <v>27.5</v>
      </c>
      <c r="DH45" s="228">
        <v>27.36</v>
      </c>
      <c r="DI45" s="228">
        <v>0.14000000000000001</v>
      </c>
      <c r="DJ45" s="228">
        <v>0.14000000000000001</v>
      </c>
      <c r="DK45" s="228">
        <v>27.59</v>
      </c>
      <c r="DL45" s="228">
        <v>27.32</v>
      </c>
      <c r="DM45" s="228">
        <v>0.27</v>
      </c>
      <c r="DN45" s="228">
        <v>0.27</v>
      </c>
      <c r="DO45" s="228">
        <v>0.73</v>
      </c>
      <c r="DP45" s="228">
        <v>0.81</v>
      </c>
      <c r="DQ45" s="228">
        <v>-0.08</v>
      </c>
      <c r="DR45" s="229">
        <v>-9.8799999999999999E-2</v>
      </c>
      <c r="DS45" s="231">
        <v>2600</v>
      </c>
      <c r="DT45" s="231">
        <v>3120</v>
      </c>
      <c r="DU45" s="228">
        <v>0.52</v>
      </c>
      <c r="DV45" s="228">
        <v>0.48</v>
      </c>
      <c r="DW45" s="228">
        <v>0.04</v>
      </c>
      <c r="DX45" s="229">
        <v>8.3299999999999999E-2</v>
      </c>
      <c r="DY45" s="229">
        <v>7.1999999999999995E-2</v>
      </c>
      <c r="DZ45" s="230">
        <v>2469475</v>
      </c>
      <c r="EA45" s="229">
        <v>-4.7999999999999996E-3</v>
      </c>
      <c r="EB45" s="229">
        <v>7.1999999999999995E-2</v>
      </c>
      <c r="EC45" s="228">
        <v>-11.56</v>
      </c>
      <c r="ED45" s="229">
        <v>-4.7999999999999996E-3</v>
      </c>
      <c r="EE45" s="230">
        <v>1629236</v>
      </c>
      <c r="EF45" s="230">
        <v>1994914</v>
      </c>
      <c r="EG45" s="229">
        <v>-0.18329999999999999</v>
      </c>
      <c r="EH45" s="229">
        <v>0.55069999999999997</v>
      </c>
      <c r="EI45" s="231">
        <v>241861.17</v>
      </c>
      <c r="EJ45" s="231">
        <v>117868.22</v>
      </c>
      <c r="EK45" s="231">
        <v>58517</v>
      </c>
      <c r="EL45" s="231">
        <v>60872</v>
      </c>
      <c r="EM45" s="231">
        <v>418246.39</v>
      </c>
      <c r="EN45" s="231">
        <v>456733.15</v>
      </c>
      <c r="EO45" s="231">
        <v>-38486.76</v>
      </c>
      <c r="EP45" s="229">
        <v>-8.43E-2</v>
      </c>
      <c r="EQ45" s="231">
        <v>296611</v>
      </c>
      <c r="ER45" s="231">
        <v>211906</v>
      </c>
      <c r="ES45" s="231">
        <v>913377</v>
      </c>
      <c r="ET45" s="231">
        <v>153229333</v>
      </c>
      <c r="EU45" s="231">
        <v>1421894</v>
      </c>
      <c r="EV45" s="231">
        <v>1382686</v>
      </c>
      <c r="EW45" s="231">
        <v>39208</v>
      </c>
      <c r="EX45" s="229">
        <v>2.8400000000000002E-2</v>
      </c>
      <c r="EY45" s="229">
        <v>0.37659999999999999</v>
      </c>
    </row>
    <row r="46" spans="1:155" ht="17.25" thickBot="1" x14ac:dyDescent="0.3">
      <c r="A46" s="226">
        <v>46146</v>
      </c>
      <c r="B46" s="227" t="s">
        <v>221</v>
      </c>
      <c r="C46" s="227" t="s">
        <v>296</v>
      </c>
      <c r="D46" s="231">
        <v>1467.3</v>
      </c>
      <c r="E46" s="231">
        <v>1474.8</v>
      </c>
      <c r="F46" s="228">
        <v>-7.5</v>
      </c>
      <c r="G46" s="229">
        <v>-5.1000000000000004E-3</v>
      </c>
      <c r="H46" s="231">
        <v>1471.6</v>
      </c>
      <c r="I46" s="231">
        <v>1473.5</v>
      </c>
      <c r="J46" s="228">
        <v>-1.9</v>
      </c>
      <c r="K46" s="229">
        <v>-1.2999999999999999E-3</v>
      </c>
      <c r="L46" s="231">
        <v>1467.3</v>
      </c>
      <c r="M46" s="231">
        <v>1474.8</v>
      </c>
      <c r="N46" s="228">
        <v>-7.5</v>
      </c>
      <c r="O46" s="229">
        <v>-5.1000000000000004E-3</v>
      </c>
      <c r="P46" s="231">
        <v>1466.4</v>
      </c>
      <c r="Q46" s="231">
        <v>1473.4</v>
      </c>
      <c r="R46" s="228">
        <v>-7</v>
      </c>
      <c r="S46" s="229">
        <v>-4.7999999999999996E-3</v>
      </c>
      <c r="T46" s="231">
        <v>1464</v>
      </c>
      <c r="U46" s="231">
        <v>1474.8</v>
      </c>
      <c r="V46" s="228">
        <v>-10.8</v>
      </c>
      <c r="W46" s="229">
        <v>-7.3000000000000001E-3</v>
      </c>
      <c r="X46" s="228">
        <v>-4.3</v>
      </c>
      <c r="Y46" s="228">
        <v>1.3</v>
      </c>
      <c r="Z46" s="228">
        <v>-5.6</v>
      </c>
      <c r="AA46" s="229">
        <v>-2.8999999999999998E-3</v>
      </c>
      <c r="AB46" s="228">
        <v>-4.3</v>
      </c>
      <c r="AC46" s="228">
        <v>1.3</v>
      </c>
      <c r="AD46" s="228">
        <v>-5.6</v>
      </c>
      <c r="AE46" s="229">
        <v>-2.8999999999999998E-3</v>
      </c>
      <c r="AF46" s="228">
        <v>-5.2</v>
      </c>
      <c r="AG46" s="228">
        <v>-0.1</v>
      </c>
      <c r="AH46" s="228">
        <v>-5.0999999999999996</v>
      </c>
      <c r="AI46" s="229">
        <v>-3.5000000000000001E-3</v>
      </c>
      <c r="AJ46" s="228">
        <v>-7.6</v>
      </c>
      <c r="AK46" s="228">
        <v>1.3</v>
      </c>
      <c r="AL46" s="228">
        <v>-8.9</v>
      </c>
      <c r="AM46" s="229">
        <v>-5.1999999999999998E-3</v>
      </c>
      <c r="AN46" s="231">
        <v>1469.36</v>
      </c>
      <c r="AO46" s="231">
        <v>1468.59</v>
      </c>
      <c r="AP46" s="228">
        <v>0</v>
      </c>
      <c r="AQ46" s="230">
        <v>3881</v>
      </c>
      <c r="AR46" s="230">
        <v>6315</v>
      </c>
      <c r="AS46" s="230">
        <v>-2434</v>
      </c>
      <c r="AT46" s="229">
        <v>-0.38540000000000002</v>
      </c>
      <c r="AU46" s="230">
        <v>3562</v>
      </c>
      <c r="AV46" s="230">
        <v>6106</v>
      </c>
      <c r="AW46" s="230">
        <v>-2544</v>
      </c>
      <c r="AX46" s="229">
        <v>-0.41660000000000003</v>
      </c>
      <c r="AY46" s="228">
        <v>313</v>
      </c>
      <c r="AZ46" s="228">
        <v>185</v>
      </c>
      <c r="BA46" s="228">
        <v>128</v>
      </c>
      <c r="BB46" s="229">
        <v>0.69189999999999996</v>
      </c>
      <c r="BC46" s="228">
        <v>6</v>
      </c>
      <c r="BD46" s="228">
        <v>24</v>
      </c>
      <c r="BE46" s="228">
        <v>-18</v>
      </c>
      <c r="BF46" s="229">
        <v>-0.75</v>
      </c>
      <c r="BG46" s="230">
        <v>7229</v>
      </c>
      <c r="BH46" s="230">
        <v>18605</v>
      </c>
      <c r="BI46" s="230">
        <v>-11376</v>
      </c>
      <c r="BJ46" s="229">
        <v>-0.61140000000000005</v>
      </c>
      <c r="BK46" s="230">
        <v>4576</v>
      </c>
      <c r="BL46" s="230">
        <v>8298</v>
      </c>
      <c r="BM46" s="230">
        <v>-3722</v>
      </c>
      <c r="BN46" s="229">
        <v>-0.44850000000000001</v>
      </c>
      <c r="BO46" s="230">
        <v>15686</v>
      </c>
      <c r="BP46" s="230">
        <v>33218</v>
      </c>
      <c r="BQ46" s="230">
        <v>-17532</v>
      </c>
      <c r="BR46" s="229">
        <v>-0.52780000000000005</v>
      </c>
      <c r="BS46" s="230">
        <v>1539393</v>
      </c>
      <c r="BT46" s="230">
        <v>2939615</v>
      </c>
      <c r="BU46" s="230">
        <v>-1400222</v>
      </c>
      <c r="BV46" s="229">
        <v>-0.4763</v>
      </c>
      <c r="BW46" s="230">
        <v>19548600</v>
      </c>
      <c r="BX46" s="230">
        <v>19198200</v>
      </c>
      <c r="BY46" s="230">
        <v>350400</v>
      </c>
      <c r="BZ46" s="229">
        <v>1.83E-2</v>
      </c>
      <c r="CA46" s="230">
        <v>19092000</v>
      </c>
      <c r="CB46" s="230">
        <v>18838200</v>
      </c>
      <c r="CC46" s="230">
        <v>253800</v>
      </c>
      <c r="CD46" s="229">
        <v>1.35E-2</v>
      </c>
      <c r="CE46" s="230">
        <v>440400</v>
      </c>
      <c r="CF46" s="230">
        <v>346800</v>
      </c>
      <c r="CG46" s="230">
        <v>93600</v>
      </c>
      <c r="CH46" s="229">
        <v>0.26989999999999997</v>
      </c>
      <c r="CI46" s="230">
        <v>16200</v>
      </c>
      <c r="CJ46" s="230">
        <v>13200</v>
      </c>
      <c r="CK46" s="230">
        <v>3000</v>
      </c>
      <c r="CL46" s="229">
        <v>0.2273</v>
      </c>
      <c r="CM46" s="230">
        <v>6375000</v>
      </c>
      <c r="CN46" s="230">
        <v>5868600</v>
      </c>
      <c r="CO46" s="230">
        <v>506400</v>
      </c>
      <c r="CP46" s="229">
        <v>8.6300000000000002E-2</v>
      </c>
      <c r="CQ46" s="230">
        <v>4663800</v>
      </c>
      <c r="CR46" s="230">
        <v>4551600</v>
      </c>
      <c r="CS46" s="230">
        <v>112200</v>
      </c>
      <c r="CT46" s="229">
        <v>2.47E-2</v>
      </c>
      <c r="CU46" s="230">
        <v>30587400</v>
      </c>
      <c r="CV46" s="230">
        <v>29618400</v>
      </c>
      <c r="CW46" s="230">
        <v>969000</v>
      </c>
      <c r="CX46" s="229">
        <v>3.27E-2</v>
      </c>
      <c r="CY46" s="228">
        <v>28.95</v>
      </c>
      <c r="CZ46" s="228">
        <v>28.35</v>
      </c>
      <c r="DA46" s="228">
        <v>0.6</v>
      </c>
      <c r="DB46" s="228">
        <v>0.6</v>
      </c>
      <c r="DC46" s="228">
        <v>32.159999999999997</v>
      </c>
      <c r="DD46" s="228">
        <v>32.24</v>
      </c>
      <c r="DE46" s="228">
        <v>-3.21</v>
      </c>
      <c r="DF46" s="228">
        <v>-0.08</v>
      </c>
      <c r="DG46" s="228">
        <v>28.38</v>
      </c>
      <c r="DH46" s="228">
        <v>27.78</v>
      </c>
      <c r="DI46" s="228">
        <v>0.6</v>
      </c>
      <c r="DJ46" s="228">
        <v>0.6</v>
      </c>
      <c r="DK46" s="228">
        <v>29.85</v>
      </c>
      <c r="DL46" s="228">
        <v>29.64</v>
      </c>
      <c r="DM46" s="228">
        <v>0.21</v>
      </c>
      <c r="DN46" s="228">
        <v>0.21</v>
      </c>
      <c r="DO46" s="228">
        <v>0.73</v>
      </c>
      <c r="DP46" s="228">
        <v>0.78</v>
      </c>
      <c r="DQ46" s="228">
        <v>-0.05</v>
      </c>
      <c r="DR46" s="229">
        <v>-6.4100000000000004E-2</v>
      </c>
      <c r="DS46" s="231">
        <v>1500</v>
      </c>
      <c r="DT46" s="231">
        <v>1300</v>
      </c>
      <c r="DU46" s="228">
        <v>0.63</v>
      </c>
      <c r="DV46" s="228">
        <v>0.45</v>
      </c>
      <c r="DW46" s="228">
        <v>0.18</v>
      </c>
      <c r="DX46" s="229">
        <v>0.4</v>
      </c>
      <c r="DY46" s="229">
        <v>2.3400000000000001E-2</v>
      </c>
      <c r="DZ46" s="230">
        <v>360000</v>
      </c>
      <c r="EA46" s="229">
        <v>-5.9999999999999995E-4</v>
      </c>
      <c r="EB46" s="229">
        <v>2.3400000000000001E-2</v>
      </c>
      <c r="EC46" s="228">
        <v>-0.77</v>
      </c>
      <c r="ED46" s="229">
        <v>-5.0000000000000001E-4</v>
      </c>
      <c r="EE46" s="230">
        <v>766308</v>
      </c>
      <c r="EF46" s="230">
        <v>1406062</v>
      </c>
      <c r="EG46" s="229">
        <v>-0.45500000000000002</v>
      </c>
      <c r="EH46" s="229">
        <v>0.49780000000000002</v>
      </c>
      <c r="EI46" s="231">
        <v>67605.27</v>
      </c>
      <c r="EJ46" s="231">
        <v>39365.519999999997</v>
      </c>
      <c r="EK46" s="231">
        <v>34213.99</v>
      </c>
      <c r="EL46" s="231">
        <v>10852</v>
      </c>
      <c r="EM46" s="231">
        <v>141184.78</v>
      </c>
      <c r="EN46" s="231">
        <v>298795.46000000002</v>
      </c>
      <c r="EO46" s="231">
        <v>-157610.68</v>
      </c>
      <c r="EP46" s="229">
        <v>-0.52749999999999997</v>
      </c>
      <c r="EQ46" s="231">
        <v>96800</v>
      </c>
      <c r="ER46" s="231">
        <v>65018</v>
      </c>
      <c r="ES46" s="231">
        <v>286832</v>
      </c>
      <c r="ET46" s="231">
        <v>95553300</v>
      </c>
      <c r="EU46" s="231">
        <v>448650</v>
      </c>
      <c r="EV46" s="231">
        <v>435265</v>
      </c>
      <c r="EW46" s="231">
        <v>13385</v>
      </c>
      <c r="EX46" s="229">
        <v>3.0800000000000001E-2</v>
      </c>
      <c r="EY46" s="229">
        <v>0.3201</v>
      </c>
    </row>
    <row r="47" spans="1:155" ht="17.25" thickBot="1" x14ac:dyDescent="0.3">
      <c r="A47" s="226">
        <v>46146</v>
      </c>
      <c r="B47" s="227" t="s">
        <v>168</v>
      </c>
      <c r="C47" s="227" t="s">
        <v>297</v>
      </c>
      <c r="D47" s="231">
        <v>4382.3</v>
      </c>
      <c r="E47" s="231">
        <v>4402.2</v>
      </c>
      <c r="F47" s="228">
        <v>-19.899999999999999</v>
      </c>
      <c r="G47" s="229">
        <v>-4.4999999999999997E-3</v>
      </c>
      <c r="H47" s="231">
        <v>4363</v>
      </c>
      <c r="I47" s="231">
        <v>4385.2</v>
      </c>
      <c r="J47" s="228">
        <v>-22.2</v>
      </c>
      <c r="K47" s="229">
        <v>-5.1000000000000004E-3</v>
      </c>
      <c r="L47" s="231">
        <v>4382.3</v>
      </c>
      <c r="M47" s="231">
        <v>4402.2</v>
      </c>
      <c r="N47" s="228">
        <v>-19.899999999999999</v>
      </c>
      <c r="O47" s="229">
        <v>-4.4999999999999997E-3</v>
      </c>
      <c r="P47" s="231">
        <v>4411.7</v>
      </c>
      <c r="Q47" s="231">
        <v>4433.3</v>
      </c>
      <c r="R47" s="228">
        <v>-21.6</v>
      </c>
      <c r="S47" s="229">
        <v>-4.8999999999999998E-3</v>
      </c>
      <c r="T47" s="231">
        <v>4420</v>
      </c>
      <c r="U47" s="231">
        <v>4447.3</v>
      </c>
      <c r="V47" s="228">
        <v>-27.3</v>
      </c>
      <c r="W47" s="229">
        <v>-6.1000000000000004E-3</v>
      </c>
      <c r="X47" s="228">
        <v>19.3</v>
      </c>
      <c r="Y47" s="228">
        <v>17</v>
      </c>
      <c r="Z47" s="228">
        <v>2.2999999999999998</v>
      </c>
      <c r="AA47" s="229">
        <v>4.4000000000000003E-3</v>
      </c>
      <c r="AB47" s="228">
        <v>19.3</v>
      </c>
      <c r="AC47" s="228">
        <v>17</v>
      </c>
      <c r="AD47" s="228">
        <v>2.2999999999999998</v>
      </c>
      <c r="AE47" s="229">
        <v>4.4000000000000003E-3</v>
      </c>
      <c r="AF47" s="228">
        <v>48.7</v>
      </c>
      <c r="AG47" s="228">
        <v>48.1</v>
      </c>
      <c r="AH47" s="228">
        <v>0.6</v>
      </c>
      <c r="AI47" s="229">
        <v>1.12E-2</v>
      </c>
      <c r="AJ47" s="228">
        <v>57</v>
      </c>
      <c r="AK47" s="228">
        <v>62.1</v>
      </c>
      <c r="AL47" s="228">
        <v>-5.0999999999999996</v>
      </c>
      <c r="AM47" s="229">
        <v>1.3100000000000001E-2</v>
      </c>
      <c r="AN47" s="231">
        <v>4409.8500000000004</v>
      </c>
      <c r="AO47" s="231">
        <v>4429.6499999999996</v>
      </c>
      <c r="AP47" s="228">
        <v>0</v>
      </c>
      <c r="AQ47" s="230">
        <v>5156</v>
      </c>
      <c r="AR47" s="230">
        <v>3808</v>
      </c>
      <c r="AS47" s="230">
        <v>1348</v>
      </c>
      <c r="AT47" s="229">
        <v>0.35399999999999998</v>
      </c>
      <c r="AU47" s="230">
        <v>4398</v>
      </c>
      <c r="AV47" s="230">
        <v>3662</v>
      </c>
      <c r="AW47" s="228">
        <v>736</v>
      </c>
      <c r="AX47" s="229">
        <v>0.20100000000000001</v>
      </c>
      <c r="AY47" s="228">
        <v>741</v>
      </c>
      <c r="AZ47" s="228">
        <v>131</v>
      </c>
      <c r="BA47" s="228">
        <v>610</v>
      </c>
      <c r="BB47" s="229">
        <v>4.6565000000000003</v>
      </c>
      <c r="BC47" s="228">
        <v>17</v>
      </c>
      <c r="BD47" s="228">
        <v>15</v>
      </c>
      <c r="BE47" s="228">
        <v>2</v>
      </c>
      <c r="BF47" s="229">
        <v>0.1333</v>
      </c>
      <c r="BG47" s="230">
        <v>11927</v>
      </c>
      <c r="BH47" s="230">
        <v>10950</v>
      </c>
      <c r="BI47" s="228">
        <v>977</v>
      </c>
      <c r="BJ47" s="229">
        <v>8.9200000000000002E-2</v>
      </c>
      <c r="BK47" s="230">
        <v>8319</v>
      </c>
      <c r="BL47" s="230">
        <v>7775</v>
      </c>
      <c r="BM47" s="228">
        <v>544</v>
      </c>
      <c r="BN47" s="229">
        <v>7.0000000000000007E-2</v>
      </c>
      <c r="BO47" s="230">
        <v>25402</v>
      </c>
      <c r="BP47" s="230">
        <v>22533</v>
      </c>
      <c r="BQ47" s="230">
        <v>2869</v>
      </c>
      <c r="BR47" s="229">
        <v>0.1273</v>
      </c>
      <c r="BS47" s="230">
        <v>728004</v>
      </c>
      <c r="BT47" s="230">
        <v>908203</v>
      </c>
      <c r="BU47" s="230">
        <v>-180199</v>
      </c>
      <c r="BV47" s="229">
        <v>-0.19839999999999999</v>
      </c>
      <c r="BW47" s="230">
        <v>8831200</v>
      </c>
      <c r="BX47" s="230">
        <v>8767150</v>
      </c>
      <c r="BY47" s="230">
        <v>64050</v>
      </c>
      <c r="BZ47" s="229">
        <v>7.3000000000000001E-3</v>
      </c>
      <c r="CA47" s="230">
        <v>7944475</v>
      </c>
      <c r="CB47" s="230">
        <v>7970375</v>
      </c>
      <c r="CC47" s="230">
        <v>-25900</v>
      </c>
      <c r="CD47" s="229">
        <v>-3.2000000000000002E-3</v>
      </c>
      <c r="CE47" s="230">
        <v>882350</v>
      </c>
      <c r="CF47" s="230">
        <v>793100</v>
      </c>
      <c r="CG47" s="230">
        <v>89250</v>
      </c>
      <c r="CH47" s="229">
        <v>0.1125</v>
      </c>
      <c r="CI47" s="230">
        <v>4375</v>
      </c>
      <c r="CJ47" s="230">
        <v>3675</v>
      </c>
      <c r="CK47" s="228">
        <v>700</v>
      </c>
      <c r="CL47" s="229">
        <v>0.1905</v>
      </c>
      <c r="CM47" s="230">
        <v>1528975</v>
      </c>
      <c r="CN47" s="230">
        <v>1361150</v>
      </c>
      <c r="CO47" s="230">
        <v>167825</v>
      </c>
      <c r="CP47" s="229">
        <v>0.12330000000000001</v>
      </c>
      <c r="CQ47" s="230">
        <v>1281875</v>
      </c>
      <c r="CR47" s="230">
        <v>1062250</v>
      </c>
      <c r="CS47" s="230">
        <v>219625</v>
      </c>
      <c r="CT47" s="229">
        <v>0.20680000000000001</v>
      </c>
      <c r="CU47" s="230">
        <v>11642050</v>
      </c>
      <c r="CV47" s="230">
        <v>11190550</v>
      </c>
      <c r="CW47" s="230">
        <v>451500</v>
      </c>
      <c r="CX47" s="229">
        <v>4.0300000000000002E-2</v>
      </c>
      <c r="CY47" s="228">
        <v>28.2</v>
      </c>
      <c r="CZ47" s="228">
        <v>26.95</v>
      </c>
      <c r="DA47" s="228">
        <v>1.25</v>
      </c>
      <c r="DB47" s="228">
        <v>1.25</v>
      </c>
      <c r="DC47" s="228">
        <v>27.44</v>
      </c>
      <c r="DD47" s="228">
        <v>27.5</v>
      </c>
      <c r="DE47" s="228">
        <v>0.76</v>
      </c>
      <c r="DF47" s="228">
        <v>-0.06</v>
      </c>
      <c r="DG47" s="228">
        <v>27.74</v>
      </c>
      <c r="DH47" s="228">
        <v>26.49</v>
      </c>
      <c r="DI47" s="228">
        <v>1.25</v>
      </c>
      <c r="DJ47" s="228">
        <v>1.25</v>
      </c>
      <c r="DK47" s="228">
        <v>28.86</v>
      </c>
      <c r="DL47" s="228">
        <v>27.61</v>
      </c>
      <c r="DM47" s="228">
        <v>1.25</v>
      </c>
      <c r="DN47" s="228">
        <v>1.25</v>
      </c>
      <c r="DO47" s="228">
        <v>0.84</v>
      </c>
      <c r="DP47" s="228">
        <v>0.78</v>
      </c>
      <c r="DQ47" s="228">
        <v>0.06</v>
      </c>
      <c r="DR47" s="229">
        <v>7.6899999999999996E-2</v>
      </c>
      <c r="DS47" s="231">
        <v>4500</v>
      </c>
      <c r="DT47" s="231">
        <v>4200</v>
      </c>
      <c r="DU47" s="228">
        <v>0.7</v>
      </c>
      <c r="DV47" s="228">
        <v>0.71</v>
      </c>
      <c r="DW47" s="228">
        <v>-0.01</v>
      </c>
      <c r="DX47" s="229">
        <v>-1.41E-2</v>
      </c>
      <c r="DY47" s="229">
        <v>0.1004</v>
      </c>
      <c r="DZ47" s="230">
        <v>796775</v>
      </c>
      <c r="EA47" s="229">
        <v>6.7000000000000002E-3</v>
      </c>
      <c r="EB47" s="229">
        <v>0.1004</v>
      </c>
      <c r="EC47" s="228">
        <v>19.8</v>
      </c>
      <c r="ED47" s="229">
        <v>4.4999999999999997E-3</v>
      </c>
      <c r="EE47" s="230">
        <v>416612</v>
      </c>
      <c r="EF47" s="230">
        <v>566402</v>
      </c>
      <c r="EG47" s="229">
        <v>-0.26450000000000001</v>
      </c>
      <c r="EH47" s="229">
        <v>0.57230000000000003</v>
      </c>
      <c r="EI47" s="231">
        <v>96902.76</v>
      </c>
      <c r="EJ47" s="231">
        <v>63118.15</v>
      </c>
      <c r="EK47" s="231">
        <v>39817.300000000003</v>
      </c>
      <c r="EL47" s="231">
        <v>13770</v>
      </c>
      <c r="EM47" s="231">
        <v>199838.21</v>
      </c>
      <c r="EN47" s="231">
        <v>176939.69</v>
      </c>
      <c r="EO47" s="231">
        <v>22898.52</v>
      </c>
      <c r="EP47" s="229">
        <v>0.12939999999999999</v>
      </c>
      <c r="EQ47" s="231">
        <v>69909</v>
      </c>
      <c r="ER47" s="231">
        <v>53666</v>
      </c>
      <c r="ES47" s="231">
        <v>387271</v>
      </c>
      <c r="ET47" s="231">
        <v>41744334</v>
      </c>
      <c r="EU47" s="231">
        <v>510846</v>
      </c>
      <c r="EV47" s="231">
        <v>493003</v>
      </c>
      <c r="EW47" s="231">
        <v>17843</v>
      </c>
      <c r="EX47" s="229">
        <v>3.6200000000000003E-2</v>
      </c>
      <c r="EY47" s="229">
        <v>0.27889999999999998</v>
      </c>
    </row>
    <row r="48" spans="1:155" ht="17.25" thickBot="1" x14ac:dyDescent="0.3">
      <c r="A48" s="226">
        <v>46146</v>
      </c>
      <c r="B48" s="227" t="s">
        <v>162</v>
      </c>
      <c r="C48" s="227" t="s">
        <v>685</v>
      </c>
      <c r="D48" s="228">
        <v>345.2</v>
      </c>
      <c r="E48" s="228">
        <v>343.15</v>
      </c>
      <c r="F48" s="228">
        <v>2.0499999999999998</v>
      </c>
      <c r="G48" s="229">
        <v>6.0000000000000001E-3</v>
      </c>
      <c r="H48" s="228">
        <v>343.05</v>
      </c>
      <c r="I48" s="228">
        <v>341.55</v>
      </c>
      <c r="J48" s="228">
        <v>1.5</v>
      </c>
      <c r="K48" s="229">
        <v>4.4000000000000003E-3</v>
      </c>
      <c r="L48" s="228">
        <v>345.2</v>
      </c>
      <c r="M48" s="228">
        <v>343.15</v>
      </c>
      <c r="N48" s="228">
        <v>2.0499999999999998</v>
      </c>
      <c r="O48" s="229">
        <v>6.0000000000000001E-3</v>
      </c>
      <c r="P48" s="228">
        <v>345.4</v>
      </c>
      <c r="Q48" s="228">
        <v>342.65</v>
      </c>
      <c r="R48" s="228">
        <v>2.75</v>
      </c>
      <c r="S48" s="229">
        <v>8.0000000000000002E-3</v>
      </c>
      <c r="T48" s="228">
        <v>347.25</v>
      </c>
      <c r="U48" s="228">
        <v>344.2</v>
      </c>
      <c r="V48" s="228">
        <v>3.05</v>
      </c>
      <c r="W48" s="229">
        <v>8.8999999999999999E-3</v>
      </c>
      <c r="X48" s="228">
        <v>2.15</v>
      </c>
      <c r="Y48" s="228">
        <v>1.6</v>
      </c>
      <c r="Z48" s="228">
        <v>0.55000000000000004</v>
      </c>
      <c r="AA48" s="229">
        <v>6.3E-3</v>
      </c>
      <c r="AB48" s="228">
        <v>2.15</v>
      </c>
      <c r="AC48" s="228">
        <v>1.6</v>
      </c>
      <c r="AD48" s="228">
        <v>0.55000000000000004</v>
      </c>
      <c r="AE48" s="229">
        <v>6.3E-3</v>
      </c>
      <c r="AF48" s="228">
        <v>2.35</v>
      </c>
      <c r="AG48" s="228">
        <v>1.1000000000000001</v>
      </c>
      <c r="AH48" s="228">
        <v>1.25</v>
      </c>
      <c r="AI48" s="229">
        <v>6.8999999999999999E-3</v>
      </c>
      <c r="AJ48" s="228">
        <v>4.2</v>
      </c>
      <c r="AK48" s="228">
        <v>2.65</v>
      </c>
      <c r="AL48" s="228">
        <v>1.55</v>
      </c>
      <c r="AM48" s="229">
        <v>1.2200000000000001E-2</v>
      </c>
      <c r="AN48" s="228">
        <v>344.82</v>
      </c>
      <c r="AO48" s="228">
        <v>344.92</v>
      </c>
      <c r="AP48" s="228">
        <v>0</v>
      </c>
      <c r="AQ48" s="230">
        <v>15376</v>
      </c>
      <c r="AR48" s="230">
        <v>25920</v>
      </c>
      <c r="AS48" s="230">
        <v>-10544</v>
      </c>
      <c r="AT48" s="229">
        <v>-0.40679999999999999</v>
      </c>
      <c r="AU48" s="230">
        <v>13605</v>
      </c>
      <c r="AV48" s="230">
        <v>23356</v>
      </c>
      <c r="AW48" s="230">
        <v>-9751</v>
      </c>
      <c r="AX48" s="229">
        <v>-0.41749999999999998</v>
      </c>
      <c r="AY48" s="230">
        <v>1681</v>
      </c>
      <c r="AZ48" s="230">
        <v>2088</v>
      </c>
      <c r="BA48" s="228">
        <v>-407</v>
      </c>
      <c r="BB48" s="229">
        <v>-0.19489999999999999</v>
      </c>
      <c r="BC48" s="228">
        <v>90</v>
      </c>
      <c r="BD48" s="228">
        <v>476</v>
      </c>
      <c r="BE48" s="228">
        <v>-386</v>
      </c>
      <c r="BF48" s="229">
        <v>-0.81089999999999995</v>
      </c>
      <c r="BG48" s="230">
        <v>31512</v>
      </c>
      <c r="BH48" s="230">
        <v>38655</v>
      </c>
      <c r="BI48" s="230">
        <v>-7143</v>
      </c>
      <c r="BJ48" s="229">
        <v>-0.18479999999999999</v>
      </c>
      <c r="BK48" s="230">
        <v>10793</v>
      </c>
      <c r="BL48" s="230">
        <v>19008</v>
      </c>
      <c r="BM48" s="230">
        <v>-8215</v>
      </c>
      <c r="BN48" s="229">
        <v>-0.43219999999999997</v>
      </c>
      <c r="BO48" s="230">
        <v>57681</v>
      </c>
      <c r="BP48" s="230">
        <v>83583</v>
      </c>
      <c r="BQ48" s="230">
        <v>-25902</v>
      </c>
      <c r="BR48" s="229">
        <v>-0.30990000000000001</v>
      </c>
      <c r="BS48" s="230">
        <v>7734863</v>
      </c>
      <c r="BT48" s="230">
        <v>12670807</v>
      </c>
      <c r="BU48" s="230">
        <v>-4935944</v>
      </c>
      <c r="BV48" s="229">
        <v>-0.3896</v>
      </c>
      <c r="BW48" s="230">
        <v>68157600</v>
      </c>
      <c r="BX48" s="230">
        <v>66882400</v>
      </c>
      <c r="BY48" s="230">
        <v>1275200</v>
      </c>
      <c r="BZ48" s="229">
        <v>1.9099999999999999E-2</v>
      </c>
      <c r="CA48" s="230">
        <v>63520800</v>
      </c>
      <c r="CB48" s="230">
        <v>62771200</v>
      </c>
      <c r="CC48" s="230">
        <v>749600</v>
      </c>
      <c r="CD48" s="229">
        <v>1.1900000000000001E-2</v>
      </c>
      <c r="CE48" s="230">
        <v>4134400</v>
      </c>
      <c r="CF48" s="230">
        <v>3634400</v>
      </c>
      <c r="CG48" s="230">
        <v>500000</v>
      </c>
      <c r="CH48" s="229">
        <v>0.1376</v>
      </c>
      <c r="CI48" s="230">
        <v>502400</v>
      </c>
      <c r="CJ48" s="230">
        <v>476800</v>
      </c>
      <c r="CK48" s="230">
        <v>25600</v>
      </c>
      <c r="CL48" s="229">
        <v>5.3699999999999998E-2</v>
      </c>
      <c r="CM48" s="230">
        <v>23577600</v>
      </c>
      <c r="CN48" s="230">
        <v>17818400</v>
      </c>
      <c r="CO48" s="230">
        <v>5759200</v>
      </c>
      <c r="CP48" s="229">
        <v>0.32319999999999999</v>
      </c>
      <c r="CQ48" s="230">
        <v>16152800</v>
      </c>
      <c r="CR48" s="230">
        <v>15317600</v>
      </c>
      <c r="CS48" s="230">
        <v>835200</v>
      </c>
      <c r="CT48" s="229">
        <v>5.45E-2</v>
      </c>
      <c r="CU48" s="230">
        <v>107888000</v>
      </c>
      <c r="CV48" s="230">
        <v>100018400</v>
      </c>
      <c r="CW48" s="230">
        <v>7869600</v>
      </c>
      <c r="CX48" s="229">
        <v>7.8700000000000006E-2</v>
      </c>
      <c r="CY48" s="228">
        <v>39.369999999999997</v>
      </c>
      <c r="CZ48" s="228">
        <v>39.67</v>
      </c>
      <c r="DA48" s="228">
        <v>-0.3</v>
      </c>
      <c r="DB48" s="228">
        <v>-0.3</v>
      </c>
      <c r="DC48" s="228">
        <v>37.99</v>
      </c>
      <c r="DD48" s="228">
        <v>38.07</v>
      </c>
      <c r="DE48" s="228">
        <v>1.38</v>
      </c>
      <c r="DF48" s="228">
        <v>-0.08</v>
      </c>
      <c r="DG48" s="228">
        <v>39.17</v>
      </c>
      <c r="DH48" s="228">
        <v>39.67</v>
      </c>
      <c r="DI48" s="228">
        <v>-0.5</v>
      </c>
      <c r="DJ48" s="228">
        <v>-0.5</v>
      </c>
      <c r="DK48" s="228">
        <v>39.979999999999997</v>
      </c>
      <c r="DL48" s="228">
        <v>39.65</v>
      </c>
      <c r="DM48" s="228">
        <v>0.33</v>
      </c>
      <c r="DN48" s="228">
        <v>0.33</v>
      </c>
      <c r="DO48" s="228">
        <v>0.69</v>
      </c>
      <c r="DP48" s="228">
        <v>0.86</v>
      </c>
      <c r="DQ48" s="228">
        <v>-0.17</v>
      </c>
      <c r="DR48" s="229">
        <v>-0.19769999999999999</v>
      </c>
      <c r="DS48" s="228">
        <v>360</v>
      </c>
      <c r="DT48" s="228">
        <v>300</v>
      </c>
      <c r="DU48" s="228">
        <v>0.34</v>
      </c>
      <c r="DV48" s="228">
        <v>0.49</v>
      </c>
      <c r="DW48" s="228">
        <v>-0.15</v>
      </c>
      <c r="DX48" s="229">
        <v>-0.30609999999999998</v>
      </c>
      <c r="DY48" s="229">
        <v>6.8000000000000005E-2</v>
      </c>
      <c r="DZ48" s="230">
        <v>4111200</v>
      </c>
      <c r="EA48" s="229">
        <v>5.9999999999999995E-4</v>
      </c>
      <c r="EB48" s="229">
        <v>6.8000000000000005E-2</v>
      </c>
      <c r="EC48" s="228">
        <v>0.1</v>
      </c>
      <c r="ED48" s="229">
        <v>2.9999999999999997E-4</v>
      </c>
      <c r="EE48" s="230">
        <v>3133643</v>
      </c>
      <c r="EF48" s="230">
        <v>4644391</v>
      </c>
      <c r="EG48" s="229">
        <v>-0.32529999999999998</v>
      </c>
      <c r="EH48" s="229">
        <v>0.40510000000000002</v>
      </c>
      <c r="EI48" s="231">
        <v>93808.320000000007</v>
      </c>
      <c r="EJ48" s="231">
        <v>29442.15</v>
      </c>
      <c r="EK48" s="231">
        <v>42667.34</v>
      </c>
      <c r="EL48" s="231">
        <v>28801</v>
      </c>
      <c r="EM48" s="231">
        <v>165917.81</v>
      </c>
      <c r="EN48" s="231">
        <v>239313.24</v>
      </c>
      <c r="EO48" s="231">
        <v>-73395.429999999993</v>
      </c>
      <c r="EP48" s="229">
        <v>-0.30669999999999997</v>
      </c>
      <c r="EQ48" s="231">
        <v>86474</v>
      </c>
      <c r="ER48" s="231">
        <v>55672</v>
      </c>
      <c r="ES48" s="231">
        <v>235299</v>
      </c>
      <c r="ET48" s="231">
        <v>317244234</v>
      </c>
      <c r="EU48" s="231">
        <v>377445</v>
      </c>
      <c r="EV48" s="231">
        <v>347643</v>
      </c>
      <c r="EW48" s="231">
        <v>29802</v>
      </c>
      <c r="EX48" s="229">
        <v>8.5699999999999998E-2</v>
      </c>
      <c r="EY48" s="229">
        <v>0.34010000000000001</v>
      </c>
    </row>
    <row r="49" spans="1:155" ht="17.25" thickBot="1" x14ac:dyDescent="0.3">
      <c r="A49" s="226">
        <v>46146</v>
      </c>
      <c r="B49" s="227" t="s">
        <v>197</v>
      </c>
      <c r="C49" s="227" t="s">
        <v>482</v>
      </c>
      <c r="D49" s="231">
        <v>4181.8</v>
      </c>
      <c r="E49" s="231">
        <v>4166.3999999999996</v>
      </c>
      <c r="F49" s="228">
        <v>15.4</v>
      </c>
      <c r="G49" s="229">
        <v>3.7000000000000002E-3</v>
      </c>
      <c r="H49" s="231">
        <v>4158.5</v>
      </c>
      <c r="I49" s="231">
        <v>4144.6000000000004</v>
      </c>
      <c r="J49" s="228">
        <v>13.9</v>
      </c>
      <c r="K49" s="229">
        <v>3.3999999999999998E-3</v>
      </c>
      <c r="L49" s="231">
        <v>4181.8</v>
      </c>
      <c r="M49" s="231">
        <v>4166.3999999999996</v>
      </c>
      <c r="N49" s="228">
        <v>15.4</v>
      </c>
      <c r="O49" s="229">
        <v>3.7000000000000002E-3</v>
      </c>
      <c r="P49" s="231">
        <v>4157.2</v>
      </c>
      <c r="Q49" s="231">
        <v>4139.7</v>
      </c>
      <c r="R49" s="228">
        <v>17.5</v>
      </c>
      <c r="S49" s="229">
        <v>4.1999999999999997E-3</v>
      </c>
      <c r="T49" s="231">
        <v>4162.5</v>
      </c>
      <c r="U49" s="231">
        <v>4135.8</v>
      </c>
      <c r="V49" s="228">
        <v>26.7</v>
      </c>
      <c r="W49" s="229">
        <v>6.4999999999999997E-3</v>
      </c>
      <c r="X49" s="228">
        <v>23.3</v>
      </c>
      <c r="Y49" s="228">
        <v>21.8</v>
      </c>
      <c r="Z49" s="228">
        <v>1.5</v>
      </c>
      <c r="AA49" s="229">
        <v>5.5999999999999999E-3</v>
      </c>
      <c r="AB49" s="228">
        <v>23.3</v>
      </c>
      <c r="AC49" s="228">
        <v>21.8</v>
      </c>
      <c r="AD49" s="228">
        <v>1.5</v>
      </c>
      <c r="AE49" s="229">
        <v>5.5999999999999999E-3</v>
      </c>
      <c r="AF49" s="228">
        <v>-1.3</v>
      </c>
      <c r="AG49" s="228">
        <v>-4.9000000000000004</v>
      </c>
      <c r="AH49" s="228">
        <v>3.6</v>
      </c>
      <c r="AI49" s="229">
        <v>-2.9999999999999997E-4</v>
      </c>
      <c r="AJ49" s="228">
        <v>4</v>
      </c>
      <c r="AK49" s="228">
        <v>-8.8000000000000007</v>
      </c>
      <c r="AL49" s="228">
        <v>12.8</v>
      </c>
      <c r="AM49" s="229">
        <v>1E-3</v>
      </c>
      <c r="AN49" s="231">
        <v>4150.71</v>
      </c>
      <c r="AO49" s="231">
        <v>4126.76</v>
      </c>
      <c r="AP49" s="228">
        <v>0</v>
      </c>
      <c r="AQ49" s="230">
        <v>7305</v>
      </c>
      <c r="AR49" s="230">
        <v>8211</v>
      </c>
      <c r="AS49" s="228">
        <v>-906</v>
      </c>
      <c r="AT49" s="229">
        <v>-0.1103</v>
      </c>
      <c r="AU49" s="230">
        <v>6698</v>
      </c>
      <c r="AV49" s="230">
        <v>7107</v>
      </c>
      <c r="AW49" s="228">
        <v>-409</v>
      </c>
      <c r="AX49" s="229">
        <v>-5.7500000000000002E-2</v>
      </c>
      <c r="AY49" s="228">
        <v>580</v>
      </c>
      <c r="AZ49" s="230">
        <v>1035</v>
      </c>
      <c r="BA49" s="228">
        <v>-455</v>
      </c>
      <c r="BB49" s="229">
        <v>-0.43959999999999999</v>
      </c>
      <c r="BC49" s="228">
        <v>27</v>
      </c>
      <c r="BD49" s="228">
        <v>69</v>
      </c>
      <c r="BE49" s="228">
        <v>-42</v>
      </c>
      <c r="BF49" s="229">
        <v>-0.60870000000000002</v>
      </c>
      <c r="BG49" s="230">
        <v>31227</v>
      </c>
      <c r="BH49" s="230">
        <v>27268</v>
      </c>
      <c r="BI49" s="230">
        <v>3959</v>
      </c>
      <c r="BJ49" s="229">
        <v>0.1452</v>
      </c>
      <c r="BK49" s="230">
        <v>10577</v>
      </c>
      <c r="BL49" s="230">
        <v>13124</v>
      </c>
      <c r="BM49" s="230">
        <v>-2547</v>
      </c>
      <c r="BN49" s="229">
        <v>-0.19409999999999999</v>
      </c>
      <c r="BO49" s="230">
        <v>49109</v>
      </c>
      <c r="BP49" s="230">
        <v>48603</v>
      </c>
      <c r="BQ49" s="228">
        <v>506</v>
      </c>
      <c r="BR49" s="229">
        <v>1.04E-2</v>
      </c>
      <c r="BS49" s="230">
        <v>714603</v>
      </c>
      <c r="BT49" s="230">
        <v>594504</v>
      </c>
      <c r="BU49" s="230">
        <v>120099</v>
      </c>
      <c r="BV49" s="229">
        <v>0.20200000000000001</v>
      </c>
      <c r="BW49" s="230">
        <v>7065950</v>
      </c>
      <c r="BX49" s="230">
        <v>7041000</v>
      </c>
      <c r="BY49" s="230">
        <v>24950</v>
      </c>
      <c r="BZ49" s="229">
        <v>3.5000000000000001E-3</v>
      </c>
      <c r="CA49" s="230">
        <v>6753700</v>
      </c>
      <c r="CB49" s="230">
        <v>6749000</v>
      </c>
      <c r="CC49" s="230">
        <v>4700</v>
      </c>
      <c r="CD49" s="229">
        <v>6.9999999999999999E-4</v>
      </c>
      <c r="CE49" s="230">
        <v>296500</v>
      </c>
      <c r="CF49" s="230">
        <v>279100</v>
      </c>
      <c r="CG49" s="230">
        <v>17400</v>
      </c>
      <c r="CH49" s="229">
        <v>6.2300000000000001E-2</v>
      </c>
      <c r="CI49" s="230">
        <v>15750</v>
      </c>
      <c r="CJ49" s="230">
        <v>12900</v>
      </c>
      <c r="CK49" s="230">
        <v>2850</v>
      </c>
      <c r="CL49" s="229">
        <v>0.22090000000000001</v>
      </c>
      <c r="CM49" s="230">
        <v>3345300</v>
      </c>
      <c r="CN49" s="230">
        <v>3151000</v>
      </c>
      <c r="CO49" s="230">
        <v>194300</v>
      </c>
      <c r="CP49" s="229">
        <v>6.1699999999999998E-2</v>
      </c>
      <c r="CQ49" s="230">
        <v>1347150</v>
      </c>
      <c r="CR49" s="230">
        <v>1322200</v>
      </c>
      <c r="CS49" s="230">
        <v>24950</v>
      </c>
      <c r="CT49" s="229">
        <v>1.89E-2</v>
      </c>
      <c r="CU49" s="230">
        <v>11758400</v>
      </c>
      <c r="CV49" s="230">
        <v>11514200</v>
      </c>
      <c r="CW49" s="230">
        <v>244200</v>
      </c>
      <c r="CX49" s="229">
        <v>2.12E-2</v>
      </c>
      <c r="CY49" s="228">
        <v>34.340000000000003</v>
      </c>
      <c r="CZ49" s="228">
        <v>34.06</v>
      </c>
      <c r="DA49" s="228">
        <v>0.28000000000000003</v>
      </c>
      <c r="DB49" s="228">
        <v>0.28000000000000003</v>
      </c>
      <c r="DC49" s="228">
        <v>44.08</v>
      </c>
      <c r="DD49" s="228">
        <v>44.19</v>
      </c>
      <c r="DE49" s="228">
        <v>-9.74</v>
      </c>
      <c r="DF49" s="228">
        <v>-0.11</v>
      </c>
      <c r="DG49" s="228">
        <v>34.36</v>
      </c>
      <c r="DH49" s="228">
        <v>34.380000000000003</v>
      </c>
      <c r="DI49" s="228">
        <v>-0.02</v>
      </c>
      <c r="DJ49" s="228">
        <v>-0.02</v>
      </c>
      <c r="DK49" s="228">
        <v>34.270000000000003</v>
      </c>
      <c r="DL49" s="228">
        <v>33.39</v>
      </c>
      <c r="DM49" s="228">
        <v>0.88</v>
      </c>
      <c r="DN49" s="228">
        <v>0.88</v>
      </c>
      <c r="DO49" s="228">
        <v>0.4</v>
      </c>
      <c r="DP49" s="228">
        <v>0.42</v>
      </c>
      <c r="DQ49" s="228">
        <v>-0.02</v>
      </c>
      <c r="DR49" s="229">
        <v>-4.7600000000000003E-2</v>
      </c>
      <c r="DS49" s="231">
        <v>4500</v>
      </c>
      <c r="DT49" s="231">
        <v>4000</v>
      </c>
      <c r="DU49" s="228">
        <v>0.34</v>
      </c>
      <c r="DV49" s="228">
        <v>0.48</v>
      </c>
      <c r="DW49" s="228">
        <v>-0.14000000000000001</v>
      </c>
      <c r="DX49" s="229">
        <v>-0.29170000000000001</v>
      </c>
      <c r="DY49" s="229">
        <v>4.4200000000000003E-2</v>
      </c>
      <c r="DZ49" s="230">
        <v>292000</v>
      </c>
      <c r="EA49" s="229">
        <v>-5.8999999999999999E-3</v>
      </c>
      <c r="EB49" s="229">
        <v>4.4200000000000003E-2</v>
      </c>
      <c r="EC49" s="228">
        <v>-23.95</v>
      </c>
      <c r="ED49" s="229">
        <v>-5.7999999999999996E-3</v>
      </c>
      <c r="EE49" s="230">
        <v>314475</v>
      </c>
      <c r="EF49" s="230">
        <v>207984</v>
      </c>
      <c r="EG49" s="229">
        <v>0.51200000000000001</v>
      </c>
      <c r="EH49" s="229">
        <v>0.44009999999999999</v>
      </c>
      <c r="EI49" s="231">
        <v>139957.1</v>
      </c>
      <c r="EJ49" s="231">
        <v>43369.49</v>
      </c>
      <c r="EK49" s="231">
        <v>30361.56</v>
      </c>
      <c r="EL49" s="231">
        <v>20209</v>
      </c>
      <c r="EM49" s="231">
        <v>213688.15</v>
      </c>
      <c r="EN49" s="231">
        <v>211469.5</v>
      </c>
      <c r="EO49" s="231">
        <v>2218.65</v>
      </c>
      <c r="EP49" s="229">
        <v>1.0500000000000001E-2</v>
      </c>
      <c r="EQ49" s="231">
        <v>148528</v>
      </c>
      <c r="ER49" s="231">
        <v>54207</v>
      </c>
      <c r="ES49" s="231">
        <v>295408</v>
      </c>
      <c r="ET49" s="231">
        <v>33590487</v>
      </c>
      <c r="EU49" s="231">
        <v>498143</v>
      </c>
      <c r="EV49" s="231">
        <v>486894</v>
      </c>
      <c r="EW49" s="231">
        <v>11249</v>
      </c>
      <c r="EX49" s="229">
        <v>2.3099999999999999E-2</v>
      </c>
      <c r="EY49" s="229">
        <v>0.35010000000000002</v>
      </c>
    </row>
    <row r="50" spans="1:155" ht="17.25" thickBot="1" x14ac:dyDescent="0.3">
      <c r="A50" s="226">
        <v>46146</v>
      </c>
      <c r="B50" s="227" t="s">
        <v>157</v>
      </c>
      <c r="C50" s="227" t="s">
        <v>302</v>
      </c>
      <c r="D50" s="231">
        <v>11820</v>
      </c>
      <c r="E50" s="231">
        <v>11655</v>
      </c>
      <c r="F50" s="228">
        <v>165</v>
      </c>
      <c r="G50" s="229">
        <v>1.4200000000000001E-2</v>
      </c>
      <c r="H50" s="231">
        <v>11758</v>
      </c>
      <c r="I50" s="231">
        <v>11586</v>
      </c>
      <c r="J50" s="228">
        <v>172</v>
      </c>
      <c r="K50" s="229">
        <v>1.4800000000000001E-2</v>
      </c>
      <c r="L50" s="231">
        <v>11820</v>
      </c>
      <c r="M50" s="231">
        <v>11655</v>
      </c>
      <c r="N50" s="228">
        <v>165</v>
      </c>
      <c r="O50" s="229">
        <v>1.4200000000000001E-2</v>
      </c>
      <c r="P50" s="231">
        <v>11892</v>
      </c>
      <c r="Q50" s="231">
        <v>11732</v>
      </c>
      <c r="R50" s="228">
        <v>160</v>
      </c>
      <c r="S50" s="229">
        <v>1.3599999999999999E-2</v>
      </c>
      <c r="T50" s="231">
        <v>11930</v>
      </c>
      <c r="U50" s="231">
        <v>11785</v>
      </c>
      <c r="V50" s="228">
        <v>145</v>
      </c>
      <c r="W50" s="229">
        <v>1.23E-2</v>
      </c>
      <c r="X50" s="228">
        <v>62</v>
      </c>
      <c r="Y50" s="228">
        <v>69</v>
      </c>
      <c r="Z50" s="228">
        <v>-7</v>
      </c>
      <c r="AA50" s="229">
        <v>5.3E-3</v>
      </c>
      <c r="AB50" s="228">
        <v>62</v>
      </c>
      <c r="AC50" s="228">
        <v>69</v>
      </c>
      <c r="AD50" s="228">
        <v>-7</v>
      </c>
      <c r="AE50" s="229">
        <v>5.3E-3</v>
      </c>
      <c r="AF50" s="228">
        <v>134</v>
      </c>
      <c r="AG50" s="228">
        <v>146</v>
      </c>
      <c r="AH50" s="228">
        <v>-12</v>
      </c>
      <c r="AI50" s="229">
        <v>1.14E-2</v>
      </c>
      <c r="AJ50" s="228">
        <v>172</v>
      </c>
      <c r="AK50" s="228">
        <v>199</v>
      </c>
      <c r="AL50" s="228">
        <v>-27</v>
      </c>
      <c r="AM50" s="229">
        <v>1.46E-2</v>
      </c>
      <c r="AN50" s="231">
        <v>11772.39</v>
      </c>
      <c r="AO50" s="231">
        <v>11829.67</v>
      </c>
      <c r="AP50" s="228">
        <v>0</v>
      </c>
      <c r="AQ50" s="230">
        <v>10206</v>
      </c>
      <c r="AR50" s="230">
        <v>11334</v>
      </c>
      <c r="AS50" s="230">
        <v>-1128</v>
      </c>
      <c r="AT50" s="229">
        <v>-9.9500000000000005E-2</v>
      </c>
      <c r="AU50" s="230">
        <v>9768</v>
      </c>
      <c r="AV50" s="230">
        <v>10652</v>
      </c>
      <c r="AW50" s="228">
        <v>-884</v>
      </c>
      <c r="AX50" s="229">
        <v>-8.3000000000000004E-2</v>
      </c>
      <c r="AY50" s="228">
        <v>428</v>
      </c>
      <c r="AZ50" s="228">
        <v>651</v>
      </c>
      <c r="BA50" s="228">
        <v>-223</v>
      </c>
      <c r="BB50" s="229">
        <v>-0.34250000000000003</v>
      </c>
      <c r="BC50" s="228">
        <v>10</v>
      </c>
      <c r="BD50" s="228">
        <v>31</v>
      </c>
      <c r="BE50" s="228">
        <v>-21</v>
      </c>
      <c r="BF50" s="229">
        <v>-0.6774</v>
      </c>
      <c r="BG50" s="230">
        <v>35418</v>
      </c>
      <c r="BH50" s="230">
        <v>32963</v>
      </c>
      <c r="BI50" s="230">
        <v>2455</v>
      </c>
      <c r="BJ50" s="229">
        <v>7.4499999999999997E-2</v>
      </c>
      <c r="BK50" s="230">
        <v>14988</v>
      </c>
      <c r="BL50" s="230">
        <v>18077</v>
      </c>
      <c r="BM50" s="230">
        <v>-3089</v>
      </c>
      <c r="BN50" s="229">
        <v>-0.1709</v>
      </c>
      <c r="BO50" s="230">
        <v>60612</v>
      </c>
      <c r="BP50" s="230">
        <v>62374</v>
      </c>
      <c r="BQ50" s="230">
        <v>-1762</v>
      </c>
      <c r="BR50" s="229">
        <v>-2.8199999999999999E-2</v>
      </c>
      <c r="BS50" s="230">
        <v>473310</v>
      </c>
      <c r="BT50" s="230">
        <v>779076</v>
      </c>
      <c r="BU50" s="230">
        <v>-305766</v>
      </c>
      <c r="BV50" s="229">
        <v>-0.39250000000000002</v>
      </c>
      <c r="BW50" s="230">
        <v>2815050</v>
      </c>
      <c r="BX50" s="230">
        <v>2883800</v>
      </c>
      <c r="BY50" s="230">
        <v>-68750</v>
      </c>
      <c r="BZ50" s="229">
        <v>-2.3800000000000002E-2</v>
      </c>
      <c r="CA50" s="230">
        <v>2361150</v>
      </c>
      <c r="CB50" s="230">
        <v>2437200</v>
      </c>
      <c r="CC50" s="230">
        <v>-76050</v>
      </c>
      <c r="CD50" s="229">
        <v>-3.1199999999999999E-2</v>
      </c>
      <c r="CE50" s="230">
        <v>451950</v>
      </c>
      <c r="CF50" s="230">
        <v>444800</v>
      </c>
      <c r="CG50" s="230">
        <v>7150</v>
      </c>
      <c r="CH50" s="229">
        <v>1.61E-2</v>
      </c>
      <c r="CI50" s="230">
        <v>1950</v>
      </c>
      <c r="CJ50" s="230">
        <v>1800</v>
      </c>
      <c r="CK50" s="228">
        <v>150</v>
      </c>
      <c r="CL50" s="229">
        <v>8.3299999999999999E-2</v>
      </c>
      <c r="CM50" s="230">
        <v>1138500</v>
      </c>
      <c r="CN50" s="230">
        <v>1101100</v>
      </c>
      <c r="CO50" s="230">
        <v>37400</v>
      </c>
      <c r="CP50" s="229">
        <v>3.4000000000000002E-2</v>
      </c>
      <c r="CQ50" s="230">
        <v>491800</v>
      </c>
      <c r="CR50" s="230">
        <v>465650</v>
      </c>
      <c r="CS50" s="230">
        <v>26150</v>
      </c>
      <c r="CT50" s="229">
        <v>5.62E-2</v>
      </c>
      <c r="CU50" s="230">
        <v>4445350</v>
      </c>
      <c r="CV50" s="230">
        <v>4450550</v>
      </c>
      <c r="CW50" s="230">
        <v>-5200</v>
      </c>
      <c r="CX50" s="229">
        <v>-1.1999999999999999E-3</v>
      </c>
      <c r="CY50" s="228">
        <v>28.36</v>
      </c>
      <c r="CZ50" s="228">
        <v>29.01</v>
      </c>
      <c r="DA50" s="228">
        <v>-0.65</v>
      </c>
      <c r="DB50" s="228">
        <v>-0.65</v>
      </c>
      <c r="DC50" s="228">
        <v>29.82</v>
      </c>
      <c r="DD50" s="228">
        <v>29.83</v>
      </c>
      <c r="DE50" s="228">
        <v>-1.46</v>
      </c>
      <c r="DF50" s="228">
        <v>-0.01</v>
      </c>
      <c r="DG50" s="228">
        <v>28.14</v>
      </c>
      <c r="DH50" s="228">
        <v>28.81</v>
      </c>
      <c r="DI50" s="228">
        <v>-0.67</v>
      </c>
      <c r="DJ50" s="228">
        <v>-0.67</v>
      </c>
      <c r="DK50" s="228">
        <v>28.87</v>
      </c>
      <c r="DL50" s="228">
        <v>29.38</v>
      </c>
      <c r="DM50" s="228">
        <v>-0.51</v>
      </c>
      <c r="DN50" s="228">
        <v>-0.51</v>
      </c>
      <c r="DO50" s="228">
        <v>0.43</v>
      </c>
      <c r="DP50" s="228">
        <v>0.42</v>
      </c>
      <c r="DQ50" s="228">
        <v>0.01</v>
      </c>
      <c r="DR50" s="229">
        <v>2.3800000000000002E-2</v>
      </c>
      <c r="DS50" s="231">
        <v>13000</v>
      </c>
      <c r="DT50" s="231">
        <v>12000</v>
      </c>
      <c r="DU50" s="228">
        <v>0.42</v>
      </c>
      <c r="DV50" s="228">
        <v>0.55000000000000004</v>
      </c>
      <c r="DW50" s="228">
        <v>-0.13</v>
      </c>
      <c r="DX50" s="229">
        <v>-0.2364</v>
      </c>
      <c r="DY50" s="229">
        <v>0.16120000000000001</v>
      </c>
      <c r="DZ50" s="230">
        <v>446600</v>
      </c>
      <c r="EA50" s="229">
        <v>6.1000000000000004E-3</v>
      </c>
      <c r="EB50" s="229">
        <v>0.16120000000000001</v>
      </c>
      <c r="EC50" s="228">
        <v>57.28</v>
      </c>
      <c r="ED50" s="229">
        <v>4.8999999999999998E-3</v>
      </c>
      <c r="EE50" s="230">
        <v>252368</v>
      </c>
      <c r="EF50" s="230">
        <v>487536</v>
      </c>
      <c r="EG50" s="229">
        <v>-0.4824</v>
      </c>
      <c r="EH50" s="229">
        <v>0.53320000000000001</v>
      </c>
      <c r="EI50" s="231">
        <v>221846.36</v>
      </c>
      <c r="EJ50" s="231">
        <v>86929.47</v>
      </c>
      <c r="EK50" s="231">
        <v>60087.43</v>
      </c>
      <c r="EL50" s="231">
        <v>21742</v>
      </c>
      <c r="EM50" s="231">
        <v>368863.26</v>
      </c>
      <c r="EN50" s="231">
        <v>374172.09</v>
      </c>
      <c r="EO50" s="231">
        <v>-5308.83</v>
      </c>
      <c r="EP50" s="229">
        <v>-1.4200000000000001E-2</v>
      </c>
      <c r="EQ50" s="231">
        <v>142888</v>
      </c>
      <c r="ER50" s="231">
        <v>55908</v>
      </c>
      <c r="ES50" s="231">
        <v>333066</v>
      </c>
      <c r="ET50" s="231">
        <v>12994504</v>
      </c>
      <c r="EU50" s="231">
        <v>531862</v>
      </c>
      <c r="EV50" s="231">
        <v>528212</v>
      </c>
      <c r="EW50" s="231">
        <v>3650</v>
      </c>
      <c r="EX50" s="229">
        <v>6.8999999999999999E-3</v>
      </c>
      <c r="EY50" s="229">
        <v>0.34210000000000002</v>
      </c>
    </row>
    <row r="51" spans="1:155" ht="17.25" thickBot="1" x14ac:dyDescent="0.3">
      <c r="A51" s="226">
        <v>46146</v>
      </c>
      <c r="B51" s="227" t="s">
        <v>221</v>
      </c>
      <c r="C51" s="227" t="s">
        <v>306</v>
      </c>
      <c r="D51" s="228">
        <v>195.91</v>
      </c>
      <c r="E51" s="228">
        <v>196.75</v>
      </c>
      <c r="F51" s="228">
        <v>-0.84</v>
      </c>
      <c r="G51" s="229">
        <v>-4.3E-3</v>
      </c>
      <c r="H51" s="228">
        <v>200.75</v>
      </c>
      <c r="I51" s="228">
        <v>200.65</v>
      </c>
      <c r="J51" s="228">
        <v>0.1</v>
      </c>
      <c r="K51" s="229">
        <v>5.0000000000000001E-4</v>
      </c>
      <c r="L51" s="228">
        <v>195.91</v>
      </c>
      <c r="M51" s="228">
        <v>196.75</v>
      </c>
      <c r="N51" s="228">
        <v>-0.84</v>
      </c>
      <c r="O51" s="229">
        <v>-4.3E-3</v>
      </c>
      <c r="P51" s="228">
        <v>190.35</v>
      </c>
      <c r="Q51" s="228">
        <v>190.86</v>
      </c>
      <c r="R51" s="228">
        <v>-0.51</v>
      </c>
      <c r="S51" s="229">
        <v>-2.7000000000000001E-3</v>
      </c>
      <c r="T51" s="228">
        <v>188.27</v>
      </c>
      <c r="U51" s="228">
        <v>188.5</v>
      </c>
      <c r="V51" s="228">
        <v>-0.23</v>
      </c>
      <c r="W51" s="229">
        <v>-1.1999999999999999E-3</v>
      </c>
      <c r="X51" s="228">
        <v>-4.84</v>
      </c>
      <c r="Y51" s="228">
        <v>-3.9</v>
      </c>
      <c r="Z51" s="228">
        <v>-0.94</v>
      </c>
      <c r="AA51" s="229">
        <v>-2.41E-2</v>
      </c>
      <c r="AB51" s="228">
        <v>-4.84</v>
      </c>
      <c r="AC51" s="228">
        <v>-3.9</v>
      </c>
      <c r="AD51" s="228">
        <v>-0.94</v>
      </c>
      <c r="AE51" s="229">
        <v>-2.41E-2</v>
      </c>
      <c r="AF51" s="228">
        <v>-10.4</v>
      </c>
      <c r="AG51" s="228">
        <v>-9.7899999999999991</v>
      </c>
      <c r="AH51" s="228">
        <v>-0.61</v>
      </c>
      <c r="AI51" s="229">
        <v>-5.1799999999999999E-2</v>
      </c>
      <c r="AJ51" s="228">
        <v>-12.48</v>
      </c>
      <c r="AK51" s="228">
        <v>-12.15</v>
      </c>
      <c r="AL51" s="228">
        <v>-0.33</v>
      </c>
      <c r="AM51" s="229">
        <v>-6.2199999999999998E-2</v>
      </c>
      <c r="AN51" s="228">
        <v>196.35</v>
      </c>
      <c r="AO51" s="228">
        <v>190.83</v>
      </c>
      <c r="AP51" s="228">
        <v>0</v>
      </c>
      <c r="AQ51" s="230">
        <v>7005</v>
      </c>
      <c r="AR51" s="230">
        <v>8623</v>
      </c>
      <c r="AS51" s="230">
        <v>-1618</v>
      </c>
      <c r="AT51" s="229">
        <v>-0.18759999999999999</v>
      </c>
      <c r="AU51" s="230">
        <v>5424</v>
      </c>
      <c r="AV51" s="230">
        <v>7074</v>
      </c>
      <c r="AW51" s="230">
        <v>-1650</v>
      </c>
      <c r="AX51" s="229">
        <v>-0.23319999999999999</v>
      </c>
      <c r="AY51" s="230">
        <v>1390</v>
      </c>
      <c r="AZ51" s="230">
        <v>1353</v>
      </c>
      <c r="BA51" s="228">
        <v>37</v>
      </c>
      <c r="BB51" s="229">
        <v>2.7300000000000001E-2</v>
      </c>
      <c r="BC51" s="228">
        <v>191</v>
      </c>
      <c r="BD51" s="228">
        <v>196</v>
      </c>
      <c r="BE51" s="228">
        <v>-5</v>
      </c>
      <c r="BF51" s="229">
        <v>-2.5499999999999998E-2</v>
      </c>
      <c r="BG51" s="230">
        <v>21121</v>
      </c>
      <c r="BH51" s="230">
        <v>29012</v>
      </c>
      <c r="BI51" s="230">
        <v>-7891</v>
      </c>
      <c r="BJ51" s="229">
        <v>-0.27200000000000002</v>
      </c>
      <c r="BK51" s="230">
        <v>9766</v>
      </c>
      <c r="BL51" s="230">
        <v>12022</v>
      </c>
      <c r="BM51" s="230">
        <v>-2256</v>
      </c>
      <c r="BN51" s="229">
        <v>-0.18770000000000001</v>
      </c>
      <c r="BO51" s="230">
        <v>37892</v>
      </c>
      <c r="BP51" s="230">
        <v>49657</v>
      </c>
      <c r="BQ51" s="230">
        <v>-11765</v>
      </c>
      <c r="BR51" s="229">
        <v>-0.2369</v>
      </c>
      <c r="BS51" s="230">
        <v>8902929</v>
      </c>
      <c r="BT51" s="230">
        <v>16238219</v>
      </c>
      <c r="BU51" s="230">
        <v>-7335290</v>
      </c>
      <c r="BV51" s="229">
        <v>-0.45169999999999999</v>
      </c>
      <c r="BW51" s="230">
        <v>298965000</v>
      </c>
      <c r="BX51" s="230">
        <v>292647000</v>
      </c>
      <c r="BY51" s="230">
        <v>6318000</v>
      </c>
      <c r="BZ51" s="229">
        <v>2.1600000000000001E-2</v>
      </c>
      <c r="CA51" s="230">
        <v>270462000</v>
      </c>
      <c r="CB51" s="230">
        <v>266394000</v>
      </c>
      <c r="CC51" s="230">
        <v>4068000</v>
      </c>
      <c r="CD51" s="229">
        <v>1.5299999999999999E-2</v>
      </c>
      <c r="CE51" s="230">
        <v>27009000</v>
      </c>
      <c r="CF51" s="230">
        <v>25086000</v>
      </c>
      <c r="CG51" s="230">
        <v>1923000</v>
      </c>
      <c r="CH51" s="229">
        <v>7.6700000000000004E-2</v>
      </c>
      <c r="CI51" s="230">
        <v>1494000</v>
      </c>
      <c r="CJ51" s="230">
        <v>1167000</v>
      </c>
      <c r="CK51" s="230">
        <v>327000</v>
      </c>
      <c r="CL51" s="229">
        <v>0.2802</v>
      </c>
      <c r="CM51" s="230">
        <v>127791000</v>
      </c>
      <c r="CN51" s="230">
        <v>120318000</v>
      </c>
      <c r="CO51" s="230">
        <v>7473000</v>
      </c>
      <c r="CP51" s="229">
        <v>6.2100000000000002E-2</v>
      </c>
      <c r="CQ51" s="230">
        <v>68178000</v>
      </c>
      <c r="CR51" s="230">
        <v>66285000</v>
      </c>
      <c r="CS51" s="230">
        <v>1893000</v>
      </c>
      <c r="CT51" s="229">
        <v>2.86E-2</v>
      </c>
      <c r="CU51" s="230">
        <v>494934000</v>
      </c>
      <c r="CV51" s="230">
        <v>479250000</v>
      </c>
      <c r="CW51" s="230">
        <v>15684000</v>
      </c>
      <c r="CX51" s="229">
        <v>3.27E-2</v>
      </c>
      <c r="CY51" s="228">
        <v>31.07</v>
      </c>
      <c r="CZ51" s="228">
        <v>29.74</v>
      </c>
      <c r="DA51" s="228">
        <v>1.33</v>
      </c>
      <c r="DB51" s="228">
        <v>1.33</v>
      </c>
      <c r="DC51" s="228">
        <v>31.2</v>
      </c>
      <c r="DD51" s="228">
        <v>31.27</v>
      </c>
      <c r="DE51" s="228">
        <v>-0.13</v>
      </c>
      <c r="DF51" s="228">
        <v>-7.0000000000000007E-2</v>
      </c>
      <c r="DG51" s="228">
        <v>31.96</v>
      </c>
      <c r="DH51" s="228">
        <v>30.24</v>
      </c>
      <c r="DI51" s="228">
        <v>1.72</v>
      </c>
      <c r="DJ51" s="228">
        <v>1.72</v>
      </c>
      <c r="DK51" s="228">
        <v>29.14</v>
      </c>
      <c r="DL51" s="228">
        <v>28.52</v>
      </c>
      <c r="DM51" s="228">
        <v>0.62</v>
      </c>
      <c r="DN51" s="228">
        <v>0.62</v>
      </c>
      <c r="DO51" s="228">
        <v>0.53</v>
      </c>
      <c r="DP51" s="228">
        <v>0.55000000000000004</v>
      </c>
      <c r="DQ51" s="228">
        <v>-0.02</v>
      </c>
      <c r="DR51" s="229">
        <v>-3.6400000000000002E-2</v>
      </c>
      <c r="DS51" s="228">
        <v>210</v>
      </c>
      <c r="DT51" s="228">
        <v>200</v>
      </c>
      <c r="DU51" s="228">
        <v>0.46</v>
      </c>
      <c r="DV51" s="228">
        <v>0.41</v>
      </c>
      <c r="DW51" s="228">
        <v>0.05</v>
      </c>
      <c r="DX51" s="229">
        <v>0.122</v>
      </c>
      <c r="DY51" s="229">
        <v>9.5299999999999996E-2</v>
      </c>
      <c r="DZ51" s="230">
        <v>26253000</v>
      </c>
      <c r="EA51" s="229">
        <v>-2.8400000000000002E-2</v>
      </c>
      <c r="EB51" s="229">
        <v>9.5299999999999996E-2</v>
      </c>
      <c r="EC51" s="228">
        <v>-5.52</v>
      </c>
      <c r="ED51" s="229">
        <v>-2.81E-2</v>
      </c>
      <c r="EE51" s="230">
        <v>4429495</v>
      </c>
      <c r="EF51" s="230">
        <v>8324847</v>
      </c>
      <c r="EG51" s="229">
        <v>-0.46789999999999998</v>
      </c>
      <c r="EH51" s="229">
        <v>0.4975</v>
      </c>
      <c r="EI51" s="231">
        <v>134327.04999999999</v>
      </c>
      <c r="EJ51" s="231">
        <v>57200.28</v>
      </c>
      <c r="EK51" s="231">
        <v>40987.61</v>
      </c>
      <c r="EL51" s="231">
        <v>34400</v>
      </c>
      <c r="EM51" s="231">
        <v>232514.94</v>
      </c>
      <c r="EN51" s="231">
        <v>304224.84000000003</v>
      </c>
      <c r="EO51" s="231">
        <v>-71709.899999999994</v>
      </c>
      <c r="EP51" s="229">
        <v>-0.23569999999999999</v>
      </c>
      <c r="EQ51" s="231">
        <v>271098</v>
      </c>
      <c r="ER51" s="231">
        <v>131831</v>
      </c>
      <c r="ES51" s="231">
        <v>584086</v>
      </c>
      <c r="ET51" s="231">
        <v>428710078</v>
      </c>
      <c r="EU51" s="231">
        <v>987016</v>
      </c>
      <c r="EV51" s="231">
        <v>957611</v>
      </c>
      <c r="EW51" s="231">
        <v>29405</v>
      </c>
      <c r="EX51" s="229">
        <v>3.0700000000000002E-2</v>
      </c>
      <c r="EY51" s="229">
        <v>1.1545000000000001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C194" zoomScale="86" zoomScaleNormal="86" workbookViewId="0">
      <selection activeCell="P205" sqref="P205"/>
    </sheetView>
  </sheetViews>
  <sheetFormatPr defaultRowHeight="15" x14ac:dyDescent="0.25"/>
  <cols>
    <col min="1" max="1" width="13"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6.2851562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2" width="11.710937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46146</v>
      </c>
      <c r="B2" s="227" t="s">
        <v>175</v>
      </c>
      <c r="C2" s="227" t="s">
        <v>678</v>
      </c>
      <c r="D2" s="228">
        <v>500</v>
      </c>
      <c r="E2" s="228">
        <v>22</v>
      </c>
      <c r="F2" s="231">
        <v>1072</v>
      </c>
      <c r="G2" s="231">
        <v>1039.25</v>
      </c>
      <c r="H2" s="228">
        <v>32.75</v>
      </c>
      <c r="I2" s="229">
        <v>3.15E-2</v>
      </c>
      <c r="J2" s="231">
        <v>1066.5</v>
      </c>
      <c r="K2" s="231">
        <v>1034.6500000000001</v>
      </c>
      <c r="L2" s="228">
        <v>31.85</v>
      </c>
      <c r="M2" s="229">
        <v>3.0800000000000001E-2</v>
      </c>
      <c r="N2" s="231">
        <v>1072</v>
      </c>
      <c r="O2" s="231">
        <v>1039.25</v>
      </c>
      <c r="P2" s="228">
        <v>32.75</v>
      </c>
      <c r="Q2" s="229">
        <v>3.15E-2</v>
      </c>
      <c r="R2" s="231">
        <v>1073.5</v>
      </c>
      <c r="S2" s="231">
        <v>1042.5999999999999</v>
      </c>
      <c r="T2" s="228">
        <v>30.9</v>
      </c>
      <c r="U2" s="229">
        <v>2.9600000000000001E-2</v>
      </c>
      <c r="V2" s="231">
        <v>1080.0999999999999</v>
      </c>
      <c r="W2" s="231">
        <v>1020</v>
      </c>
      <c r="X2" s="228">
        <v>60.1</v>
      </c>
      <c r="Y2" s="229">
        <v>5.8900000000000001E-2</v>
      </c>
      <c r="Z2" s="228">
        <v>5.5</v>
      </c>
      <c r="AA2" s="228">
        <v>4.5999999999999996</v>
      </c>
      <c r="AB2" s="228">
        <v>0.9</v>
      </c>
      <c r="AC2" s="229">
        <v>5.1999999999999998E-3</v>
      </c>
      <c r="AD2" s="228">
        <v>5.5</v>
      </c>
      <c r="AE2" s="228">
        <v>4.5999999999999996</v>
      </c>
      <c r="AF2" s="228">
        <v>0.9</v>
      </c>
      <c r="AG2" s="229">
        <v>5.1999999999999998E-3</v>
      </c>
      <c r="AH2" s="228">
        <v>7</v>
      </c>
      <c r="AI2" s="228">
        <v>7.95</v>
      </c>
      <c r="AJ2" s="228">
        <v>-0.95</v>
      </c>
      <c r="AK2" s="229">
        <v>6.6E-3</v>
      </c>
      <c r="AL2" s="228">
        <v>13.6</v>
      </c>
      <c r="AM2" s="228">
        <v>-14.65</v>
      </c>
      <c r="AN2" s="228">
        <v>28.25</v>
      </c>
      <c r="AO2" s="229">
        <v>1.2800000000000001E-2</v>
      </c>
      <c r="AP2" s="231">
        <v>1067.4000000000001</v>
      </c>
      <c r="AQ2" s="231">
        <v>1069.4000000000001</v>
      </c>
      <c r="AR2" s="228">
        <v>0</v>
      </c>
      <c r="AS2" s="228">
        <v>131</v>
      </c>
      <c r="AT2" s="228">
        <v>77</v>
      </c>
      <c r="AU2" s="228">
        <v>54</v>
      </c>
      <c r="AV2" s="229">
        <v>0.69130000000000003</v>
      </c>
      <c r="AW2" s="228">
        <v>128</v>
      </c>
      <c r="AX2" s="228">
        <v>76</v>
      </c>
      <c r="AY2" s="228">
        <v>52</v>
      </c>
      <c r="AZ2" s="229">
        <v>0.68669999999999998</v>
      </c>
      <c r="BA2" s="228">
        <v>3</v>
      </c>
      <c r="BB2" s="228">
        <v>2</v>
      </c>
      <c r="BC2" s="228">
        <v>1</v>
      </c>
      <c r="BD2" s="229">
        <v>0.9</v>
      </c>
      <c r="BE2" s="228">
        <v>0</v>
      </c>
      <c r="BF2" s="228">
        <v>0</v>
      </c>
      <c r="BG2" s="228">
        <v>0</v>
      </c>
      <c r="BH2" s="229">
        <v>1</v>
      </c>
      <c r="BI2" s="228">
        <v>176</v>
      </c>
      <c r="BJ2" s="228">
        <v>95</v>
      </c>
      <c r="BK2" s="228">
        <v>81</v>
      </c>
      <c r="BL2" s="229">
        <v>0.84809999999999997</v>
      </c>
      <c r="BM2" s="228">
        <v>97</v>
      </c>
      <c r="BN2" s="228">
        <v>68</v>
      </c>
      <c r="BO2" s="228">
        <v>29</v>
      </c>
      <c r="BP2" s="229">
        <v>0.4325</v>
      </c>
      <c r="BQ2" s="228">
        <v>404</v>
      </c>
      <c r="BR2" s="228">
        <v>240</v>
      </c>
      <c r="BS2" s="228">
        <v>164</v>
      </c>
      <c r="BT2" s="229">
        <v>0.68069999999999997</v>
      </c>
      <c r="BU2" s="230">
        <v>2510695</v>
      </c>
      <c r="BV2" s="230">
        <v>1062081</v>
      </c>
      <c r="BW2" s="230">
        <v>1448614</v>
      </c>
      <c r="BX2" s="229">
        <v>1.3638999999999999</v>
      </c>
      <c r="BY2" s="228">
        <v>447</v>
      </c>
      <c r="BZ2" s="228">
        <v>434</v>
      </c>
      <c r="CA2" s="228">
        <v>13</v>
      </c>
      <c r="CB2" s="229">
        <v>3.0300000000000001E-2</v>
      </c>
      <c r="CC2" s="228">
        <v>443</v>
      </c>
      <c r="CD2" s="228">
        <v>429</v>
      </c>
      <c r="CE2" s="228">
        <v>13</v>
      </c>
      <c r="CF2" s="229">
        <v>3.0599999999999999E-2</v>
      </c>
      <c r="CG2" s="228">
        <v>4</v>
      </c>
      <c r="CH2" s="228">
        <v>4</v>
      </c>
      <c r="CI2" s="228">
        <v>0</v>
      </c>
      <c r="CJ2" s="229">
        <v>-1.2800000000000001E-2</v>
      </c>
      <c r="CK2" s="228">
        <v>0</v>
      </c>
      <c r="CL2" s="228">
        <v>0</v>
      </c>
      <c r="CM2" s="228">
        <v>0</v>
      </c>
      <c r="CN2" s="229">
        <v>1</v>
      </c>
      <c r="CO2" s="228">
        <v>120</v>
      </c>
      <c r="CP2" s="228">
        <v>110</v>
      </c>
      <c r="CQ2" s="228">
        <v>10</v>
      </c>
      <c r="CR2" s="229">
        <v>9.1800000000000007E-2</v>
      </c>
      <c r="CS2" s="228">
        <v>60</v>
      </c>
      <c r="CT2" s="228">
        <v>54</v>
      </c>
      <c r="CU2" s="228">
        <v>6</v>
      </c>
      <c r="CV2" s="229">
        <v>0.10290000000000001</v>
      </c>
      <c r="CW2" s="228">
        <v>626</v>
      </c>
      <c r="CX2" s="228">
        <v>598</v>
      </c>
      <c r="CY2" s="228">
        <v>29</v>
      </c>
      <c r="CZ2" s="229">
        <v>4.82E-2</v>
      </c>
      <c r="DA2" s="228">
        <v>37.35</v>
      </c>
      <c r="DB2" s="228">
        <v>37.130000000000003</v>
      </c>
      <c r="DC2" s="228">
        <v>0.22</v>
      </c>
      <c r="DD2" s="228">
        <v>0.22</v>
      </c>
      <c r="DE2" s="228">
        <v>41.98</v>
      </c>
      <c r="DF2" s="228">
        <v>41.87</v>
      </c>
      <c r="DG2" s="228">
        <v>-4.63</v>
      </c>
      <c r="DH2" s="228">
        <v>0.11</v>
      </c>
      <c r="DI2" s="228">
        <v>37.4</v>
      </c>
      <c r="DJ2" s="228">
        <v>36.47</v>
      </c>
      <c r="DK2" s="228">
        <v>0.93</v>
      </c>
      <c r="DL2" s="228">
        <v>0.93</v>
      </c>
      <c r="DM2" s="228">
        <v>37.28</v>
      </c>
      <c r="DN2" s="228">
        <v>38.06</v>
      </c>
      <c r="DO2" s="228">
        <v>-0.78</v>
      </c>
      <c r="DP2" s="228">
        <v>-0.78</v>
      </c>
      <c r="DQ2" s="228">
        <v>0.5</v>
      </c>
      <c r="DR2" s="228">
        <v>0.49</v>
      </c>
      <c r="DS2" s="228">
        <v>0.01</v>
      </c>
      <c r="DT2" s="229">
        <v>2.0400000000000001E-2</v>
      </c>
      <c r="DU2" s="231">
        <v>1100</v>
      </c>
      <c r="DV2" s="231">
        <v>1000</v>
      </c>
      <c r="DW2" s="228">
        <v>0.55000000000000004</v>
      </c>
      <c r="DX2" s="228">
        <v>0.71</v>
      </c>
      <c r="DY2" s="228">
        <v>-0.16</v>
      </c>
      <c r="DZ2" s="229">
        <v>-0.22539999999999999</v>
      </c>
      <c r="EA2" s="229">
        <v>9.4999999999999998E-3</v>
      </c>
      <c r="EB2" s="230">
        <v>39500</v>
      </c>
      <c r="EC2" s="229">
        <v>1.4E-3</v>
      </c>
      <c r="ED2" s="229">
        <v>9.4999999999999998E-3</v>
      </c>
      <c r="EE2" s="228">
        <v>2</v>
      </c>
      <c r="EF2" s="229">
        <v>1.9E-3</v>
      </c>
      <c r="EG2" s="230">
        <v>1258144</v>
      </c>
      <c r="EH2" s="230">
        <v>417336</v>
      </c>
      <c r="EI2" s="229">
        <v>2.0146999999999999</v>
      </c>
      <c r="EJ2" s="229">
        <v>0.50109999999999999</v>
      </c>
      <c r="EK2" s="228">
        <v>185.55</v>
      </c>
      <c r="EL2" s="228">
        <v>94.98</v>
      </c>
      <c r="EM2" s="228">
        <v>130.44</v>
      </c>
      <c r="EN2" s="228">
        <v>45.15</v>
      </c>
      <c r="EO2" s="228">
        <v>410.97</v>
      </c>
      <c r="EP2" s="228">
        <v>238.63</v>
      </c>
      <c r="EQ2" s="228">
        <v>172.35</v>
      </c>
      <c r="ER2" s="229">
        <v>0.72230000000000005</v>
      </c>
      <c r="ES2" s="228">
        <v>125.46</v>
      </c>
      <c r="ET2" s="228">
        <v>56.77</v>
      </c>
      <c r="EU2" s="228">
        <v>446.87</v>
      </c>
      <c r="EV2" s="231">
        <v>37756901</v>
      </c>
      <c r="EW2" s="228">
        <v>629.09</v>
      </c>
      <c r="EX2" s="228">
        <v>586.66</v>
      </c>
      <c r="EY2" s="228">
        <v>42.43</v>
      </c>
      <c r="EZ2" s="229">
        <v>7.2300000000000003E-2</v>
      </c>
      <c r="FA2" s="229">
        <v>0.15479999999999999</v>
      </c>
      <c r="FB2" s="227" t="s">
        <v>555</v>
      </c>
      <c r="FC2">
        <f>BY2-CC2</f>
        <v>4</v>
      </c>
    </row>
    <row r="3" spans="1:159" ht="17.25" thickBot="1" x14ac:dyDescent="0.3">
      <c r="A3" s="226">
        <v>46146</v>
      </c>
      <c r="B3" s="227" t="s">
        <v>184</v>
      </c>
      <c r="C3" s="227" t="s">
        <v>553</v>
      </c>
      <c r="D3" s="228">
        <v>125</v>
      </c>
      <c r="E3" s="228">
        <v>22</v>
      </c>
      <c r="F3" s="231">
        <v>7263.5</v>
      </c>
      <c r="G3" s="231">
        <v>7267</v>
      </c>
      <c r="H3" s="228">
        <v>-3.5</v>
      </c>
      <c r="I3" s="229">
        <v>-5.0000000000000001E-4</v>
      </c>
      <c r="J3" s="231">
        <v>7236.5</v>
      </c>
      <c r="K3" s="231">
        <v>7230</v>
      </c>
      <c r="L3" s="228">
        <v>6.5</v>
      </c>
      <c r="M3" s="229">
        <v>8.9999999999999998E-4</v>
      </c>
      <c r="N3" s="231">
        <v>7263.5</v>
      </c>
      <c r="O3" s="231">
        <v>7267</v>
      </c>
      <c r="P3" s="228">
        <v>-3.5</v>
      </c>
      <c r="Q3" s="229">
        <v>-5.0000000000000001E-4</v>
      </c>
      <c r="R3" s="231">
        <v>7259</v>
      </c>
      <c r="S3" s="231">
        <v>7273</v>
      </c>
      <c r="T3" s="228">
        <v>-14</v>
      </c>
      <c r="U3" s="229">
        <v>-1.9E-3</v>
      </c>
      <c r="V3" s="231">
        <v>7250</v>
      </c>
      <c r="W3" s="231">
        <v>7305</v>
      </c>
      <c r="X3" s="228">
        <v>-55</v>
      </c>
      <c r="Y3" s="229">
        <v>-7.4999999999999997E-3</v>
      </c>
      <c r="Z3" s="228">
        <v>27</v>
      </c>
      <c r="AA3" s="228">
        <v>37</v>
      </c>
      <c r="AB3" s="228">
        <v>-10</v>
      </c>
      <c r="AC3" s="229">
        <v>3.7000000000000002E-3</v>
      </c>
      <c r="AD3" s="228">
        <v>27</v>
      </c>
      <c r="AE3" s="228">
        <v>37</v>
      </c>
      <c r="AF3" s="228">
        <v>-10</v>
      </c>
      <c r="AG3" s="229">
        <v>3.7000000000000002E-3</v>
      </c>
      <c r="AH3" s="228">
        <v>22.5</v>
      </c>
      <c r="AI3" s="228">
        <v>43</v>
      </c>
      <c r="AJ3" s="228">
        <v>-20.5</v>
      </c>
      <c r="AK3" s="229">
        <v>3.0999999999999999E-3</v>
      </c>
      <c r="AL3" s="228">
        <v>13.5</v>
      </c>
      <c r="AM3" s="228">
        <v>75</v>
      </c>
      <c r="AN3" s="228">
        <v>-61.5</v>
      </c>
      <c r="AO3" s="229">
        <v>1.9E-3</v>
      </c>
      <c r="AP3" s="231">
        <v>7282.02</v>
      </c>
      <c r="AQ3" s="231">
        <v>7285.9</v>
      </c>
      <c r="AR3" s="228">
        <v>0</v>
      </c>
      <c r="AS3" s="228">
        <v>358</v>
      </c>
      <c r="AT3" s="228">
        <v>318</v>
      </c>
      <c r="AU3" s="228">
        <v>41</v>
      </c>
      <c r="AV3" s="229">
        <v>0.1278</v>
      </c>
      <c r="AW3" s="228">
        <v>347</v>
      </c>
      <c r="AX3" s="228">
        <v>310</v>
      </c>
      <c r="AY3" s="228">
        <v>37</v>
      </c>
      <c r="AZ3" s="229">
        <v>0.1198</v>
      </c>
      <c r="BA3" s="228">
        <v>9</v>
      </c>
      <c r="BB3" s="228">
        <v>7</v>
      </c>
      <c r="BC3" s="228">
        <v>2</v>
      </c>
      <c r="BD3" s="229">
        <v>0.20730000000000001</v>
      </c>
      <c r="BE3" s="228">
        <v>2</v>
      </c>
      <c r="BF3" s="228">
        <v>0</v>
      </c>
      <c r="BG3" s="228">
        <v>2</v>
      </c>
      <c r="BH3" s="229">
        <v>10.5</v>
      </c>
      <c r="BI3" s="230">
        <v>1207</v>
      </c>
      <c r="BJ3" s="228">
        <v>535</v>
      </c>
      <c r="BK3" s="228">
        <v>672</v>
      </c>
      <c r="BL3" s="229">
        <v>1.2551000000000001</v>
      </c>
      <c r="BM3" s="228">
        <v>356</v>
      </c>
      <c r="BN3" s="228">
        <v>401</v>
      </c>
      <c r="BO3" s="228">
        <v>-44</v>
      </c>
      <c r="BP3" s="229">
        <v>-0.1106</v>
      </c>
      <c r="BQ3" s="230">
        <v>1922</v>
      </c>
      <c r="BR3" s="230">
        <v>1254</v>
      </c>
      <c r="BS3" s="228">
        <v>668</v>
      </c>
      <c r="BT3" s="229">
        <v>0.53300000000000003</v>
      </c>
      <c r="BU3" s="230">
        <v>371715</v>
      </c>
      <c r="BV3" s="230">
        <v>343755</v>
      </c>
      <c r="BW3" s="230">
        <v>27960</v>
      </c>
      <c r="BX3" s="229">
        <v>8.1299999999999997E-2</v>
      </c>
      <c r="BY3" s="230">
        <v>1546</v>
      </c>
      <c r="BZ3" s="230">
        <v>1566</v>
      </c>
      <c r="CA3" s="228">
        <v>-21</v>
      </c>
      <c r="CB3" s="229">
        <v>-1.32E-2</v>
      </c>
      <c r="CC3" s="230">
        <v>1517</v>
      </c>
      <c r="CD3" s="230">
        <v>1542</v>
      </c>
      <c r="CE3" s="228">
        <v>-26</v>
      </c>
      <c r="CF3" s="229">
        <v>-1.6799999999999999E-2</v>
      </c>
      <c r="CG3" s="228">
        <v>27</v>
      </c>
      <c r="CH3" s="228">
        <v>24</v>
      </c>
      <c r="CI3" s="228">
        <v>3</v>
      </c>
      <c r="CJ3" s="229">
        <v>0.1462</v>
      </c>
      <c r="CK3" s="228">
        <v>2</v>
      </c>
      <c r="CL3" s="228">
        <v>0</v>
      </c>
      <c r="CM3" s="228">
        <v>2</v>
      </c>
      <c r="CN3" s="229">
        <v>9.5</v>
      </c>
      <c r="CO3" s="228">
        <v>680</v>
      </c>
      <c r="CP3" s="228">
        <v>460</v>
      </c>
      <c r="CQ3" s="228">
        <v>220</v>
      </c>
      <c r="CR3" s="229">
        <v>0.4788</v>
      </c>
      <c r="CS3" s="228">
        <v>351</v>
      </c>
      <c r="CT3" s="228">
        <v>299</v>
      </c>
      <c r="CU3" s="228">
        <v>52</v>
      </c>
      <c r="CV3" s="229">
        <v>0.1749</v>
      </c>
      <c r="CW3" s="230">
        <v>2577</v>
      </c>
      <c r="CX3" s="230">
        <v>2325</v>
      </c>
      <c r="CY3" s="228">
        <v>252</v>
      </c>
      <c r="CZ3" s="229">
        <v>0.10829999999999999</v>
      </c>
      <c r="DA3" s="228">
        <v>40.42</v>
      </c>
      <c r="DB3" s="228">
        <v>36.76</v>
      </c>
      <c r="DC3" s="228">
        <v>3.66</v>
      </c>
      <c r="DD3" s="228">
        <v>3.66</v>
      </c>
      <c r="DE3" s="228">
        <v>37.200000000000003</v>
      </c>
      <c r="DF3" s="228">
        <v>37.29</v>
      </c>
      <c r="DG3" s="228">
        <v>3.22</v>
      </c>
      <c r="DH3" s="228">
        <v>-0.09</v>
      </c>
      <c r="DI3" s="228">
        <v>40.57</v>
      </c>
      <c r="DJ3" s="228">
        <v>36.64</v>
      </c>
      <c r="DK3" s="228">
        <v>3.93</v>
      </c>
      <c r="DL3" s="228">
        <v>3.93</v>
      </c>
      <c r="DM3" s="228">
        <v>39.89</v>
      </c>
      <c r="DN3" s="228">
        <v>36.93</v>
      </c>
      <c r="DO3" s="228">
        <v>2.96</v>
      </c>
      <c r="DP3" s="228">
        <v>2.96</v>
      </c>
      <c r="DQ3" s="228">
        <v>0.52</v>
      </c>
      <c r="DR3" s="228">
        <v>0.65</v>
      </c>
      <c r="DS3" s="228">
        <v>-0.13</v>
      </c>
      <c r="DT3" s="229">
        <v>-0.2</v>
      </c>
      <c r="DU3" s="231">
        <v>8000</v>
      </c>
      <c r="DV3" s="231">
        <v>7000</v>
      </c>
      <c r="DW3" s="228">
        <v>0.3</v>
      </c>
      <c r="DX3" s="228">
        <v>0.75</v>
      </c>
      <c r="DY3" s="228">
        <v>-0.45</v>
      </c>
      <c r="DZ3" s="229">
        <v>-0.6</v>
      </c>
      <c r="EA3" s="229">
        <v>1.8700000000000001E-2</v>
      </c>
      <c r="EB3" s="230">
        <v>32750</v>
      </c>
      <c r="EC3" s="229">
        <v>-5.9999999999999995E-4</v>
      </c>
      <c r="ED3" s="229">
        <v>1.8700000000000001E-2</v>
      </c>
      <c r="EE3" s="228">
        <v>3.88</v>
      </c>
      <c r="EF3" s="229">
        <v>5.0000000000000001E-4</v>
      </c>
      <c r="EG3" s="230">
        <v>164440</v>
      </c>
      <c r="EH3" s="230">
        <v>180287</v>
      </c>
      <c r="EI3" s="229">
        <v>-8.7900000000000006E-2</v>
      </c>
      <c r="EJ3" s="229">
        <v>0.44240000000000002</v>
      </c>
      <c r="EK3" s="231">
        <v>1318.02</v>
      </c>
      <c r="EL3" s="228">
        <v>355.19</v>
      </c>
      <c r="EM3" s="228">
        <v>359.01</v>
      </c>
      <c r="EN3" s="228">
        <v>66.739999999999995</v>
      </c>
      <c r="EO3" s="231">
        <v>2032.22</v>
      </c>
      <c r="EP3" s="231">
        <v>1278.04</v>
      </c>
      <c r="EQ3" s="228">
        <v>754.18</v>
      </c>
      <c r="ER3" s="229">
        <v>0.59009999999999996</v>
      </c>
      <c r="ES3" s="228">
        <v>729.13</v>
      </c>
      <c r="ET3" s="228">
        <v>337.8</v>
      </c>
      <c r="EU3" s="231">
        <v>1545.56</v>
      </c>
      <c r="EV3" s="231">
        <v>7946564</v>
      </c>
      <c r="EW3" s="231">
        <v>2612.4899999999998</v>
      </c>
      <c r="EX3" s="231">
        <v>2343.48</v>
      </c>
      <c r="EY3" s="228">
        <v>269.01</v>
      </c>
      <c r="EZ3" s="229">
        <v>0.1148</v>
      </c>
      <c r="FA3" s="229">
        <v>0.44640000000000002</v>
      </c>
      <c r="FB3" s="227" t="s">
        <v>567</v>
      </c>
      <c r="FC3">
        <f t="shared" ref="FC3:FC66" si="0">BY3-CC3</f>
        <v>29</v>
      </c>
    </row>
    <row r="4" spans="1:159" ht="17.25" thickBot="1" x14ac:dyDescent="0.3">
      <c r="A4" s="226">
        <v>46146</v>
      </c>
      <c r="B4" s="227" t="s">
        <v>175</v>
      </c>
      <c r="C4" s="227" t="s">
        <v>544</v>
      </c>
      <c r="D4" s="228">
        <v>3100</v>
      </c>
      <c r="E4" s="228">
        <v>22</v>
      </c>
      <c r="F4" s="228">
        <v>346.5</v>
      </c>
      <c r="G4" s="228">
        <v>347.55</v>
      </c>
      <c r="H4" s="228">
        <v>-1.05</v>
      </c>
      <c r="I4" s="229">
        <v>-3.0000000000000001E-3</v>
      </c>
      <c r="J4" s="228">
        <v>345.85</v>
      </c>
      <c r="K4" s="228">
        <v>345.5</v>
      </c>
      <c r="L4" s="228">
        <v>0.35</v>
      </c>
      <c r="M4" s="229">
        <v>1E-3</v>
      </c>
      <c r="N4" s="228">
        <v>346.5</v>
      </c>
      <c r="O4" s="228">
        <v>347.55</v>
      </c>
      <c r="P4" s="228">
        <v>-1.05</v>
      </c>
      <c r="Q4" s="229">
        <v>-3.0000000000000001E-3</v>
      </c>
      <c r="R4" s="228">
        <v>348.9</v>
      </c>
      <c r="S4" s="228">
        <v>350.1</v>
      </c>
      <c r="T4" s="228">
        <v>-1.2</v>
      </c>
      <c r="U4" s="229">
        <v>-3.3999999999999998E-3</v>
      </c>
      <c r="V4" s="228">
        <v>353.75</v>
      </c>
      <c r="W4" s="228">
        <v>351</v>
      </c>
      <c r="X4" s="228">
        <v>2.75</v>
      </c>
      <c r="Y4" s="229">
        <v>7.7999999999999996E-3</v>
      </c>
      <c r="Z4" s="228">
        <v>0.65</v>
      </c>
      <c r="AA4" s="228">
        <v>2.0499999999999998</v>
      </c>
      <c r="AB4" s="228">
        <v>-1.4</v>
      </c>
      <c r="AC4" s="229">
        <v>1.9E-3</v>
      </c>
      <c r="AD4" s="228">
        <v>0.65</v>
      </c>
      <c r="AE4" s="228">
        <v>2.0499999999999998</v>
      </c>
      <c r="AF4" s="228">
        <v>-1.4</v>
      </c>
      <c r="AG4" s="229">
        <v>1.9E-3</v>
      </c>
      <c r="AH4" s="228">
        <v>3.05</v>
      </c>
      <c r="AI4" s="228">
        <v>4.5999999999999996</v>
      </c>
      <c r="AJ4" s="228">
        <v>-1.55</v>
      </c>
      <c r="AK4" s="229">
        <v>8.8000000000000005E-3</v>
      </c>
      <c r="AL4" s="228">
        <v>7.9</v>
      </c>
      <c r="AM4" s="228">
        <v>5.5</v>
      </c>
      <c r="AN4" s="228">
        <v>2.4</v>
      </c>
      <c r="AO4" s="229">
        <v>2.2800000000000001E-2</v>
      </c>
      <c r="AP4" s="228">
        <v>351.02</v>
      </c>
      <c r="AQ4" s="228">
        <v>352.99</v>
      </c>
      <c r="AR4" s="228">
        <v>0</v>
      </c>
      <c r="AS4" s="230">
        <v>1384</v>
      </c>
      <c r="AT4" s="228">
        <v>390</v>
      </c>
      <c r="AU4" s="228">
        <v>994</v>
      </c>
      <c r="AV4" s="229">
        <v>2.5485000000000002</v>
      </c>
      <c r="AW4" s="230">
        <v>1353</v>
      </c>
      <c r="AX4" s="228">
        <v>384</v>
      </c>
      <c r="AY4" s="228">
        <v>969</v>
      </c>
      <c r="AZ4" s="229">
        <v>2.5228000000000002</v>
      </c>
      <c r="BA4" s="228">
        <v>29</v>
      </c>
      <c r="BB4" s="228">
        <v>5</v>
      </c>
      <c r="BC4" s="228">
        <v>24</v>
      </c>
      <c r="BD4" s="229">
        <v>5.0444000000000004</v>
      </c>
      <c r="BE4" s="228">
        <v>2</v>
      </c>
      <c r="BF4" s="228">
        <v>1</v>
      </c>
      <c r="BG4" s="228">
        <v>1</v>
      </c>
      <c r="BH4" s="229">
        <v>0.5</v>
      </c>
      <c r="BI4" s="230">
        <v>3085</v>
      </c>
      <c r="BJ4" s="228">
        <v>328</v>
      </c>
      <c r="BK4" s="230">
        <v>2757</v>
      </c>
      <c r="BL4" s="229">
        <v>8.4092000000000002</v>
      </c>
      <c r="BM4" s="230">
        <v>1450</v>
      </c>
      <c r="BN4" s="228">
        <v>199</v>
      </c>
      <c r="BO4" s="230">
        <v>1251</v>
      </c>
      <c r="BP4" s="229">
        <v>6.2961999999999998</v>
      </c>
      <c r="BQ4" s="230">
        <v>5918</v>
      </c>
      <c r="BR4" s="228">
        <v>916</v>
      </c>
      <c r="BS4" s="230">
        <v>5002</v>
      </c>
      <c r="BT4" s="229">
        <v>5.4576000000000002</v>
      </c>
      <c r="BU4" s="230">
        <v>12043867</v>
      </c>
      <c r="BV4" s="230">
        <v>4538290</v>
      </c>
      <c r="BW4" s="230">
        <v>7505577</v>
      </c>
      <c r="BX4" s="229">
        <v>1.6537999999999999</v>
      </c>
      <c r="BY4" s="230">
        <v>1561</v>
      </c>
      <c r="BZ4" s="230">
        <v>1539</v>
      </c>
      <c r="CA4" s="228">
        <v>22</v>
      </c>
      <c r="CB4" s="229">
        <v>1.4200000000000001E-2</v>
      </c>
      <c r="CC4" s="230">
        <v>1531</v>
      </c>
      <c r="CD4" s="230">
        <v>1514</v>
      </c>
      <c r="CE4" s="228">
        <v>18</v>
      </c>
      <c r="CF4" s="229">
        <v>1.1599999999999999E-2</v>
      </c>
      <c r="CG4" s="228">
        <v>28</v>
      </c>
      <c r="CH4" s="228">
        <v>24</v>
      </c>
      <c r="CI4" s="228">
        <v>4</v>
      </c>
      <c r="CJ4" s="229">
        <v>0.1696</v>
      </c>
      <c r="CK4" s="228">
        <v>1</v>
      </c>
      <c r="CL4" s="228">
        <v>1</v>
      </c>
      <c r="CM4" s="228">
        <v>0</v>
      </c>
      <c r="CN4" s="229">
        <v>0.22220000000000001</v>
      </c>
      <c r="CO4" s="228">
        <v>545</v>
      </c>
      <c r="CP4" s="228">
        <v>235</v>
      </c>
      <c r="CQ4" s="228">
        <v>311</v>
      </c>
      <c r="CR4" s="229">
        <v>1.3240000000000001</v>
      </c>
      <c r="CS4" s="228">
        <v>383</v>
      </c>
      <c r="CT4" s="228">
        <v>249</v>
      </c>
      <c r="CU4" s="228">
        <v>134</v>
      </c>
      <c r="CV4" s="229">
        <v>0.54059999999999997</v>
      </c>
      <c r="CW4" s="230">
        <v>2489</v>
      </c>
      <c r="CX4" s="230">
        <v>2022</v>
      </c>
      <c r="CY4" s="228">
        <v>467</v>
      </c>
      <c r="CZ4" s="229">
        <v>0.23089999999999999</v>
      </c>
      <c r="DA4" s="228">
        <v>41.19</v>
      </c>
      <c r="DB4" s="228">
        <v>42.09</v>
      </c>
      <c r="DC4" s="228">
        <v>-0.9</v>
      </c>
      <c r="DD4" s="228">
        <v>-0.9</v>
      </c>
      <c r="DE4" s="228">
        <v>40.93</v>
      </c>
      <c r="DF4" s="228">
        <v>41.03</v>
      </c>
      <c r="DG4" s="228">
        <v>0.26</v>
      </c>
      <c r="DH4" s="228">
        <v>-0.1</v>
      </c>
      <c r="DI4" s="228">
        <v>41.18</v>
      </c>
      <c r="DJ4" s="228">
        <v>41.57</v>
      </c>
      <c r="DK4" s="228">
        <v>-0.39</v>
      </c>
      <c r="DL4" s="228">
        <v>-0.39</v>
      </c>
      <c r="DM4" s="228">
        <v>41.23</v>
      </c>
      <c r="DN4" s="228">
        <v>42.95</v>
      </c>
      <c r="DO4" s="228">
        <v>-1.72</v>
      </c>
      <c r="DP4" s="228">
        <v>-1.72</v>
      </c>
      <c r="DQ4" s="228">
        <v>0.7</v>
      </c>
      <c r="DR4" s="228">
        <v>1.06</v>
      </c>
      <c r="DS4" s="228">
        <v>-0.36</v>
      </c>
      <c r="DT4" s="229">
        <v>-0.33960000000000001</v>
      </c>
      <c r="DU4" s="228">
        <v>400</v>
      </c>
      <c r="DV4" s="228">
        <v>300</v>
      </c>
      <c r="DW4" s="228">
        <v>0.47</v>
      </c>
      <c r="DX4" s="228">
        <v>0.61</v>
      </c>
      <c r="DY4" s="228">
        <v>-0.14000000000000001</v>
      </c>
      <c r="DZ4" s="229">
        <v>-0.22950000000000001</v>
      </c>
      <c r="EA4" s="229">
        <v>1.8800000000000001E-2</v>
      </c>
      <c r="EB4" s="230">
        <v>722300</v>
      </c>
      <c r="EC4" s="229">
        <v>6.8999999999999999E-3</v>
      </c>
      <c r="ED4" s="229">
        <v>1.8800000000000001E-2</v>
      </c>
      <c r="EE4" s="228">
        <v>1.97</v>
      </c>
      <c r="EF4" s="229">
        <v>5.5999999999999999E-3</v>
      </c>
      <c r="EG4" s="230">
        <v>2902979</v>
      </c>
      <c r="EH4" s="230">
        <v>1833533</v>
      </c>
      <c r="EI4" s="229">
        <v>0.58330000000000004</v>
      </c>
      <c r="EJ4" s="229">
        <v>0.24099999999999999</v>
      </c>
      <c r="EK4" s="231">
        <v>3353.46</v>
      </c>
      <c r="EL4" s="231">
        <v>1463.3</v>
      </c>
      <c r="EM4" s="231">
        <v>1401.86</v>
      </c>
      <c r="EN4" s="228">
        <v>54.47</v>
      </c>
      <c r="EO4" s="231">
        <v>6218.62</v>
      </c>
      <c r="EP4" s="228">
        <v>939.27</v>
      </c>
      <c r="EQ4" s="231">
        <v>5279.35</v>
      </c>
      <c r="ER4" s="229">
        <v>5.6207000000000003</v>
      </c>
      <c r="ES4" s="228">
        <v>584.92999999999995</v>
      </c>
      <c r="ET4" s="228">
        <v>367.27</v>
      </c>
      <c r="EU4" s="231">
        <v>1560.85</v>
      </c>
      <c r="EV4" s="231">
        <v>123369777</v>
      </c>
      <c r="EW4" s="231">
        <v>2513.0500000000002</v>
      </c>
      <c r="EX4" s="231">
        <v>2024.46</v>
      </c>
      <c r="EY4" s="228">
        <v>488.59</v>
      </c>
      <c r="EZ4" s="229">
        <v>0.24129999999999999</v>
      </c>
      <c r="FA4" s="229">
        <v>0.58230000000000004</v>
      </c>
      <c r="FB4" s="227" t="s">
        <v>566</v>
      </c>
      <c r="FC4">
        <f t="shared" si="0"/>
        <v>30</v>
      </c>
    </row>
    <row r="5" spans="1:159" ht="17.25" thickBot="1" x14ac:dyDescent="0.3">
      <c r="A5" s="226">
        <v>46146</v>
      </c>
      <c r="B5" s="227" t="s">
        <v>161</v>
      </c>
      <c r="C5" s="227" t="s">
        <v>578</v>
      </c>
      <c r="D5" s="228">
        <v>675</v>
      </c>
      <c r="E5" s="228">
        <v>22</v>
      </c>
      <c r="F5" s="231">
        <v>1406.9</v>
      </c>
      <c r="G5" s="231">
        <v>1350.7</v>
      </c>
      <c r="H5" s="228">
        <v>56.2</v>
      </c>
      <c r="I5" s="229">
        <v>4.1599999999999998E-2</v>
      </c>
      <c r="J5" s="231">
        <v>1398.4</v>
      </c>
      <c r="K5" s="231">
        <v>1342.25</v>
      </c>
      <c r="L5" s="228">
        <v>56.15</v>
      </c>
      <c r="M5" s="229">
        <v>4.1799999999999997E-2</v>
      </c>
      <c r="N5" s="231">
        <v>1406.9</v>
      </c>
      <c r="O5" s="231">
        <v>1350.7</v>
      </c>
      <c r="P5" s="228">
        <v>56.2</v>
      </c>
      <c r="Q5" s="229">
        <v>4.1599999999999998E-2</v>
      </c>
      <c r="R5" s="231">
        <v>1415.9</v>
      </c>
      <c r="S5" s="231">
        <v>1359.35</v>
      </c>
      <c r="T5" s="228">
        <v>56.55</v>
      </c>
      <c r="U5" s="229">
        <v>4.1599999999999998E-2</v>
      </c>
      <c r="V5" s="231">
        <v>1426</v>
      </c>
      <c r="W5" s="231">
        <v>1369.6</v>
      </c>
      <c r="X5" s="228">
        <v>56.4</v>
      </c>
      <c r="Y5" s="229">
        <v>4.1200000000000001E-2</v>
      </c>
      <c r="Z5" s="228">
        <v>8.5</v>
      </c>
      <c r="AA5" s="228">
        <v>8.4499999999999993</v>
      </c>
      <c r="AB5" s="228">
        <v>0.05</v>
      </c>
      <c r="AC5" s="229">
        <v>6.1000000000000004E-3</v>
      </c>
      <c r="AD5" s="228">
        <v>8.5</v>
      </c>
      <c r="AE5" s="228">
        <v>8.4499999999999993</v>
      </c>
      <c r="AF5" s="228">
        <v>0.05</v>
      </c>
      <c r="AG5" s="229">
        <v>6.1000000000000004E-3</v>
      </c>
      <c r="AH5" s="228">
        <v>17.5</v>
      </c>
      <c r="AI5" s="228">
        <v>17.100000000000001</v>
      </c>
      <c r="AJ5" s="228">
        <v>0.4</v>
      </c>
      <c r="AK5" s="229">
        <v>1.2500000000000001E-2</v>
      </c>
      <c r="AL5" s="228">
        <v>27.6</v>
      </c>
      <c r="AM5" s="228">
        <v>27.35</v>
      </c>
      <c r="AN5" s="228">
        <v>0.25</v>
      </c>
      <c r="AO5" s="229">
        <v>1.9699999999999999E-2</v>
      </c>
      <c r="AP5" s="231">
        <v>1393.56</v>
      </c>
      <c r="AQ5" s="231">
        <v>1397.3</v>
      </c>
      <c r="AR5" s="228">
        <v>0</v>
      </c>
      <c r="AS5" s="228">
        <v>834</v>
      </c>
      <c r="AT5" s="230">
        <v>1124</v>
      </c>
      <c r="AU5" s="228">
        <v>-290</v>
      </c>
      <c r="AV5" s="229">
        <v>-0.25840000000000002</v>
      </c>
      <c r="AW5" s="228">
        <v>817</v>
      </c>
      <c r="AX5" s="230">
        <v>1105</v>
      </c>
      <c r="AY5" s="228">
        <v>-288</v>
      </c>
      <c r="AZ5" s="229">
        <v>-0.26069999999999999</v>
      </c>
      <c r="BA5" s="228">
        <v>15</v>
      </c>
      <c r="BB5" s="228">
        <v>16</v>
      </c>
      <c r="BC5" s="228">
        <v>-2</v>
      </c>
      <c r="BD5" s="229">
        <v>-9.2999999999999999E-2</v>
      </c>
      <c r="BE5" s="228">
        <v>2</v>
      </c>
      <c r="BF5" s="228">
        <v>3</v>
      </c>
      <c r="BG5" s="228">
        <v>-1</v>
      </c>
      <c r="BH5" s="229">
        <v>-0.33329999999999999</v>
      </c>
      <c r="BI5" s="230">
        <v>1913</v>
      </c>
      <c r="BJ5" s="230">
        <v>1626</v>
      </c>
      <c r="BK5" s="228">
        <v>287</v>
      </c>
      <c r="BL5" s="229">
        <v>0.17630000000000001</v>
      </c>
      <c r="BM5" s="230">
        <v>1000</v>
      </c>
      <c r="BN5" s="230">
        <v>1018</v>
      </c>
      <c r="BO5" s="228">
        <v>-18</v>
      </c>
      <c r="BP5" s="229">
        <v>-1.7600000000000001E-2</v>
      </c>
      <c r="BQ5" s="230">
        <v>3746</v>
      </c>
      <c r="BR5" s="230">
        <v>3768</v>
      </c>
      <c r="BS5" s="228">
        <v>-22</v>
      </c>
      <c r="BT5" s="229">
        <v>-5.7000000000000002E-3</v>
      </c>
      <c r="BU5" s="230">
        <v>3944915</v>
      </c>
      <c r="BV5" s="230">
        <v>6931864</v>
      </c>
      <c r="BW5" s="230">
        <v>-2986949</v>
      </c>
      <c r="BX5" s="229">
        <v>-0.43090000000000001</v>
      </c>
      <c r="BY5" s="230">
        <v>2746</v>
      </c>
      <c r="BZ5" s="230">
        <v>2600</v>
      </c>
      <c r="CA5" s="228">
        <v>147</v>
      </c>
      <c r="CB5" s="229">
        <v>5.6500000000000002E-2</v>
      </c>
      <c r="CC5" s="230">
        <v>2723</v>
      </c>
      <c r="CD5" s="230">
        <v>2576</v>
      </c>
      <c r="CE5" s="228">
        <v>146</v>
      </c>
      <c r="CF5" s="229">
        <v>5.67E-2</v>
      </c>
      <c r="CG5" s="228">
        <v>22</v>
      </c>
      <c r="CH5" s="228">
        <v>21</v>
      </c>
      <c r="CI5" s="228">
        <v>1</v>
      </c>
      <c r="CJ5" s="229">
        <v>5.4100000000000002E-2</v>
      </c>
      <c r="CK5" s="228">
        <v>2</v>
      </c>
      <c r="CL5" s="228">
        <v>2</v>
      </c>
      <c r="CM5" s="228">
        <v>0</v>
      </c>
      <c r="CN5" s="229">
        <v>-0.2273</v>
      </c>
      <c r="CO5" s="228">
        <v>730</v>
      </c>
      <c r="CP5" s="228">
        <v>791</v>
      </c>
      <c r="CQ5" s="228">
        <v>-60</v>
      </c>
      <c r="CR5" s="229">
        <v>-7.6399999999999996E-2</v>
      </c>
      <c r="CS5" s="228">
        <v>597</v>
      </c>
      <c r="CT5" s="228">
        <v>511</v>
      </c>
      <c r="CU5" s="228">
        <v>87</v>
      </c>
      <c r="CV5" s="229">
        <v>0.1694</v>
      </c>
      <c r="CW5" s="230">
        <v>4074</v>
      </c>
      <c r="CX5" s="230">
        <v>3901</v>
      </c>
      <c r="CY5" s="228">
        <v>173</v>
      </c>
      <c r="CZ5" s="229">
        <v>4.4299999999999999E-2</v>
      </c>
      <c r="DA5" s="228">
        <v>53.11</v>
      </c>
      <c r="DB5" s="228">
        <v>56.05</v>
      </c>
      <c r="DC5" s="228">
        <v>-2.94</v>
      </c>
      <c r="DD5" s="228">
        <v>-2.94</v>
      </c>
      <c r="DE5" s="228">
        <v>56.38</v>
      </c>
      <c r="DF5" s="228">
        <v>56.26</v>
      </c>
      <c r="DG5" s="228">
        <v>-3.27</v>
      </c>
      <c r="DH5" s="228">
        <v>0.12</v>
      </c>
      <c r="DI5" s="228">
        <v>52.61</v>
      </c>
      <c r="DJ5" s="228">
        <v>56.12</v>
      </c>
      <c r="DK5" s="228">
        <v>-3.51</v>
      </c>
      <c r="DL5" s="228">
        <v>-3.51</v>
      </c>
      <c r="DM5" s="228">
        <v>54.06</v>
      </c>
      <c r="DN5" s="228">
        <v>55.93</v>
      </c>
      <c r="DO5" s="228">
        <v>-1.87</v>
      </c>
      <c r="DP5" s="228">
        <v>-1.87</v>
      </c>
      <c r="DQ5" s="228">
        <v>0.82</v>
      </c>
      <c r="DR5" s="228">
        <v>0.65</v>
      </c>
      <c r="DS5" s="228">
        <v>0.17</v>
      </c>
      <c r="DT5" s="229">
        <v>0.26150000000000001</v>
      </c>
      <c r="DU5" s="231">
        <v>1440</v>
      </c>
      <c r="DV5" s="231">
        <v>1300</v>
      </c>
      <c r="DW5" s="228">
        <v>0.52</v>
      </c>
      <c r="DX5" s="228">
        <v>0.63</v>
      </c>
      <c r="DY5" s="228">
        <v>-0.11</v>
      </c>
      <c r="DZ5" s="229">
        <v>-0.17460000000000001</v>
      </c>
      <c r="EA5" s="229">
        <v>8.6999999999999994E-3</v>
      </c>
      <c r="EB5" s="230">
        <v>164700</v>
      </c>
      <c r="EC5" s="229">
        <v>6.4000000000000003E-3</v>
      </c>
      <c r="ED5" s="229">
        <v>8.6999999999999994E-3</v>
      </c>
      <c r="EE5" s="228">
        <v>3.74</v>
      </c>
      <c r="EF5" s="229">
        <v>2.7000000000000001E-3</v>
      </c>
      <c r="EG5" s="230">
        <v>1349826</v>
      </c>
      <c r="EH5" s="230">
        <v>2087141</v>
      </c>
      <c r="EI5" s="229">
        <v>-0.3533</v>
      </c>
      <c r="EJ5" s="229">
        <v>0.3422</v>
      </c>
      <c r="EK5" s="231">
        <v>2044.4</v>
      </c>
      <c r="EL5" s="228">
        <v>947.4</v>
      </c>
      <c r="EM5" s="228">
        <v>825.66</v>
      </c>
      <c r="EN5" s="228">
        <v>100.88</v>
      </c>
      <c r="EO5" s="231">
        <v>3817.46</v>
      </c>
      <c r="EP5" s="231">
        <v>3737.46</v>
      </c>
      <c r="EQ5" s="228">
        <v>80</v>
      </c>
      <c r="ER5" s="229">
        <v>2.1399999999999999E-2</v>
      </c>
      <c r="ES5" s="228">
        <v>732.72</v>
      </c>
      <c r="ET5" s="228">
        <v>545.98</v>
      </c>
      <c r="EU5" s="231">
        <v>2746.57</v>
      </c>
      <c r="EV5" s="231">
        <v>35196587</v>
      </c>
      <c r="EW5" s="231">
        <v>4025.27</v>
      </c>
      <c r="EX5" s="231">
        <v>3757.07</v>
      </c>
      <c r="EY5" s="228">
        <v>268.2</v>
      </c>
      <c r="EZ5" s="229">
        <v>7.1400000000000005E-2</v>
      </c>
      <c r="FA5" s="229">
        <v>0.82279999999999998</v>
      </c>
      <c r="FB5" s="227" t="s">
        <v>555</v>
      </c>
      <c r="FC5">
        <f t="shared" si="0"/>
        <v>23</v>
      </c>
    </row>
    <row r="6" spans="1:159" ht="17.25" thickBot="1" x14ac:dyDescent="0.3">
      <c r="A6" s="226">
        <v>46146</v>
      </c>
      <c r="B6" s="227" t="s">
        <v>215</v>
      </c>
      <c r="C6" s="227" t="s">
        <v>159</v>
      </c>
      <c r="D6" s="228">
        <v>309</v>
      </c>
      <c r="E6" s="228">
        <v>22</v>
      </c>
      <c r="F6" s="231">
        <v>2490.6999999999998</v>
      </c>
      <c r="G6" s="231">
        <v>2421.8000000000002</v>
      </c>
      <c r="H6" s="228">
        <v>68.900000000000006</v>
      </c>
      <c r="I6" s="229">
        <v>2.8400000000000002E-2</v>
      </c>
      <c r="J6" s="231">
        <v>2485.6999999999998</v>
      </c>
      <c r="K6" s="231">
        <v>2408.4</v>
      </c>
      <c r="L6" s="228">
        <v>77.3</v>
      </c>
      <c r="M6" s="229">
        <v>3.2099999999999997E-2</v>
      </c>
      <c r="N6" s="231">
        <v>2490.6999999999998</v>
      </c>
      <c r="O6" s="231">
        <v>2421.8000000000002</v>
      </c>
      <c r="P6" s="228">
        <v>68.900000000000006</v>
      </c>
      <c r="Q6" s="229">
        <v>2.8400000000000002E-2</v>
      </c>
      <c r="R6" s="231">
        <v>2503.5</v>
      </c>
      <c r="S6" s="231">
        <v>2434.8000000000002</v>
      </c>
      <c r="T6" s="228">
        <v>68.7</v>
      </c>
      <c r="U6" s="229">
        <v>2.8199999999999999E-2</v>
      </c>
      <c r="V6" s="231">
        <v>2515.5</v>
      </c>
      <c r="W6" s="231">
        <v>2446.9</v>
      </c>
      <c r="X6" s="228">
        <v>68.599999999999994</v>
      </c>
      <c r="Y6" s="229">
        <v>2.8000000000000001E-2</v>
      </c>
      <c r="Z6" s="228">
        <v>5</v>
      </c>
      <c r="AA6" s="228">
        <v>13.4</v>
      </c>
      <c r="AB6" s="228">
        <v>-8.4</v>
      </c>
      <c r="AC6" s="229">
        <v>2E-3</v>
      </c>
      <c r="AD6" s="228">
        <v>5</v>
      </c>
      <c r="AE6" s="228">
        <v>13.4</v>
      </c>
      <c r="AF6" s="228">
        <v>-8.4</v>
      </c>
      <c r="AG6" s="229">
        <v>2E-3</v>
      </c>
      <c r="AH6" s="228">
        <v>17.8</v>
      </c>
      <c r="AI6" s="228">
        <v>26.4</v>
      </c>
      <c r="AJ6" s="228">
        <v>-8.6</v>
      </c>
      <c r="AK6" s="229">
        <v>7.1999999999999998E-3</v>
      </c>
      <c r="AL6" s="228">
        <v>29.8</v>
      </c>
      <c r="AM6" s="228">
        <v>38.5</v>
      </c>
      <c r="AN6" s="228">
        <v>-8.6999999999999993</v>
      </c>
      <c r="AO6" s="229">
        <v>1.2E-2</v>
      </c>
      <c r="AP6" s="231">
        <v>2473.35</v>
      </c>
      <c r="AQ6" s="231">
        <v>2483.13</v>
      </c>
      <c r="AR6" s="228">
        <v>0</v>
      </c>
      <c r="AS6" s="230">
        <v>2104</v>
      </c>
      <c r="AT6" s="230">
        <v>1392</v>
      </c>
      <c r="AU6" s="228">
        <v>712</v>
      </c>
      <c r="AV6" s="229">
        <v>0.5111</v>
      </c>
      <c r="AW6" s="230">
        <v>2023</v>
      </c>
      <c r="AX6" s="230">
        <v>1351</v>
      </c>
      <c r="AY6" s="228">
        <v>672</v>
      </c>
      <c r="AZ6" s="229">
        <v>0.4975</v>
      </c>
      <c r="BA6" s="228">
        <v>70</v>
      </c>
      <c r="BB6" s="228">
        <v>36</v>
      </c>
      <c r="BC6" s="228">
        <v>34</v>
      </c>
      <c r="BD6" s="229">
        <v>0.94679999999999997</v>
      </c>
      <c r="BE6" s="228">
        <v>10</v>
      </c>
      <c r="BF6" s="228">
        <v>5</v>
      </c>
      <c r="BG6" s="228">
        <v>5</v>
      </c>
      <c r="BH6" s="229">
        <v>1</v>
      </c>
      <c r="BI6" s="230">
        <v>6190</v>
      </c>
      <c r="BJ6" s="230">
        <v>3335</v>
      </c>
      <c r="BK6" s="230">
        <v>2855</v>
      </c>
      <c r="BL6" s="229">
        <v>0.85599999999999998</v>
      </c>
      <c r="BM6" s="230">
        <v>3707</v>
      </c>
      <c r="BN6" s="230">
        <v>1744</v>
      </c>
      <c r="BO6" s="230">
        <v>1963</v>
      </c>
      <c r="BP6" s="229">
        <v>1.1258999999999999</v>
      </c>
      <c r="BQ6" s="230">
        <v>12000</v>
      </c>
      <c r="BR6" s="230">
        <v>6471</v>
      </c>
      <c r="BS6" s="230">
        <v>5530</v>
      </c>
      <c r="BT6" s="229">
        <v>0.85450000000000004</v>
      </c>
      <c r="BU6" s="230">
        <v>6260245</v>
      </c>
      <c r="BV6" s="230">
        <v>3900124</v>
      </c>
      <c r="BW6" s="230">
        <v>2360121</v>
      </c>
      <c r="BX6" s="229">
        <v>0.60509999999999997</v>
      </c>
      <c r="BY6" s="230">
        <v>4896</v>
      </c>
      <c r="BZ6" s="230">
        <v>4870</v>
      </c>
      <c r="CA6" s="228">
        <v>27</v>
      </c>
      <c r="CB6" s="229">
        <v>5.4999999999999997E-3</v>
      </c>
      <c r="CC6" s="230">
        <v>4791</v>
      </c>
      <c r="CD6" s="230">
        <v>4771</v>
      </c>
      <c r="CE6" s="228">
        <v>20</v>
      </c>
      <c r="CF6" s="229">
        <v>4.3E-3</v>
      </c>
      <c r="CG6" s="228">
        <v>100</v>
      </c>
      <c r="CH6" s="228">
        <v>93</v>
      </c>
      <c r="CI6" s="228">
        <v>6</v>
      </c>
      <c r="CJ6" s="229">
        <v>6.6799999999999998E-2</v>
      </c>
      <c r="CK6" s="228">
        <v>6</v>
      </c>
      <c r="CL6" s="228">
        <v>5</v>
      </c>
      <c r="CM6" s="228">
        <v>0</v>
      </c>
      <c r="CN6" s="229">
        <v>2.8199999999999999E-2</v>
      </c>
      <c r="CO6" s="230">
        <v>1827</v>
      </c>
      <c r="CP6" s="230">
        <v>1628</v>
      </c>
      <c r="CQ6" s="228">
        <v>199</v>
      </c>
      <c r="CR6" s="229">
        <v>0.1222</v>
      </c>
      <c r="CS6" s="230">
        <v>1393</v>
      </c>
      <c r="CT6" s="230">
        <v>1221</v>
      </c>
      <c r="CU6" s="228">
        <v>172</v>
      </c>
      <c r="CV6" s="229">
        <v>0.1406</v>
      </c>
      <c r="CW6" s="230">
        <v>8117</v>
      </c>
      <c r="CX6" s="230">
        <v>7719</v>
      </c>
      <c r="CY6" s="228">
        <v>398</v>
      </c>
      <c r="CZ6" s="229">
        <v>5.1499999999999997E-2</v>
      </c>
      <c r="DA6" s="228">
        <v>40.020000000000003</v>
      </c>
      <c r="DB6" s="228">
        <v>42.32</v>
      </c>
      <c r="DC6" s="228">
        <v>-2.2999999999999998</v>
      </c>
      <c r="DD6" s="228">
        <v>-2.2999999999999998</v>
      </c>
      <c r="DE6" s="228">
        <v>48.97</v>
      </c>
      <c r="DF6" s="228">
        <v>48.94</v>
      </c>
      <c r="DG6" s="228">
        <v>-8.9499999999999993</v>
      </c>
      <c r="DH6" s="228">
        <v>0.03</v>
      </c>
      <c r="DI6" s="228">
        <v>39.28</v>
      </c>
      <c r="DJ6" s="228">
        <v>41.67</v>
      </c>
      <c r="DK6" s="228">
        <v>-2.39</v>
      </c>
      <c r="DL6" s="228">
        <v>-2.39</v>
      </c>
      <c r="DM6" s="228">
        <v>41.25</v>
      </c>
      <c r="DN6" s="228">
        <v>43.57</v>
      </c>
      <c r="DO6" s="228">
        <v>-2.3199999999999998</v>
      </c>
      <c r="DP6" s="228">
        <v>-2.3199999999999998</v>
      </c>
      <c r="DQ6" s="228">
        <v>0.76</v>
      </c>
      <c r="DR6" s="228">
        <v>0.75</v>
      </c>
      <c r="DS6" s="228">
        <v>0.01</v>
      </c>
      <c r="DT6" s="229">
        <v>1.3299999999999999E-2</v>
      </c>
      <c r="DU6" s="231">
        <v>2500</v>
      </c>
      <c r="DV6" s="231">
        <v>2400</v>
      </c>
      <c r="DW6" s="228">
        <v>0.6</v>
      </c>
      <c r="DX6" s="228">
        <v>0.52</v>
      </c>
      <c r="DY6" s="228">
        <v>0.08</v>
      </c>
      <c r="DZ6" s="229">
        <v>0.15379999999999999</v>
      </c>
      <c r="EA6" s="229">
        <v>2.1499999999999998E-2</v>
      </c>
      <c r="EB6" s="230">
        <v>396447</v>
      </c>
      <c r="EC6" s="229">
        <v>5.1000000000000004E-3</v>
      </c>
      <c r="ED6" s="229">
        <v>2.1499999999999998E-2</v>
      </c>
      <c r="EE6" s="228">
        <v>9.7799999999999994</v>
      </c>
      <c r="EF6" s="229">
        <v>4.0000000000000001E-3</v>
      </c>
      <c r="EG6" s="230">
        <v>1870030</v>
      </c>
      <c r="EH6" s="230">
        <v>1292712</v>
      </c>
      <c r="EI6" s="229">
        <v>0.4466</v>
      </c>
      <c r="EJ6" s="229">
        <v>0.29870000000000002</v>
      </c>
      <c r="EK6" s="231">
        <v>6463.3</v>
      </c>
      <c r="EL6" s="231">
        <v>3616.91</v>
      </c>
      <c r="EM6" s="231">
        <v>2089.37</v>
      </c>
      <c r="EN6" s="228">
        <v>294.94</v>
      </c>
      <c r="EO6" s="231">
        <v>12169.58</v>
      </c>
      <c r="EP6" s="231">
        <v>6414.38</v>
      </c>
      <c r="EQ6" s="231">
        <v>5755.2</v>
      </c>
      <c r="ER6" s="229">
        <v>0.8972</v>
      </c>
      <c r="ES6" s="231">
        <v>1805.24</v>
      </c>
      <c r="ET6" s="231">
        <v>1290</v>
      </c>
      <c r="EU6" s="231">
        <v>4897.01</v>
      </c>
      <c r="EV6" s="231">
        <v>33645895</v>
      </c>
      <c r="EW6" s="231">
        <v>7992.25</v>
      </c>
      <c r="EX6" s="231">
        <v>7448.49</v>
      </c>
      <c r="EY6" s="228">
        <v>543.76</v>
      </c>
      <c r="EZ6" s="229">
        <v>7.2999999999999995E-2</v>
      </c>
      <c r="FA6" s="229">
        <v>0.96850000000000003</v>
      </c>
      <c r="FB6" s="227" t="s">
        <v>555</v>
      </c>
      <c r="FC6">
        <f t="shared" si="0"/>
        <v>105</v>
      </c>
    </row>
    <row r="7" spans="1:159" ht="17.25" thickBot="1" x14ac:dyDescent="0.3">
      <c r="A7" s="226">
        <v>46146</v>
      </c>
      <c r="B7" s="227" t="s">
        <v>161</v>
      </c>
      <c r="C7" s="227" t="s">
        <v>605</v>
      </c>
      <c r="D7" s="228">
        <v>600</v>
      </c>
      <c r="E7" s="228">
        <v>22</v>
      </c>
      <c r="F7" s="231">
        <v>1298.0999999999999</v>
      </c>
      <c r="G7" s="231">
        <v>1235.2</v>
      </c>
      <c r="H7" s="228">
        <v>62.9</v>
      </c>
      <c r="I7" s="229">
        <v>5.0900000000000001E-2</v>
      </c>
      <c r="J7" s="231">
        <v>1290.7</v>
      </c>
      <c r="K7" s="231">
        <v>1227.1500000000001</v>
      </c>
      <c r="L7" s="228">
        <v>63.55</v>
      </c>
      <c r="M7" s="229">
        <v>5.1799999999999999E-2</v>
      </c>
      <c r="N7" s="231">
        <v>1298.0999999999999</v>
      </c>
      <c r="O7" s="231">
        <v>1235.2</v>
      </c>
      <c r="P7" s="228">
        <v>62.9</v>
      </c>
      <c r="Q7" s="229">
        <v>5.0900000000000001E-2</v>
      </c>
      <c r="R7" s="231">
        <v>1306</v>
      </c>
      <c r="S7" s="231">
        <v>1242.95</v>
      </c>
      <c r="T7" s="228">
        <v>63.05</v>
      </c>
      <c r="U7" s="229">
        <v>5.0700000000000002E-2</v>
      </c>
      <c r="V7" s="231">
        <v>1312</v>
      </c>
      <c r="W7" s="231">
        <v>1238.4000000000001</v>
      </c>
      <c r="X7" s="228">
        <v>73.599999999999994</v>
      </c>
      <c r="Y7" s="229">
        <v>5.9400000000000001E-2</v>
      </c>
      <c r="Z7" s="228">
        <v>7.4</v>
      </c>
      <c r="AA7" s="228">
        <v>8.0500000000000007</v>
      </c>
      <c r="AB7" s="228">
        <v>-0.65</v>
      </c>
      <c r="AC7" s="229">
        <v>5.7000000000000002E-3</v>
      </c>
      <c r="AD7" s="228">
        <v>7.4</v>
      </c>
      <c r="AE7" s="228">
        <v>8.0500000000000007</v>
      </c>
      <c r="AF7" s="228">
        <v>-0.65</v>
      </c>
      <c r="AG7" s="229">
        <v>5.7000000000000002E-3</v>
      </c>
      <c r="AH7" s="228">
        <v>15.3</v>
      </c>
      <c r="AI7" s="228">
        <v>15.8</v>
      </c>
      <c r="AJ7" s="228">
        <v>-0.5</v>
      </c>
      <c r="AK7" s="229">
        <v>1.1900000000000001E-2</v>
      </c>
      <c r="AL7" s="228">
        <v>21.3</v>
      </c>
      <c r="AM7" s="228">
        <v>11.25</v>
      </c>
      <c r="AN7" s="228">
        <v>10.050000000000001</v>
      </c>
      <c r="AO7" s="229">
        <v>1.6500000000000001E-2</v>
      </c>
      <c r="AP7" s="231">
        <v>1285.26</v>
      </c>
      <c r="AQ7" s="231">
        <v>1294.3800000000001</v>
      </c>
      <c r="AR7" s="228">
        <v>0</v>
      </c>
      <c r="AS7" s="228">
        <v>893</v>
      </c>
      <c r="AT7" s="228">
        <v>400</v>
      </c>
      <c r="AU7" s="228">
        <v>493</v>
      </c>
      <c r="AV7" s="229">
        <v>1.2325999999999999</v>
      </c>
      <c r="AW7" s="228">
        <v>866</v>
      </c>
      <c r="AX7" s="228">
        <v>386</v>
      </c>
      <c r="AY7" s="228">
        <v>481</v>
      </c>
      <c r="AZ7" s="229">
        <v>1.2468999999999999</v>
      </c>
      <c r="BA7" s="228">
        <v>23</v>
      </c>
      <c r="BB7" s="228">
        <v>14</v>
      </c>
      <c r="BC7" s="228">
        <v>10</v>
      </c>
      <c r="BD7" s="229">
        <v>0.71260000000000001</v>
      </c>
      <c r="BE7" s="228">
        <v>3</v>
      </c>
      <c r="BF7" s="228">
        <v>1</v>
      </c>
      <c r="BG7" s="228">
        <v>2</v>
      </c>
      <c r="BH7" s="229">
        <v>3.2</v>
      </c>
      <c r="BI7" s="230">
        <v>2185</v>
      </c>
      <c r="BJ7" s="228">
        <v>609</v>
      </c>
      <c r="BK7" s="230">
        <v>1577</v>
      </c>
      <c r="BL7" s="229">
        <v>2.5903</v>
      </c>
      <c r="BM7" s="228">
        <v>946</v>
      </c>
      <c r="BN7" s="228">
        <v>496</v>
      </c>
      <c r="BO7" s="228">
        <v>450</v>
      </c>
      <c r="BP7" s="229">
        <v>0.90780000000000005</v>
      </c>
      <c r="BQ7" s="230">
        <v>4024</v>
      </c>
      <c r="BR7" s="230">
        <v>1504</v>
      </c>
      <c r="BS7" s="230">
        <v>2520</v>
      </c>
      <c r="BT7" s="229">
        <v>1.6749000000000001</v>
      </c>
      <c r="BU7" s="230">
        <v>6905363</v>
      </c>
      <c r="BV7" s="230">
        <v>3352380</v>
      </c>
      <c r="BW7" s="230">
        <v>3552983</v>
      </c>
      <c r="BX7" s="229">
        <v>1.0598000000000001</v>
      </c>
      <c r="BY7" s="230">
        <v>2748</v>
      </c>
      <c r="BZ7" s="230">
        <v>2614</v>
      </c>
      <c r="CA7" s="228">
        <v>135</v>
      </c>
      <c r="CB7" s="229">
        <v>5.1499999999999997E-2</v>
      </c>
      <c r="CC7" s="230">
        <v>2713</v>
      </c>
      <c r="CD7" s="230">
        <v>2584</v>
      </c>
      <c r="CE7" s="228">
        <v>129</v>
      </c>
      <c r="CF7" s="229">
        <v>0.05</v>
      </c>
      <c r="CG7" s="228">
        <v>32</v>
      </c>
      <c r="CH7" s="228">
        <v>28</v>
      </c>
      <c r="CI7" s="228">
        <v>4</v>
      </c>
      <c r="CJ7" s="229">
        <v>0.13189999999999999</v>
      </c>
      <c r="CK7" s="228">
        <v>3</v>
      </c>
      <c r="CL7" s="228">
        <v>1</v>
      </c>
      <c r="CM7" s="228">
        <v>2</v>
      </c>
      <c r="CN7" s="229">
        <v>1.6153999999999999</v>
      </c>
      <c r="CO7" s="228">
        <v>826</v>
      </c>
      <c r="CP7" s="228">
        <v>731</v>
      </c>
      <c r="CQ7" s="228">
        <v>95</v>
      </c>
      <c r="CR7" s="229">
        <v>0.12959999999999999</v>
      </c>
      <c r="CS7" s="228">
        <v>631</v>
      </c>
      <c r="CT7" s="228">
        <v>544</v>
      </c>
      <c r="CU7" s="228">
        <v>87</v>
      </c>
      <c r="CV7" s="229">
        <v>0.16020000000000001</v>
      </c>
      <c r="CW7" s="230">
        <v>4205</v>
      </c>
      <c r="CX7" s="230">
        <v>3889</v>
      </c>
      <c r="CY7" s="228">
        <v>317</v>
      </c>
      <c r="CZ7" s="229">
        <v>8.14E-2</v>
      </c>
      <c r="DA7" s="228">
        <v>49.76</v>
      </c>
      <c r="DB7" s="228">
        <v>49.66</v>
      </c>
      <c r="DC7" s="228">
        <v>0.1</v>
      </c>
      <c r="DD7" s="228">
        <v>0.1</v>
      </c>
      <c r="DE7" s="228">
        <v>58.66</v>
      </c>
      <c r="DF7" s="228">
        <v>58.42</v>
      </c>
      <c r="DG7" s="228">
        <v>-8.9</v>
      </c>
      <c r="DH7" s="228">
        <v>0.24</v>
      </c>
      <c r="DI7" s="228">
        <v>49.53</v>
      </c>
      <c r="DJ7" s="228">
        <v>49.73</v>
      </c>
      <c r="DK7" s="228">
        <v>-0.2</v>
      </c>
      <c r="DL7" s="228">
        <v>-0.2</v>
      </c>
      <c r="DM7" s="228">
        <v>50.31</v>
      </c>
      <c r="DN7" s="228">
        <v>49.59</v>
      </c>
      <c r="DO7" s="228">
        <v>0.72</v>
      </c>
      <c r="DP7" s="228">
        <v>0.72</v>
      </c>
      <c r="DQ7" s="228">
        <v>0.76</v>
      </c>
      <c r="DR7" s="228">
        <v>0.74</v>
      </c>
      <c r="DS7" s="228">
        <v>0.02</v>
      </c>
      <c r="DT7" s="229">
        <v>2.7E-2</v>
      </c>
      <c r="DU7" s="231">
        <v>1300</v>
      </c>
      <c r="DV7" s="231">
        <v>1200</v>
      </c>
      <c r="DW7" s="228">
        <v>0.43</v>
      </c>
      <c r="DX7" s="228">
        <v>0.81</v>
      </c>
      <c r="DY7" s="228">
        <v>-0.38</v>
      </c>
      <c r="DZ7" s="229">
        <v>-0.46910000000000002</v>
      </c>
      <c r="EA7" s="229">
        <v>1.26E-2</v>
      </c>
      <c r="EB7" s="230">
        <v>226200</v>
      </c>
      <c r="EC7" s="229">
        <v>6.1000000000000004E-3</v>
      </c>
      <c r="ED7" s="229">
        <v>1.26E-2</v>
      </c>
      <c r="EE7" s="228">
        <v>9.1199999999999992</v>
      </c>
      <c r="EF7" s="229">
        <v>7.1000000000000004E-3</v>
      </c>
      <c r="EG7" s="230">
        <v>1873278</v>
      </c>
      <c r="EH7" s="230">
        <v>962207</v>
      </c>
      <c r="EI7" s="229">
        <v>0.94689999999999996</v>
      </c>
      <c r="EJ7" s="229">
        <v>0.27129999999999999</v>
      </c>
      <c r="EK7" s="231">
        <v>2291.9699999999998</v>
      </c>
      <c r="EL7" s="228">
        <v>913.28</v>
      </c>
      <c r="EM7" s="228">
        <v>884.09</v>
      </c>
      <c r="EN7" s="228">
        <v>115.08</v>
      </c>
      <c r="EO7" s="231">
        <v>4089.34</v>
      </c>
      <c r="EP7" s="231">
        <v>1465.54</v>
      </c>
      <c r="EQ7" s="231">
        <v>2623.81</v>
      </c>
      <c r="ER7" s="229">
        <v>1.7903</v>
      </c>
      <c r="ES7" s="228">
        <v>803.71</v>
      </c>
      <c r="ET7" s="228">
        <v>576.21</v>
      </c>
      <c r="EU7" s="231">
        <v>2748.43</v>
      </c>
      <c r="EV7" s="231">
        <v>64724093</v>
      </c>
      <c r="EW7" s="231">
        <v>4128.3500000000004</v>
      </c>
      <c r="EX7" s="231">
        <v>3679.93</v>
      </c>
      <c r="EY7" s="228">
        <v>448.42</v>
      </c>
      <c r="EZ7" s="229">
        <v>0.12189999999999999</v>
      </c>
      <c r="FA7" s="229">
        <v>0.50049999999999994</v>
      </c>
      <c r="FB7" s="227" t="s">
        <v>555</v>
      </c>
      <c r="FC7">
        <f t="shared" si="0"/>
        <v>35</v>
      </c>
    </row>
    <row r="8" spans="1:159" ht="17.25" thickBot="1" x14ac:dyDescent="0.3">
      <c r="A8" s="226">
        <v>46146</v>
      </c>
      <c r="B8" s="227" t="s">
        <v>215</v>
      </c>
      <c r="C8" s="227" t="s">
        <v>160</v>
      </c>
      <c r="D8" s="228">
        <v>475</v>
      </c>
      <c r="E8" s="228">
        <v>22</v>
      </c>
      <c r="F8" s="231">
        <v>1748</v>
      </c>
      <c r="G8" s="231">
        <v>1662.9</v>
      </c>
      <c r="H8" s="228">
        <v>85.1</v>
      </c>
      <c r="I8" s="229">
        <v>5.1200000000000002E-2</v>
      </c>
      <c r="J8" s="231">
        <v>1742.6</v>
      </c>
      <c r="K8" s="231">
        <v>1657.3</v>
      </c>
      <c r="L8" s="228">
        <v>85.3</v>
      </c>
      <c r="M8" s="229">
        <v>5.1499999999999997E-2</v>
      </c>
      <c r="N8" s="231">
        <v>1748</v>
      </c>
      <c r="O8" s="231">
        <v>1662.9</v>
      </c>
      <c r="P8" s="228">
        <v>85.1</v>
      </c>
      <c r="Q8" s="229">
        <v>5.1200000000000002E-2</v>
      </c>
      <c r="R8" s="231">
        <v>1751.9</v>
      </c>
      <c r="S8" s="231">
        <v>1670.5</v>
      </c>
      <c r="T8" s="228">
        <v>81.400000000000006</v>
      </c>
      <c r="U8" s="229">
        <v>4.87E-2</v>
      </c>
      <c r="V8" s="231">
        <v>1760.4</v>
      </c>
      <c r="W8" s="231">
        <v>1677.6</v>
      </c>
      <c r="X8" s="228">
        <v>82.8</v>
      </c>
      <c r="Y8" s="229">
        <v>4.9399999999999999E-2</v>
      </c>
      <c r="Z8" s="228">
        <v>5.4</v>
      </c>
      <c r="AA8" s="228">
        <v>5.6</v>
      </c>
      <c r="AB8" s="228">
        <v>-0.2</v>
      </c>
      <c r="AC8" s="229">
        <v>3.0999999999999999E-3</v>
      </c>
      <c r="AD8" s="228">
        <v>5.4</v>
      </c>
      <c r="AE8" s="228">
        <v>5.6</v>
      </c>
      <c r="AF8" s="228">
        <v>-0.2</v>
      </c>
      <c r="AG8" s="229">
        <v>3.0999999999999999E-3</v>
      </c>
      <c r="AH8" s="228">
        <v>9.3000000000000007</v>
      </c>
      <c r="AI8" s="228">
        <v>13.2</v>
      </c>
      <c r="AJ8" s="228">
        <v>-3.9</v>
      </c>
      <c r="AK8" s="229">
        <v>5.3E-3</v>
      </c>
      <c r="AL8" s="228">
        <v>17.8</v>
      </c>
      <c r="AM8" s="228">
        <v>20.3</v>
      </c>
      <c r="AN8" s="228">
        <v>-2.5</v>
      </c>
      <c r="AO8" s="229">
        <v>1.0200000000000001E-2</v>
      </c>
      <c r="AP8" s="231">
        <v>1728.74</v>
      </c>
      <c r="AQ8" s="231">
        <v>1735.44</v>
      </c>
      <c r="AR8" s="228">
        <v>0</v>
      </c>
      <c r="AS8" s="230">
        <v>1654</v>
      </c>
      <c r="AT8" s="230">
        <v>1749</v>
      </c>
      <c r="AU8" s="228">
        <v>-95</v>
      </c>
      <c r="AV8" s="229">
        <v>-5.4300000000000001E-2</v>
      </c>
      <c r="AW8" s="230">
        <v>1558</v>
      </c>
      <c r="AX8" s="230">
        <v>1697</v>
      </c>
      <c r="AY8" s="228">
        <v>-138</v>
      </c>
      <c r="AZ8" s="229">
        <v>-8.1500000000000003E-2</v>
      </c>
      <c r="BA8" s="228">
        <v>78</v>
      </c>
      <c r="BB8" s="228">
        <v>40</v>
      </c>
      <c r="BC8" s="228">
        <v>38</v>
      </c>
      <c r="BD8" s="229">
        <v>0.96440000000000003</v>
      </c>
      <c r="BE8" s="228">
        <v>17</v>
      </c>
      <c r="BF8" s="228">
        <v>12</v>
      </c>
      <c r="BG8" s="228">
        <v>5</v>
      </c>
      <c r="BH8" s="229">
        <v>0.42070000000000002</v>
      </c>
      <c r="BI8" s="230">
        <v>7651</v>
      </c>
      <c r="BJ8" s="230">
        <v>4790</v>
      </c>
      <c r="BK8" s="230">
        <v>2861</v>
      </c>
      <c r="BL8" s="229">
        <v>0.59730000000000005</v>
      </c>
      <c r="BM8" s="230">
        <v>3778</v>
      </c>
      <c r="BN8" s="230">
        <v>2850</v>
      </c>
      <c r="BO8" s="228">
        <v>928</v>
      </c>
      <c r="BP8" s="229">
        <v>0.3256</v>
      </c>
      <c r="BQ8" s="230">
        <v>13082</v>
      </c>
      <c r="BR8" s="230">
        <v>9388</v>
      </c>
      <c r="BS8" s="230">
        <v>3694</v>
      </c>
      <c r="BT8" s="229">
        <v>0.39340000000000003</v>
      </c>
      <c r="BU8" s="230">
        <v>53469006</v>
      </c>
      <c r="BV8" s="230">
        <v>6621997</v>
      </c>
      <c r="BW8" s="230">
        <v>46847009</v>
      </c>
      <c r="BX8" s="229">
        <v>7.0744999999999996</v>
      </c>
      <c r="BY8" s="230">
        <v>3884</v>
      </c>
      <c r="BZ8" s="230">
        <v>3632</v>
      </c>
      <c r="CA8" s="228">
        <v>252</v>
      </c>
      <c r="CB8" s="229">
        <v>6.9400000000000003E-2</v>
      </c>
      <c r="CC8" s="230">
        <v>3710</v>
      </c>
      <c r="CD8" s="230">
        <v>3488</v>
      </c>
      <c r="CE8" s="228">
        <v>222</v>
      </c>
      <c r="CF8" s="229">
        <v>6.3799999999999996E-2</v>
      </c>
      <c r="CG8" s="228">
        <v>164</v>
      </c>
      <c r="CH8" s="228">
        <v>135</v>
      </c>
      <c r="CI8" s="228">
        <v>29</v>
      </c>
      <c r="CJ8" s="229">
        <v>0.21240000000000001</v>
      </c>
      <c r="CK8" s="228">
        <v>10</v>
      </c>
      <c r="CL8" s="228">
        <v>9</v>
      </c>
      <c r="CM8" s="228">
        <v>1</v>
      </c>
      <c r="CN8" s="229">
        <v>0.11210000000000001</v>
      </c>
      <c r="CO8" s="230">
        <v>1396</v>
      </c>
      <c r="CP8" s="230">
        <v>1050</v>
      </c>
      <c r="CQ8" s="228">
        <v>346</v>
      </c>
      <c r="CR8" s="229">
        <v>0.32940000000000003</v>
      </c>
      <c r="CS8" s="230">
        <v>1137</v>
      </c>
      <c r="CT8" s="228">
        <v>844</v>
      </c>
      <c r="CU8" s="228">
        <v>292</v>
      </c>
      <c r="CV8" s="229">
        <v>0.34639999999999999</v>
      </c>
      <c r="CW8" s="230">
        <v>6416</v>
      </c>
      <c r="CX8" s="230">
        <v>5526</v>
      </c>
      <c r="CY8" s="228">
        <v>890</v>
      </c>
      <c r="CZ8" s="229">
        <v>0.16109999999999999</v>
      </c>
      <c r="DA8" s="228">
        <v>33.01</v>
      </c>
      <c r="DB8" s="228">
        <v>32.909999999999997</v>
      </c>
      <c r="DC8" s="228">
        <v>0.1</v>
      </c>
      <c r="DD8" s="228">
        <v>0.1</v>
      </c>
      <c r="DE8" s="228">
        <v>40.17</v>
      </c>
      <c r="DF8" s="228">
        <v>39.69</v>
      </c>
      <c r="DG8" s="228">
        <v>-7.16</v>
      </c>
      <c r="DH8" s="228">
        <v>0.48</v>
      </c>
      <c r="DI8" s="228">
        <v>31.86</v>
      </c>
      <c r="DJ8" s="228">
        <v>32.229999999999997</v>
      </c>
      <c r="DK8" s="228">
        <v>-0.37</v>
      </c>
      <c r="DL8" s="228">
        <v>-0.37</v>
      </c>
      <c r="DM8" s="228">
        <v>35.340000000000003</v>
      </c>
      <c r="DN8" s="228">
        <v>34.04</v>
      </c>
      <c r="DO8" s="228">
        <v>1.3</v>
      </c>
      <c r="DP8" s="228">
        <v>1.3</v>
      </c>
      <c r="DQ8" s="228">
        <v>0.81</v>
      </c>
      <c r="DR8" s="228">
        <v>0.8</v>
      </c>
      <c r="DS8" s="228">
        <v>0.01</v>
      </c>
      <c r="DT8" s="229">
        <v>1.2500000000000001E-2</v>
      </c>
      <c r="DU8" s="231">
        <v>1800</v>
      </c>
      <c r="DV8" s="231">
        <v>1600</v>
      </c>
      <c r="DW8" s="228">
        <v>0.49</v>
      </c>
      <c r="DX8" s="228">
        <v>0.59</v>
      </c>
      <c r="DY8" s="228">
        <v>-0.1</v>
      </c>
      <c r="DZ8" s="229">
        <v>-0.16950000000000001</v>
      </c>
      <c r="EA8" s="229">
        <v>4.48E-2</v>
      </c>
      <c r="EB8" s="230">
        <v>824600</v>
      </c>
      <c r="EC8" s="229">
        <v>2.2000000000000001E-3</v>
      </c>
      <c r="ED8" s="229">
        <v>4.48E-2</v>
      </c>
      <c r="EE8" s="228">
        <v>6.7</v>
      </c>
      <c r="EF8" s="229">
        <v>3.8999999999999998E-3</v>
      </c>
      <c r="EG8" s="230">
        <v>48235819</v>
      </c>
      <c r="EH8" s="230">
        <v>2801329</v>
      </c>
      <c r="EI8" s="229">
        <v>16.218900000000001</v>
      </c>
      <c r="EJ8" s="229">
        <v>0.90210000000000001</v>
      </c>
      <c r="EK8" s="231">
        <v>7904.04</v>
      </c>
      <c r="EL8" s="231">
        <v>3620.94</v>
      </c>
      <c r="EM8" s="231">
        <v>1635.77</v>
      </c>
      <c r="EN8" s="228">
        <v>182.66</v>
      </c>
      <c r="EO8" s="231">
        <v>13160.75</v>
      </c>
      <c r="EP8" s="231">
        <v>9027.11</v>
      </c>
      <c r="EQ8" s="231">
        <v>4133.63</v>
      </c>
      <c r="ER8" s="229">
        <v>0.45789999999999997</v>
      </c>
      <c r="ES8" s="231">
        <v>1367.44</v>
      </c>
      <c r="ET8" s="231">
        <v>1032.4100000000001</v>
      </c>
      <c r="EU8" s="231">
        <v>3884.41</v>
      </c>
      <c r="EV8" s="231">
        <v>88142691</v>
      </c>
      <c r="EW8" s="231">
        <v>6284.26</v>
      </c>
      <c r="EX8" s="231">
        <v>5208.3100000000004</v>
      </c>
      <c r="EY8" s="231">
        <v>1075.95</v>
      </c>
      <c r="EZ8" s="229">
        <v>0.20660000000000001</v>
      </c>
      <c r="FA8" s="229">
        <v>0.41639999999999999</v>
      </c>
      <c r="FB8" s="227" t="s">
        <v>555</v>
      </c>
      <c r="FC8">
        <f t="shared" si="0"/>
        <v>174</v>
      </c>
    </row>
    <row r="9" spans="1:159" ht="17.25" thickBot="1" x14ac:dyDescent="0.3">
      <c r="A9" s="226">
        <v>46146</v>
      </c>
      <c r="B9" s="227" t="s">
        <v>161</v>
      </c>
      <c r="C9" s="227" t="s">
        <v>693</v>
      </c>
      <c r="D9" s="228">
        <v>3550</v>
      </c>
      <c r="E9" s="228">
        <v>22</v>
      </c>
      <c r="F9" s="228">
        <v>228.01</v>
      </c>
      <c r="G9" s="228">
        <v>223.38</v>
      </c>
      <c r="H9" s="228">
        <v>4.63</v>
      </c>
      <c r="I9" s="229">
        <v>2.07E-2</v>
      </c>
      <c r="J9" s="228">
        <v>227.3</v>
      </c>
      <c r="K9" s="228">
        <v>221.85</v>
      </c>
      <c r="L9" s="228">
        <v>5.45</v>
      </c>
      <c r="M9" s="229">
        <v>2.46E-2</v>
      </c>
      <c r="N9" s="228">
        <v>228.01</v>
      </c>
      <c r="O9" s="228">
        <v>223.38</v>
      </c>
      <c r="P9" s="228">
        <v>4.63</v>
      </c>
      <c r="Q9" s="229">
        <v>2.07E-2</v>
      </c>
      <c r="R9" s="228">
        <v>229.03</v>
      </c>
      <c r="S9" s="228">
        <v>224.55</v>
      </c>
      <c r="T9" s="228">
        <v>4.4800000000000004</v>
      </c>
      <c r="U9" s="229">
        <v>0.02</v>
      </c>
      <c r="V9" s="228">
        <v>230.34</v>
      </c>
      <c r="W9" s="228">
        <v>225.17</v>
      </c>
      <c r="X9" s="228">
        <v>5.17</v>
      </c>
      <c r="Y9" s="229">
        <v>2.3E-2</v>
      </c>
      <c r="Z9" s="228">
        <v>0.71</v>
      </c>
      <c r="AA9" s="228">
        <v>1.53</v>
      </c>
      <c r="AB9" s="228">
        <v>-0.82</v>
      </c>
      <c r="AC9" s="229">
        <v>3.0999999999999999E-3</v>
      </c>
      <c r="AD9" s="228">
        <v>0.71</v>
      </c>
      <c r="AE9" s="228">
        <v>1.53</v>
      </c>
      <c r="AF9" s="228">
        <v>-0.82</v>
      </c>
      <c r="AG9" s="229">
        <v>3.0999999999999999E-3</v>
      </c>
      <c r="AH9" s="228">
        <v>1.73</v>
      </c>
      <c r="AI9" s="228">
        <v>2.7</v>
      </c>
      <c r="AJ9" s="228">
        <v>-0.97</v>
      </c>
      <c r="AK9" s="229">
        <v>7.6E-3</v>
      </c>
      <c r="AL9" s="228">
        <v>3.04</v>
      </c>
      <c r="AM9" s="228">
        <v>3.32</v>
      </c>
      <c r="AN9" s="228">
        <v>-0.28000000000000003</v>
      </c>
      <c r="AO9" s="229">
        <v>1.34E-2</v>
      </c>
      <c r="AP9" s="228">
        <v>229.04</v>
      </c>
      <c r="AQ9" s="228">
        <v>229.15</v>
      </c>
      <c r="AR9" s="228">
        <v>0</v>
      </c>
      <c r="AS9" s="228">
        <v>961</v>
      </c>
      <c r="AT9" s="230">
        <v>1054</v>
      </c>
      <c r="AU9" s="228">
        <v>-92</v>
      </c>
      <c r="AV9" s="229">
        <v>-8.7599999999999997E-2</v>
      </c>
      <c r="AW9" s="228">
        <v>907</v>
      </c>
      <c r="AX9" s="230">
        <v>1006</v>
      </c>
      <c r="AY9" s="228">
        <v>-98</v>
      </c>
      <c r="AZ9" s="229">
        <v>-9.7699999999999995E-2</v>
      </c>
      <c r="BA9" s="228">
        <v>46</v>
      </c>
      <c r="BB9" s="228">
        <v>44</v>
      </c>
      <c r="BC9" s="228">
        <v>2</v>
      </c>
      <c r="BD9" s="229">
        <v>4.5600000000000002E-2</v>
      </c>
      <c r="BE9" s="228">
        <v>8</v>
      </c>
      <c r="BF9" s="228">
        <v>4</v>
      </c>
      <c r="BG9" s="228">
        <v>4</v>
      </c>
      <c r="BH9" s="229">
        <v>1.0435000000000001</v>
      </c>
      <c r="BI9" s="230">
        <v>1869</v>
      </c>
      <c r="BJ9" s="230">
        <v>1890</v>
      </c>
      <c r="BK9" s="228">
        <v>-21</v>
      </c>
      <c r="BL9" s="229">
        <v>-1.1299999999999999E-2</v>
      </c>
      <c r="BM9" s="228">
        <v>800</v>
      </c>
      <c r="BN9" s="228">
        <v>830</v>
      </c>
      <c r="BO9" s="228">
        <v>-30</v>
      </c>
      <c r="BP9" s="229">
        <v>-3.61E-2</v>
      </c>
      <c r="BQ9" s="230">
        <v>3630</v>
      </c>
      <c r="BR9" s="230">
        <v>3774</v>
      </c>
      <c r="BS9" s="228">
        <v>-144</v>
      </c>
      <c r="BT9" s="229">
        <v>-3.7999999999999999E-2</v>
      </c>
      <c r="BU9" s="230">
        <v>72953908</v>
      </c>
      <c r="BV9" s="230">
        <v>70535661</v>
      </c>
      <c r="BW9" s="230">
        <v>2418247</v>
      </c>
      <c r="BX9" s="229">
        <v>3.4299999999999997E-2</v>
      </c>
      <c r="BY9" s="230">
        <v>1749</v>
      </c>
      <c r="BZ9" s="230">
        <v>1720</v>
      </c>
      <c r="CA9" s="228">
        <v>29</v>
      </c>
      <c r="CB9" s="229">
        <v>1.6799999999999999E-2</v>
      </c>
      <c r="CC9" s="230">
        <v>1689</v>
      </c>
      <c r="CD9" s="230">
        <v>1673</v>
      </c>
      <c r="CE9" s="228">
        <v>16</v>
      </c>
      <c r="CF9" s="229">
        <v>9.7999999999999997E-3</v>
      </c>
      <c r="CG9" s="228">
        <v>55</v>
      </c>
      <c r="CH9" s="228">
        <v>45</v>
      </c>
      <c r="CI9" s="228">
        <v>10</v>
      </c>
      <c r="CJ9" s="229">
        <v>0.224</v>
      </c>
      <c r="CK9" s="228">
        <v>5</v>
      </c>
      <c r="CL9" s="228">
        <v>2</v>
      </c>
      <c r="CM9" s="228">
        <v>2</v>
      </c>
      <c r="CN9" s="229">
        <v>1.0713999999999999</v>
      </c>
      <c r="CO9" s="228">
        <v>699</v>
      </c>
      <c r="CP9" s="228">
        <v>717</v>
      </c>
      <c r="CQ9" s="228">
        <v>-18</v>
      </c>
      <c r="CR9" s="229">
        <v>-2.5100000000000001E-2</v>
      </c>
      <c r="CS9" s="228">
        <v>463</v>
      </c>
      <c r="CT9" s="228">
        <v>460</v>
      </c>
      <c r="CU9" s="228">
        <v>3</v>
      </c>
      <c r="CV9" s="229">
        <v>7.6E-3</v>
      </c>
      <c r="CW9" s="230">
        <v>2911</v>
      </c>
      <c r="CX9" s="230">
        <v>2897</v>
      </c>
      <c r="CY9" s="228">
        <v>14</v>
      </c>
      <c r="CZ9" s="229">
        <v>5.0000000000000001E-3</v>
      </c>
      <c r="DA9" s="228">
        <v>52.77</v>
      </c>
      <c r="DB9" s="228">
        <v>52.26</v>
      </c>
      <c r="DC9" s="228">
        <v>0.51</v>
      </c>
      <c r="DD9" s="228">
        <v>0.51</v>
      </c>
      <c r="DE9" s="228">
        <v>52.43</v>
      </c>
      <c r="DF9" s="228">
        <v>52.45</v>
      </c>
      <c r="DG9" s="228">
        <v>0.34</v>
      </c>
      <c r="DH9" s="228">
        <v>-0.02</v>
      </c>
      <c r="DI9" s="228">
        <v>52.65</v>
      </c>
      <c r="DJ9" s="228">
        <v>52.09</v>
      </c>
      <c r="DK9" s="228">
        <v>0.56000000000000005</v>
      </c>
      <c r="DL9" s="228">
        <v>0.56000000000000005</v>
      </c>
      <c r="DM9" s="228">
        <v>53.07</v>
      </c>
      <c r="DN9" s="228">
        <v>52.66</v>
      </c>
      <c r="DO9" s="228">
        <v>0.41</v>
      </c>
      <c r="DP9" s="228">
        <v>0.41</v>
      </c>
      <c r="DQ9" s="228">
        <v>0.66</v>
      </c>
      <c r="DR9" s="228">
        <v>0.64</v>
      </c>
      <c r="DS9" s="228">
        <v>0.02</v>
      </c>
      <c r="DT9" s="229">
        <v>3.1300000000000001E-2</v>
      </c>
      <c r="DU9" s="228">
        <v>230</v>
      </c>
      <c r="DV9" s="228">
        <v>200</v>
      </c>
      <c r="DW9" s="228">
        <v>0.43</v>
      </c>
      <c r="DX9" s="228">
        <v>0.44</v>
      </c>
      <c r="DY9" s="228">
        <v>-0.01</v>
      </c>
      <c r="DZ9" s="229">
        <v>-2.2700000000000001E-2</v>
      </c>
      <c r="EA9" s="229">
        <v>3.4299999999999997E-2</v>
      </c>
      <c r="EB9" s="230">
        <v>2080300</v>
      </c>
      <c r="EC9" s="229">
        <v>4.4999999999999997E-3</v>
      </c>
      <c r="ED9" s="229">
        <v>3.4299999999999997E-2</v>
      </c>
      <c r="EE9" s="228">
        <v>0.11</v>
      </c>
      <c r="EF9" s="229">
        <v>5.0000000000000001E-4</v>
      </c>
      <c r="EG9" s="230">
        <v>17470011</v>
      </c>
      <c r="EH9" s="230">
        <v>16587130</v>
      </c>
      <c r="EI9" s="229">
        <v>5.3199999999999997E-2</v>
      </c>
      <c r="EJ9" s="229">
        <v>0.23949999999999999</v>
      </c>
      <c r="EK9" s="231">
        <v>1996.12</v>
      </c>
      <c r="EL9" s="228">
        <v>765.28</v>
      </c>
      <c r="EM9" s="228">
        <v>965.81</v>
      </c>
      <c r="EN9" s="228">
        <v>127.25</v>
      </c>
      <c r="EO9" s="231">
        <v>3727.21</v>
      </c>
      <c r="EP9" s="231">
        <v>3793.31</v>
      </c>
      <c r="EQ9" s="228">
        <v>-66.11</v>
      </c>
      <c r="ER9" s="229">
        <v>-1.7399999999999999E-2</v>
      </c>
      <c r="ES9" s="228">
        <v>692.35</v>
      </c>
      <c r="ET9" s="228">
        <v>419.19</v>
      </c>
      <c r="EU9" s="231">
        <v>1749.4</v>
      </c>
      <c r="EV9" s="231">
        <v>482906787</v>
      </c>
      <c r="EW9" s="231">
        <v>2860.95</v>
      </c>
      <c r="EX9" s="231">
        <v>2799.65</v>
      </c>
      <c r="EY9" s="228">
        <v>61.3</v>
      </c>
      <c r="EZ9" s="229">
        <v>2.1899999999999999E-2</v>
      </c>
      <c r="FA9" s="229">
        <v>0.26440000000000002</v>
      </c>
      <c r="FB9" s="227" t="s">
        <v>555</v>
      </c>
      <c r="FC9">
        <f t="shared" si="0"/>
        <v>60</v>
      </c>
    </row>
    <row r="10" spans="1:159" ht="17.25" thickBot="1" x14ac:dyDescent="0.3">
      <c r="A10" s="226">
        <v>46146</v>
      </c>
      <c r="B10" s="227" t="s">
        <v>170</v>
      </c>
      <c r="C10" s="227" t="s">
        <v>497</v>
      </c>
      <c r="D10" s="228">
        <v>125</v>
      </c>
      <c r="E10" s="228">
        <v>22</v>
      </c>
      <c r="F10" s="231">
        <v>5350</v>
      </c>
      <c r="G10" s="231">
        <v>5393.5</v>
      </c>
      <c r="H10" s="228">
        <v>-43.5</v>
      </c>
      <c r="I10" s="229">
        <v>-8.0999999999999996E-3</v>
      </c>
      <c r="J10" s="231">
        <v>5360.5</v>
      </c>
      <c r="K10" s="231">
        <v>5400</v>
      </c>
      <c r="L10" s="228">
        <v>-39.5</v>
      </c>
      <c r="M10" s="229">
        <v>-7.3000000000000001E-3</v>
      </c>
      <c r="N10" s="231">
        <v>5350</v>
      </c>
      <c r="O10" s="231">
        <v>5393.5</v>
      </c>
      <c r="P10" s="228">
        <v>-43.5</v>
      </c>
      <c r="Q10" s="229">
        <v>-8.0999999999999996E-3</v>
      </c>
      <c r="R10" s="231">
        <v>5373</v>
      </c>
      <c r="S10" s="231">
        <v>5412.5</v>
      </c>
      <c r="T10" s="228">
        <v>-39.5</v>
      </c>
      <c r="U10" s="229">
        <v>-7.3000000000000001E-3</v>
      </c>
      <c r="V10" s="231">
        <v>5370</v>
      </c>
      <c r="W10" s="231">
        <v>5370</v>
      </c>
      <c r="X10" s="228">
        <v>0</v>
      </c>
      <c r="Y10" s="229">
        <v>0</v>
      </c>
      <c r="Z10" s="228">
        <v>-10.5</v>
      </c>
      <c r="AA10" s="228">
        <v>-6.5</v>
      </c>
      <c r="AB10" s="228">
        <v>-4</v>
      </c>
      <c r="AC10" s="229">
        <v>-2E-3</v>
      </c>
      <c r="AD10" s="228">
        <v>-10.5</v>
      </c>
      <c r="AE10" s="228">
        <v>-6.5</v>
      </c>
      <c r="AF10" s="228">
        <v>-4</v>
      </c>
      <c r="AG10" s="229">
        <v>-2E-3</v>
      </c>
      <c r="AH10" s="228">
        <v>12.5</v>
      </c>
      <c r="AI10" s="228">
        <v>12.5</v>
      </c>
      <c r="AJ10" s="228">
        <v>0</v>
      </c>
      <c r="AK10" s="229">
        <v>2.3E-3</v>
      </c>
      <c r="AL10" s="228">
        <v>9.5</v>
      </c>
      <c r="AM10" s="228">
        <v>-30</v>
      </c>
      <c r="AN10" s="228">
        <v>39.5</v>
      </c>
      <c r="AO10" s="229">
        <v>1.8E-3</v>
      </c>
      <c r="AP10" s="231">
        <v>5369.84</v>
      </c>
      <c r="AQ10" s="231">
        <v>5393.76</v>
      </c>
      <c r="AR10" s="228">
        <v>0</v>
      </c>
      <c r="AS10" s="228">
        <v>64</v>
      </c>
      <c r="AT10" s="228">
        <v>96</v>
      </c>
      <c r="AU10" s="228">
        <v>-32</v>
      </c>
      <c r="AV10" s="229">
        <v>-0.3296</v>
      </c>
      <c r="AW10" s="228">
        <v>60</v>
      </c>
      <c r="AX10" s="228">
        <v>94</v>
      </c>
      <c r="AY10" s="228">
        <v>-34</v>
      </c>
      <c r="AZ10" s="229">
        <v>-0.35959999999999998</v>
      </c>
      <c r="BA10" s="228">
        <v>4</v>
      </c>
      <c r="BB10" s="228">
        <v>2</v>
      </c>
      <c r="BC10" s="228">
        <v>2</v>
      </c>
      <c r="BD10" s="229">
        <v>1.36</v>
      </c>
      <c r="BE10" s="228">
        <v>0</v>
      </c>
      <c r="BF10" s="228">
        <v>0</v>
      </c>
      <c r="BG10" s="228">
        <v>0</v>
      </c>
      <c r="BH10" s="229">
        <v>0</v>
      </c>
      <c r="BI10" s="228">
        <v>96</v>
      </c>
      <c r="BJ10" s="228">
        <v>98</v>
      </c>
      <c r="BK10" s="228">
        <v>-2</v>
      </c>
      <c r="BL10" s="229">
        <v>-1.84E-2</v>
      </c>
      <c r="BM10" s="228">
        <v>37</v>
      </c>
      <c r="BN10" s="228">
        <v>48</v>
      </c>
      <c r="BO10" s="228">
        <v>-11</v>
      </c>
      <c r="BP10" s="229">
        <v>-0.2288</v>
      </c>
      <c r="BQ10" s="228">
        <v>198</v>
      </c>
      <c r="BR10" s="228">
        <v>242</v>
      </c>
      <c r="BS10" s="228">
        <v>-44</v>
      </c>
      <c r="BT10" s="229">
        <v>-0.18340000000000001</v>
      </c>
      <c r="BU10" s="230">
        <v>106062</v>
      </c>
      <c r="BV10" s="230">
        <v>154870</v>
      </c>
      <c r="BW10" s="230">
        <v>-48808</v>
      </c>
      <c r="BX10" s="229">
        <v>-0.31519999999999998</v>
      </c>
      <c r="BY10" s="228">
        <v>566</v>
      </c>
      <c r="BZ10" s="228">
        <v>562</v>
      </c>
      <c r="CA10" s="228">
        <v>4</v>
      </c>
      <c r="CB10" s="229">
        <v>7.7000000000000002E-3</v>
      </c>
      <c r="CC10" s="228">
        <v>562</v>
      </c>
      <c r="CD10" s="228">
        <v>560</v>
      </c>
      <c r="CE10" s="228">
        <v>2</v>
      </c>
      <c r="CF10" s="229">
        <v>4.3E-3</v>
      </c>
      <c r="CG10" s="228">
        <v>4</v>
      </c>
      <c r="CH10" s="228">
        <v>2</v>
      </c>
      <c r="CI10" s="228">
        <v>2</v>
      </c>
      <c r="CJ10" s="229">
        <v>1.1599999999999999</v>
      </c>
      <c r="CK10" s="228">
        <v>0</v>
      </c>
      <c r="CL10" s="228">
        <v>0</v>
      </c>
      <c r="CM10" s="228">
        <v>0</v>
      </c>
      <c r="CN10" s="229">
        <v>0</v>
      </c>
      <c r="CO10" s="228">
        <v>105</v>
      </c>
      <c r="CP10" s="228">
        <v>70</v>
      </c>
      <c r="CQ10" s="228">
        <v>35</v>
      </c>
      <c r="CR10" s="229">
        <v>0.50049999999999994</v>
      </c>
      <c r="CS10" s="228">
        <v>69</v>
      </c>
      <c r="CT10" s="228">
        <v>60</v>
      </c>
      <c r="CU10" s="228">
        <v>8</v>
      </c>
      <c r="CV10" s="229">
        <v>0.1406</v>
      </c>
      <c r="CW10" s="228">
        <v>740</v>
      </c>
      <c r="CX10" s="228">
        <v>692</v>
      </c>
      <c r="CY10" s="228">
        <v>48</v>
      </c>
      <c r="CZ10" s="229">
        <v>6.9199999999999998E-2</v>
      </c>
      <c r="DA10" s="228">
        <v>31.15</v>
      </c>
      <c r="DB10" s="228">
        <v>32.81</v>
      </c>
      <c r="DC10" s="228">
        <v>-1.66</v>
      </c>
      <c r="DD10" s="228">
        <v>-1.66</v>
      </c>
      <c r="DE10" s="228">
        <v>29.09</v>
      </c>
      <c r="DF10" s="228">
        <v>29.14</v>
      </c>
      <c r="DG10" s="228">
        <v>2.06</v>
      </c>
      <c r="DH10" s="228">
        <v>-0.05</v>
      </c>
      <c r="DI10" s="228">
        <v>30.89</v>
      </c>
      <c r="DJ10" s="228">
        <v>32.17</v>
      </c>
      <c r="DK10" s="228">
        <v>-1.28</v>
      </c>
      <c r="DL10" s="228">
        <v>-1.28</v>
      </c>
      <c r="DM10" s="228">
        <v>31.84</v>
      </c>
      <c r="DN10" s="228">
        <v>34.11</v>
      </c>
      <c r="DO10" s="228">
        <v>-2.27</v>
      </c>
      <c r="DP10" s="228">
        <v>-2.27</v>
      </c>
      <c r="DQ10" s="228">
        <v>0.66</v>
      </c>
      <c r="DR10" s="228">
        <v>0.86</v>
      </c>
      <c r="DS10" s="228">
        <v>-0.2</v>
      </c>
      <c r="DT10" s="229">
        <v>-0.2326</v>
      </c>
      <c r="DU10" s="231">
        <v>5800</v>
      </c>
      <c r="DV10" s="231">
        <v>5400</v>
      </c>
      <c r="DW10" s="228">
        <v>0.39</v>
      </c>
      <c r="DX10" s="228">
        <v>0.49</v>
      </c>
      <c r="DY10" s="228">
        <v>-0.1</v>
      </c>
      <c r="DZ10" s="229">
        <v>-0.2041</v>
      </c>
      <c r="EA10" s="229">
        <v>6.4999999999999997E-3</v>
      </c>
      <c r="EB10" s="230">
        <v>3250</v>
      </c>
      <c r="EC10" s="229">
        <v>4.3E-3</v>
      </c>
      <c r="ED10" s="229">
        <v>6.4999999999999997E-3</v>
      </c>
      <c r="EE10" s="228">
        <v>23.92</v>
      </c>
      <c r="EF10" s="229">
        <v>4.4999999999999997E-3</v>
      </c>
      <c r="EG10" s="230">
        <v>50104</v>
      </c>
      <c r="EH10" s="230">
        <v>92070</v>
      </c>
      <c r="EI10" s="229">
        <v>-0.45579999999999998</v>
      </c>
      <c r="EJ10" s="229">
        <v>0.47239999999999999</v>
      </c>
      <c r="EK10" s="228">
        <v>103.4</v>
      </c>
      <c r="EL10" s="228">
        <v>37.06</v>
      </c>
      <c r="EM10" s="228">
        <v>64.459999999999994</v>
      </c>
      <c r="EN10" s="228">
        <v>39.04</v>
      </c>
      <c r="EO10" s="228">
        <v>204.92</v>
      </c>
      <c r="EP10" s="228">
        <v>247.73</v>
      </c>
      <c r="EQ10" s="228">
        <v>-42.82</v>
      </c>
      <c r="ER10" s="229">
        <v>-0.17280000000000001</v>
      </c>
      <c r="ES10" s="228">
        <v>111.84</v>
      </c>
      <c r="ET10" s="228">
        <v>66.790000000000006</v>
      </c>
      <c r="EU10" s="228">
        <v>566.17999999999995</v>
      </c>
      <c r="EV10" s="231">
        <v>5873365</v>
      </c>
      <c r="EW10" s="228">
        <v>744.81</v>
      </c>
      <c r="EX10" s="228">
        <v>698.85</v>
      </c>
      <c r="EY10" s="228">
        <v>45.96</v>
      </c>
      <c r="EZ10" s="229">
        <v>6.5799999999999997E-2</v>
      </c>
      <c r="FA10" s="229">
        <v>0.23549999999999999</v>
      </c>
      <c r="FB10" s="227" t="s">
        <v>566</v>
      </c>
      <c r="FC10">
        <f t="shared" si="0"/>
        <v>4</v>
      </c>
    </row>
    <row r="11" spans="1:159" ht="17.25" thickBot="1" x14ac:dyDescent="0.3">
      <c r="A11" s="226">
        <v>46146</v>
      </c>
      <c r="B11" s="227" t="s">
        <v>184</v>
      </c>
      <c r="C11" s="227" t="s">
        <v>677</v>
      </c>
      <c r="D11" s="228">
        <v>100</v>
      </c>
      <c r="E11" s="228">
        <v>22</v>
      </c>
      <c r="F11" s="231">
        <v>8051</v>
      </c>
      <c r="G11" s="231">
        <v>7996</v>
      </c>
      <c r="H11" s="228">
        <v>55</v>
      </c>
      <c r="I11" s="229">
        <v>6.8999999999999999E-3</v>
      </c>
      <c r="J11" s="231">
        <v>8007</v>
      </c>
      <c r="K11" s="231">
        <v>8024</v>
      </c>
      <c r="L11" s="228">
        <v>-17</v>
      </c>
      <c r="M11" s="229">
        <v>-2.0999999999999999E-3</v>
      </c>
      <c r="N11" s="231">
        <v>8051</v>
      </c>
      <c r="O11" s="231">
        <v>7996</v>
      </c>
      <c r="P11" s="228">
        <v>55</v>
      </c>
      <c r="Q11" s="229">
        <v>6.8999999999999999E-3</v>
      </c>
      <c r="R11" s="231">
        <v>7993</v>
      </c>
      <c r="S11" s="231">
        <v>7930</v>
      </c>
      <c r="T11" s="228">
        <v>63</v>
      </c>
      <c r="U11" s="229">
        <v>7.9000000000000008E-3</v>
      </c>
      <c r="V11" s="231">
        <v>7855</v>
      </c>
      <c r="W11" s="231">
        <v>7855</v>
      </c>
      <c r="X11" s="228">
        <v>0</v>
      </c>
      <c r="Y11" s="229">
        <v>0</v>
      </c>
      <c r="Z11" s="228">
        <v>44</v>
      </c>
      <c r="AA11" s="228">
        <v>-28</v>
      </c>
      <c r="AB11" s="228">
        <v>72</v>
      </c>
      <c r="AC11" s="229">
        <v>5.4999999999999997E-3</v>
      </c>
      <c r="AD11" s="228">
        <v>44</v>
      </c>
      <c r="AE11" s="228">
        <v>-28</v>
      </c>
      <c r="AF11" s="228">
        <v>72</v>
      </c>
      <c r="AG11" s="229">
        <v>5.4999999999999997E-3</v>
      </c>
      <c r="AH11" s="228">
        <v>-14</v>
      </c>
      <c r="AI11" s="228">
        <v>-94</v>
      </c>
      <c r="AJ11" s="228">
        <v>80</v>
      </c>
      <c r="AK11" s="229">
        <v>-1.6999999999999999E-3</v>
      </c>
      <c r="AL11" s="228">
        <v>-152</v>
      </c>
      <c r="AM11" s="228">
        <v>-169</v>
      </c>
      <c r="AN11" s="228">
        <v>17</v>
      </c>
      <c r="AO11" s="229">
        <v>-1.9E-2</v>
      </c>
      <c r="AP11" s="231">
        <v>8035.68</v>
      </c>
      <c r="AQ11" s="231">
        <v>7970.37</v>
      </c>
      <c r="AR11" s="228">
        <v>0</v>
      </c>
      <c r="AS11" s="228">
        <v>163</v>
      </c>
      <c r="AT11" s="228">
        <v>191</v>
      </c>
      <c r="AU11" s="228">
        <v>-29</v>
      </c>
      <c r="AV11" s="229">
        <v>-0.1502</v>
      </c>
      <c r="AW11" s="228">
        <v>160</v>
      </c>
      <c r="AX11" s="228">
        <v>186</v>
      </c>
      <c r="AY11" s="228">
        <v>-25</v>
      </c>
      <c r="AZ11" s="229">
        <v>-0.13539999999999999</v>
      </c>
      <c r="BA11" s="228">
        <v>2</v>
      </c>
      <c r="BB11" s="228">
        <v>6</v>
      </c>
      <c r="BC11" s="228">
        <v>-3</v>
      </c>
      <c r="BD11" s="229">
        <v>-0.61429999999999996</v>
      </c>
      <c r="BE11" s="228">
        <v>0</v>
      </c>
      <c r="BF11" s="228">
        <v>0</v>
      </c>
      <c r="BG11" s="228">
        <v>0</v>
      </c>
      <c r="BH11" s="229">
        <v>-1</v>
      </c>
      <c r="BI11" s="228">
        <v>233</v>
      </c>
      <c r="BJ11" s="228">
        <v>338</v>
      </c>
      <c r="BK11" s="228">
        <v>-105</v>
      </c>
      <c r="BL11" s="229">
        <v>-0.31040000000000001</v>
      </c>
      <c r="BM11" s="228">
        <v>109</v>
      </c>
      <c r="BN11" s="228">
        <v>249</v>
      </c>
      <c r="BO11" s="228">
        <v>-140</v>
      </c>
      <c r="BP11" s="229">
        <v>-0.56340000000000001</v>
      </c>
      <c r="BQ11" s="228">
        <v>505</v>
      </c>
      <c r="BR11" s="228">
        <v>779</v>
      </c>
      <c r="BS11" s="228">
        <v>-274</v>
      </c>
      <c r="BT11" s="229">
        <v>-0.35189999999999999</v>
      </c>
      <c r="BU11" s="230">
        <v>215100</v>
      </c>
      <c r="BV11" s="230">
        <v>166923</v>
      </c>
      <c r="BW11" s="230">
        <v>48177</v>
      </c>
      <c r="BX11" s="229">
        <v>0.28860000000000002</v>
      </c>
      <c r="BY11" s="228">
        <v>974</v>
      </c>
      <c r="BZ11" s="228">
        <v>953</v>
      </c>
      <c r="CA11" s="228">
        <v>22</v>
      </c>
      <c r="CB11" s="229">
        <v>2.2700000000000001E-2</v>
      </c>
      <c r="CC11" s="228">
        <v>959</v>
      </c>
      <c r="CD11" s="228">
        <v>938</v>
      </c>
      <c r="CE11" s="228">
        <v>21</v>
      </c>
      <c r="CF11" s="229">
        <v>2.29E-2</v>
      </c>
      <c r="CG11" s="228">
        <v>15</v>
      </c>
      <c r="CH11" s="228">
        <v>15</v>
      </c>
      <c r="CI11" s="228">
        <v>0</v>
      </c>
      <c r="CJ11" s="229">
        <v>1.0999999999999999E-2</v>
      </c>
      <c r="CK11" s="228">
        <v>0</v>
      </c>
      <c r="CL11" s="228">
        <v>0</v>
      </c>
      <c r="CM11" s="228">
        <v>0</v>
      </c>
      <c r="CN11" s="229">
        <v>0</v>
      </c>
      <c r="CO11" s="228">
        <v>340</v>
      </c>
      <c r="CP11" s="228">
        <v>302</v>
      </c>
      <c r="CQ11" s="228">
        <v>38</v>
      </c>
      <c r="CR11" s="229">
        <v>0.1241</v>
      </c>
      <c r="CS11" s="228">
        <v>169</v>
      </c>
      <c r="CT11" s="228">
        <v>160</v>
      </c>
      <c r="CU11" s="228">
        <v>9</v>
      </c>
      <c r="CV11" s="229">
        <v>5.8500000000000003E-2</v>
      </c>
      <c r="CW11" s="230">
        <v>1483</v>
      </c>
      <c r="CX11" s="230">
        <v>1415</v>
      </c>
      <c r="CY11" s="228">
        <v>69</v>
      </c>
      <c r="CZ11" s="229">
        <v>4.8399999999999999E-2</v>
      </c>
      <c r="DA11" s="228">
        <v>46.08</v>
      </c>
      <c r="DB11" s="228">
        <v>43.45</v>
      </c>
      <c r="DC11" s="228">
        <v>2.63</v>
      </c>
      <c r="DD11" s="228">
        <v>2.63</v>
      </c>
      <c r="DE11" s="228">
        <v>53.54</v>
      </c>
      <c r="DF11" s="228">
        <v>53.67</v>
      </c>
      <c r="DG11" s="228">
        <v>-7.46</v>
      </c>
      <c r="DH11" s="228">
        <v>-0.13</v>
      </c>
      <c r="DI11" s="228">
        <v>45.97</v>
      </c>
      <c r="DJ11" s="228">
        <v>43.5</v>
      </c>
      <c r="DK11" s="228">
        <v>2.4700000000000002</v>
      </c>
      <c r="DL11" s="228">
        <v>2.4700000000000002</v>
      </c>
      <c r="DM11" s="228">
        <v>46.32</v>
      </c>
      <c r="DN11" s="228">
        <v>43.38</v>
      </c>
      <c r="DO11" s="228">
        <v>2.94</v>
      </c>
      <c r="DP11" s="228">
        <v>2.94</v>
      </c>
      <c r="DQ11" s="228">
        <v>0.5</v>
      </c>
      <c r="DR11" s="228">
        <v>0.53</v>
      </c>
      <c r="DS11" s="228">
        <v>-0.03</v>
      </c>
      <c r="DT11" s="229">
        <v>-5.6599999999999998E-2</v>
      </c>
      <c r="DU11" s="231">
        <v>8000</v>
      </c>
      <c r="DV11" s="231">
        <v>8000</v>
      </c>
      <c r="DW11" s="228">
        <v>0.47</v>
      </c>
      <c r="DX11" s="228">
        <v>0.74</v>
      </c>
      <c r="DY11" s="228">
        <v>-0.27</v>
      </c>
      <c r="DZ11" s="229">
        <v>-0.3649</v>
      </c>
      <c r="EA11" s="229">
        <v>1.55E-2</v>
      </c>
      <c r="EB11" s="230">
        <v>18600</v>
      </c>
      <c r="EC11" s="229">
        <v>-7.1999999999999998E-3</v>
      </c>
      <c r="ED11" s="229">
        <v>1.55E-2</v>
      </c>
      <c r="EE11" s="228">
        <v>-65.31</v>
      </c>
      <c r="EF11" s="229">
        <v>-8.0999999999999996E-3</v>
      </c>
      <c r="EG11" s="230">
        <v>106157</v>
      </c>
      <c r="EH11" s="230">
        <v>48750</v>
      </c>
      <c r="EI11" s="229">
        <v>1.1776</v>
      </c>
      <c r="EJ11" s="229">
        <v>0.49349999999999999</v>
      </c>
      <c r="EK11" s="228">
        <v>251.92</v>
      </c>
      <c r="EL11" s="228">
        <v>105.77</v>
      </c>
      <c r="EM11" s="228">
        <v>162.30000000000001</v>
      </c>
      <c r="EN11" s="228">
        <v>73.14</v>
      </c>
      <c r="EO11" s="228">
        <v>519.99</v>
      </c>
      <c r="EP11" s="228">
        <v>796.09</v>
      </c>
      <c r="EQ11" s="228">
        <v>-276.10000000000002</v>
      </c>
      <c r="ER11" s="229">
        <v>-0.3468</v>
      </c>
      <c r="ES11" s="228">
        <v>353.99</v>
      </c>
      <c r="ET11" s="228">
        <v>159.97</v>
      </c>
      <c r="EU11" s="228">
        <v>974.06</v>
      </c>
      <c r="EV11" s="231">
        <v>3260820</v>
      </c>
      <c r="EW11" s="231">
        <v>1488.02</v>
      </c>
      <c r="EX11" s="231">
        <v>1410.68</v>
      </c>
      <c r="EY11" s="228">
        <v>77.34</v>
      </c>
      <c r="EZ11" s="229">
        <v>5.4800000000000001E-2</v>
      </c>
      <c r="FA11" s="229">
        <v>0.56489999999999996</v>
      </c>
      <c r="FB11" s="227" t="s">
        <v>555</v>
      </c>
      <c r="FC11">
        <f t="shared" si="0"/>
        <v>15</v>
      </c>
    </row>
    <row r="12" spans="1:159" ht="17.25" thickBot="1" x14ac:dyDescent="0.3">
      <c r="A12" s="226">
        <v>46146</v>
      </c>
      <c r="B12" s="227" t="s">
        <v>157</v>
      </c>
      <c r="C12" s="227" t="s">
        <v>164</v>
      </c>
      <c r="D12" s="228">
        <v>1050</v>
      </c>
      <c r="E12" s="228">
        <v>22</v>
      </c>
      <c r="F12" s="228">
        <v>447.35</v>
      </c>
      <c r="G12" s="228">
        <v>446.8</v>
      </c>
      <c r="H12" s="228">
        <v>0.55000000000000004</v>
      </c>
      <c r="I12" s="229">
        <v>1.1999999999999999E-3</v>
      </c>
      <c r="J12" s="228">
        <v>445.3</v>
      </c>
      <c r="K12" s="228">
        <v>444.2</v>
      </c>
      <c r="L12" s="228">
        <v>1.1000000000000001</v>
      </c>
      <c r="M12" s="229">
        <v>2.5000000000000001E-3</v>
      </c>
      <c r="N12" s="228">
        <v>447.35</v>
      </c>
      <c r="O12" s="228">
        <v>446.8</v>
      </c>
      <c r="P12" s="228">
        <v>0.55000000000000004</v>
      </c>
      <c r="Q12" s="229">
        <v>1.1999999999999999E-3</v>
      </c>
      <c r="R12" s="228">
        <v>447.7</v>
      </c>
      <c r="S12" s="228">
        <v>448.2</v>
      </c>
      <c r="T12" s="228">
        <v>-0.5</v>
      </c>
      <c r="U12" s="229">
        <v>-1.1000000000000001E-3</v>
      </c>
      <c r="V12" s="228">
        <v>452.35</v>
      </c>
      <c r="W12" s="228">
        <v>451.5</v>
      </c>
      <c r="X12" s="228">
        <v>0.85</v>
      </c>
      <c r="Y12" s="229">
        <v>1.9E-3</v>
      </c>
      <c r="Z12" s="228">
        <v>2.0499999999999998</v>
      </c>
      <c r="AA12" s="228">
        <v>2.6</v>
      </c>
      <c r="AB12" s="228">
        <v>-0.55000000000000004</v>
      </c>
      <c r="AC12" s="229">
        <v>4.5999999999999999E-3</v>
      </c>
      <c r="AD12" s="228">
        <v>2.0499999999999998</v>
      </c>
      <c r="AE12" s="228">
        <v>2.6</v>
      </c>
      <c r="AF12" s="228">
        <v>-0.55000000000000004</v>
      </c>
      <c r="AG12" s="229">
        <v>4.5999999999999999E-3</v>
      </c>
      <c r="AH12" s="228">
        <v>2.4</v>
      </c>
      <c r="AI12" s="228">
        <v>4</v>
      </c>
      <c r="AJ12" s="228">
        <v>-1.6</v>
      </c>
      <c r="AK12" s="229">
        <v>5.4000000000000003E-3</v>
      </c>
      <c r="AL12" s="228">
        <v>7.05</v>
      </c>
      <c r="AM12" s="228">
        <v>7.3</v>
      </c>
      <c r="AN12" s="228">
        <v>-0.25</v>
      </c>
      <c r="AO12" s="229">
        <v>1.5800000000000002E-2</v>
      </c>
      <c r="AP12" s="228">
        <v>450.03</v>
      </c>
      <c r="AQ12" s="228">
        <v>450.69</v>
      </c>
      <c r="AR12" s="228">
        <v>0</v>
      </c>
      <c r="AS12" s="230">
        <v>1488</v>
      </c>
      <c r="AT12" s="228">
        <v>217</v>
      </c>
      <c r="AU12" s="230">
        <v>1272</v>
      </c>
      <c r="AV12" s="229">
        <v>5.8691000000000004</v>
      </c>
      <c r="AW12" s="230">
        <v>1447</v>
      </c>
      <c r="AX12" s="228">
        <v>207</v>
      </c>
      <c r="AY12" s="230">
        <v>1240</v>
      </c>
      <c r="AZ12" s="229">
        <v>5.9977</v>
      </c>
      <c r="BA12" s="228">
        <v>39</v>
      </c>
      <c r="BB12" s="228">
        <v>9</v>
      </c>
      <c r="BC12" s="228">
        <v>30</v>
      </c>
      <c r="BD12" s="229">
        <v>3.3698000000000001</v>
      </c>
      <c r="BE12" s="228">
        <v>2</v>
      </c>
      <c r="BF12" s="228">
        <v>1</v>
      </c>
      <c r="BG12" s="228">
        <v>1</v>
      </c>
      <c r="BH12" s="229">
        <v>1.55</v>
      </c>
      <c r="BI12" s="230">
        <v>3520</v>
      </c>
      <c r="BJ12" s="228">
        <v>341</v>
      </c>
      <c r="BK12" s="230">
        <v>3179</v>
      </c>
      <c r="BL12" s="229">
        <v>9.3148999999999997</v>
      </c>
      <c r="BM12" s="230">
        <v>1604</v>
      </c>
      <c r="BN12" s="228">
        <v>146</v>
      </c>
      <c r="BO12" s="230">
        <v>1459</v>
      </c>
      <c r="BP12" s="229">
        <v>10.0113</v>
      </c>
      <c r="BQ12" s="230">
        <v>6613</v>
      </c>
      <c r="BR12" s="228">
        <v>704</v>
      </c>
      <c r="BS12" s="230">
        <v>5909</v>
      </c>
      <c r="BT12" s="229">
        <v>8.3979999999999997</v>
      </c>
      <c r="BU12" s="230">
        <v>12981016</v>
      </c>
      <c r="BV12" s="230">
        <v>3520402</v>
      </c>
      <c r="BW12" s="230">
        <v>9460614</v>
      </c>
      <c r="BX12" s="229">
        <v>2.6873999999999998</v>
      </c>
      <c r="BY12" s="230">
        <v>3162</v>
      </c>
      <c r="BZ12" s="230">
        <v>2799</v>
      </c>
      <c r="CA12" s="228">
        <v>363</v>
      </c>
      <c r="CB12" s="229">
        <v>0.12970000000000001</v>
      </c>
      <c r="CC12" s="230">
        <v>3100</v>
      </c>
      <c r="CD12" s="230">
        <v>2750</v>
      </c>
      <c r="CE12" s="228">
        <v>350</v>
      </c>
      <c r="CF12" s="229">
        <v>0.12720000000000001</v>
      </c>
      <c r="CG12" s="228">
        <v>60</v>
      </c>
      <c r="CH12" s="228">
        <v>48</v>
      </c>
      <c r="CI12" s="228">
        <v>12</v>
      </c>
      <c r="CJ12" s="229">
        <v>0.25740000000000002</v>
      </c>
      <c r="CK12" s="228">
        <v>2</v>
      </c>
      <c r="CL12" s="228">
        <v>1</v>
      </c>
      <c r="CM12" s="228">
        <v>1</v>
      </c>
      <c r="CN12" s="229">
        <v>0.89470000000000005</v>
      </c>
      <c r="CO12" s="228">
        <v>850</v>
      </c>
      <c r="CP12" s="228">
        <v>506</v>
      </c>
      <c r="CQ12" s="228">
        <v>344</v>
      </c>
      <c r="CR12" s="229">
        <v>0.67930000000000001</v>
      </c>
      <c r="CS12" s="228">
        <v>471</v>
      </c>
      <c r="CT12" s="228">
        <v>409</v>
      </c>
      <c r="CU12" s="228">
        <v>62</v>
      </c>
      <c r="CV12" s="229">
        <v>0.15279999999999999</v>
      </c>
      <c r="CW12" s="230">
        <v>4483</v>
      </c>
      <c r="CX12" s="230">
        <v>3714</v>
      </c>
      <c r="CY12" s="228">
        <v>769</v>
      </c>
      <c r="CZ12" s="229">
        <v>0.2072</v>
      </c>
      <c r="DA12" s="228">
        <v>35.94</v>
      </c>
      <c r="DB12" s="228">
        <v>37.17</v>
      </c>
      <c r="DC12" s="228">
        <v>-1.23</v>
      </c>
      <c r="DD12" s="228">
        <v>-1.23</v>
      </c>
      <c r="DE12" s="228">
        <v>36.36</v>
      </c>
      <c r="DF12" s="228">
        <v>36.46</v>
      </c>
      <c r="DG12" s="228">
        <v>-0.42</v>
      </c>
      <c r="DH12" s="228">
        <v>-0.1</v>
      </c>
      <c r="DI12" s="228">
        <v>36.21</v>
      </c>
      <c r="DJ12" s="228">
        <v>37.61</v>
      </c>
      <c r="DK12" s="228">
        <v>-1.4</v>
      </c>
      <c r="DL12" s="228">
        <v>-1.4</v>
      </c>
      <c r="DM12" s="228">
        <v>35.33</v>
      </c>
      <c r="DN12" s="228">
        <v>36.14</v>
      </c>
      <c r="DO12" s="228">
        <v>-0.81</v>
      </c>
      <c r="DP12" s="228">
        <v>-0.81</v>
      </c>
      <c r="DQ12" s="228">
        <v>0.55000000000000004</v>
      </c>
      <c r="DR12" s="228">
        <v>0.81</v>
      </c>
      <c r="DS12" s="228">
        <v>-0.26</v>
      </c>
      <c r="DT12" s="229">
        <v>-0.32100000000000001</v>
      </c>
      <c r="DU12" s="228">
        <v>500</v>
      </c>
      <c r="DV12" s="228">
        <v>520</v>
      </c>
      <c r="DW12" s="228">
        <v>0.46</v>
      </c>
      <c r="DX12" s="228">
        <v>0.43</v>
      </c>
      <c r="DY12" s="228">
        <v>0.03</v>
      </c>
      <c r="DZ12" s="229">
        <v>6.9800000000000001E-2</v>
      </c>
      <c r="EA12" s="229">
        <v>1.9599999999999999E-2</v>
      </c>
      <c r="EB12" s="230">
        <v>1087500</v>
      </c>
      <c r="EC12" s="229">
        <v>8.0000000000000004E-4</v>
      </c>
      <c r="ED12" s="229">
        <v>1.9599999999999999E-2</v>
      </c>
      <c r="EE12" s="228">
        <v>0.66</v>
      </c>
      <c r="EF12" s="229">
        <v>1.5E-3</v>
      </c>
      <c r="EG12" s="230">
        <v>2873161</v>
      </c>
      <c r="EH12" s="230">
        <v>1876576</v>
      </c>
      <c r="EI12" s="229">
        <v>0.53110000000000002</v>
      </c>
      <c r="EJ12" s="229">
        <v>0.2213</v>
      </c>
      <c r="EK12" s="231">
        <v>3777.94</v>
      </c>
      <c r="EL12" s="231">
        <v>1625.86</v>
      </c>
      <c r="EM12" s="231">
        <v>1497.75</v>
      </c>
      <c r="EN12" s="228">
        <v>154.36000000000001</v>
      </c>
      <c r="EO12" s="231">
        <v>6901.55</v>
      </c>
      <c r="EP12" s="228">
        <v>733.15</v>
      </c>
      <c r="EQ12" s="231">
        <v>6168.4</v>
      </c>
      <c r="ER12" s="229">
        <v>8.4135000000000009</v>
      </c>
      <c r="ES12" s="228">
        <v>907.02</v>
      </c>
      <c r="ET12" s="228">
        <v>485.06</v>
      </c>
      <c r="EU12" s="231">
        <v>3161.93</v>
      </c>
      <c r="EV12" s="231">
        <v>97233107</v>
      </c>
      <c r="EW12" s="231">
        <v>4554.01</v>
      </c>
      <c r="EX12" s="231">
        <v>3761.86</v>
      </c>
      <c r="EY12" s="228">
        <v>792.15</v>
      </c>
      <c r="EZ12" s="229">
        <v>0.21060000000000001</v>
      </c>
      <c r="FA12" s="229">
        <v>1.0306</v>
      </c>
      <c r="FB12" s="227" t="s">
        <v>555</v>
      </c>
      <c r="FC12">
        <f t="shared" si="0"/>
        <v>62</v>
      </c>
    </row>
    <row r="13" spans="1:159" ht="17.25" thickBot="1" x14ac:dyDescent="0.3">
      <c r="A13" s="226">
        <v>46146</v>
      </c>
      <c r="B13" s="227" t="s">
        <v>175</v>
      </c>
      <c r="C13" s="227" t="s">
        <v>608</v>
      </c>
      <c r="D13" s="228">
        <v>2500</v>
      </c>
      <c r="E13" s="228">
        <v>22</v>
      </c>
      <c r="F13" s="228">
        <v>309.5</v>
      </c>
      <c r="G13" s="228">
        <v>310.38</v>
      </c>
      <c r="H13" s="228">
        <v>-0.88</v>
      </c>
      <c r="I13" s="229">
        <v>-2.8E-3</v>
      </c>
      <c r="J13" s="228">
        <v>307.7</v>
      </c>
      <c r="K13" s="228">
        <v>308.70999999999998</v>
      </c>
      <c r="L13" s="228">
        <v>-1.01</v>
      </c>
      <c r="M13" s="229">
        <v>-3.3E-3</v>
      </c>
      <c r="N13" s="228">
        <v>309.5</v>
      </c>
      <c r="O13" s="228">
        <v>310.38</v>
      </c>
      <c r="P13" s="228">
        <v>-0.88</v>
      </c>
      <c r="Q13" s="229">
        <v>-2.8E-3</v>
      </c>
      <c r="R13" s="228">
        <v>309</v>
      </c>
      <c r="S13" s="228">
        <v>308.95</v>
      </c>
      <c r="T13" s="228">
        <v>0.05</v>
      </c>
      <c r="U13" s="229">
        <v>2.0000000000000001E-4</v>
      </c>
      <c r="V13" s="228">
        <v>308.05</v>
      </c>
      <c r="W13" s="228">
        <v>308.38</v>
      </c>
      <c r="X13" s="228">
        <v>-0.33</v>
      </c>
      <c r="Y13" s="229">
        <v>-1.1000000000000001E-3</v>
      </c>
      <c r="Z13" s="228">
        <v>1.8</v>
      </c>
      <c r="AA13" s="228">
        <v>1.67</v>
      </c>
      <c r="AB13" s="228">
        <v>0.13</v>
      </c>
      <c r="AC13" s="229">
        <v>5.7999999999999996E-3</v>
      </c>
      <c r="AD13" s="228">
        <v>1.8</v>
      </c>
      <c r="AE13" s="228">
        <v>1.67</v>
      </c>
      <c r="AF13" s="228">
        <v>0.13</v>
      </c>
      <c r="AG13" s="229">
        <v>5.7999999999999996E-3</v>
      </c>
      <c r="AH13" s="228">
        <v>1.3</v>
      </c>
      <c r="AI13" s="228">
        <v>0.24</v>
      </c>
      <c r="AJ13" s="228">
        <v>1.06</v>
      </c>
      <c r="AK13" s="229">
        <v>4.1999999999999997E-3</v>
      </c>
      <c r="AL13" s="228">
        <v>0.35</v>
      </c>
      <c r="AM13" s="228">
        <v>-0.33</v>
      </c>
      <c r="AN13" s="228">
        <v>0.68</v>
      </c>
      <c r="AO13" s="229">
        <v>1.1000000000000001E-3</v>
      </c>
      <c r="AP13" s="228">
        <v>310.12</v>
      </c>
      <c r="AQ13" s="228">
        <v>308.87</v>
      </c>
      <c r="AR13" s="228">
        <v>0</v>
      </c>
      <c r="AS13" s="228">
        <v>195</v>
      </c>
      <c r="AT13" s="228">
        <v>173</v>
      </c>
      <c r="AU13" s="228">
        <v>22</v>
      </c>
      <c r="AV13" s="229">
        <v>0.12429999999999999</v>
      </c>
      <c r="AW13" s="228">
        <v>187</v>
      </c>
      <c r="AX13" s="228">
        <v>161</v>
      </c>
      <c r="AY13" s="228">
        <v>26</v>
      </c>
      <c r="AZ13" s="229">
        <v>0.1618</v>
      </c>
      <c r="BA13" s="228">
        <v>6</v>
      </c>
      <c r="BB13" s="228">
        <v>9</v>
      </c>
      <c r="BC13" s="228">
        <v>-2</v>
      </c>
      <c r="BD13" s="229">
        <v>-0.27429999999999999</v>
      </c>
      <c r="BE13" s="228">
        <v>1</v>
      </c>
      <c r="BF13" s="228">
        <v>3</v>
      </c>
      <c r="BG13" s="228">
        <v>-2</v>
      </c>
      <c r="BH13" s="229">
        <v>-0.7</v>
      </c>
      <c r="BI13" s="228">
        <v>424</v>
      </c>
      <c r="BJ13" s="228">
        <v>311</v>
      </c>
      <c r="BK13" s="228">
        <v>113</v>
      </c>
      <c r="BL13" s="229">
        <v>0.36420000000000002</v>
      </c>
      <c r="BM13" s="228">
        <v>237</v>
      </c>
      <c r="BN13" s="228">
        <v>179</v>
      </c>
      <c r="BO13" s="228">
        <v>57</v>
      </c>
      <c r="BP13" s="229">
        <v>0.32079999999999997</v>
      </c>
      <c r="BQ13" s="228">
        <v>855</v>
      </c>
      <c r="BR13" s="228">
        <v>663</v>
      </c>
      <c r="BS13" s="228">
        <v>192</v>
      </c>
      <c r="BT13" s="229">
        <v>0.28989999999999999</v>
      </c>
      <c r="BU13" s="230">
        <v>5291585</v>
      </c>
      <c r="BV13" s="230">
        <v>4217611</v>
      </c>
      <c r="BW13" s="230">
        <v>1073974</v>
      </c>
      <c r="BX13" s="229">
        <v>0.25459999999999999</v>
      </c>
      <c r="BY13" s="228">
        <v>741</v>
      </c>
      <c r="BZ13" s="228">
        <v>682</v>
      </c>
      <c r="CA13" s="228">
        <v>60</v>
      </c>
      <c r="CB13" s="229">
        <v>8.7999999999999995E-2</v>
      </c>
      <c r="CC13" s="228">
        <v>720</v>
      </c>
      <c r="CD13" s="228">
        <v>663</v>
      </c>
      <c r="CE13" s="228">
        <v>57</v>
      </c>
      <c r="CF13" s="229">
        <v>8.6199999999999999E-2</v>
      </c>
      <c r="CG13" s="228">
        <v>18</v>
      </c>
      <c r="CH13" s="228">
        <v>16</v>
      </c>
      <c r="CI13" s="228">
        <v>2</v>
      </c>
      <c r="CJ13" s="229">
        <v>0.12939999999999999</v>
      </c>
      <c r="CK13" s="228">
        <v>4</v>
      </c>
      <c r="CL13" s="228">
        <v>3</v>
      </c>
      <c r="CM13" s="228">
        <v>1</v>
      </c>
      <c r="CN13" s="229">
        <v>0.27779999999999999</v>
      </c>
      <c r="CO13" s="228">
        <v>361</v>
      </c>
      <c r="CP13" s="228">
        <v>313</v>
      </c>
      <c r="CQ13" s="228">
        <v>48</v>
      </c>
      <c r="CR13" s="229">
        <v>0.1545</v>
      </c>
      <c r="CS13" s="228">
        <v>221</v>
      </c>
      <c r="CT13" s="228">
        <v>213</v>
      </c>
      <c r="CU13" s="228">
        <v>8</v>
      </c>
      <c r="CV13" s="229">
        <v>3.9199999999999999E-2</v>
      </c>
      <c r="CW13" s="230">
        <v>1324</v>
      </c>
      <c r="CX13" s="230">
        <v>1208</v>
      </c>
      <c r="CY13" s="228">
        <v>117</v>
      </c>
      <c r="CZ13" s="229">
        <v>9.6600000000000005E-2</v>
      </c>
      <c r="DA13" s="228">
        <v>42.46</v>
      </c>
      <c r="DB13" s="228">
        <v>42.62</v>
      </c>
      <c r="DC13" s="228">
        <v>-0.16</v>
      </c>
      <c r="DD13" s="228">
        <v>-0.16</v>
      </c>
      <c r="DE13" s="228">
        <v>56.41</v>
      </c>
      <c r="DF13" s="228">
        <v>56.55</v>
      </c>
      <c r="DG13" s="228">
        <v>-13.95</v>
      </c>
      <c r="DH13" s="228">
        <v>-0.14000000000000001</v>
      </c>
      <c r="DI13" s="228">
        <v>42.12</v>
      </c>
      <c r="DJ13" s="228">
        <v>42</v>
      </c>
      <c r="DK13" s="228">
        <v>0.12</v>
      </c>
      <c r="DL13" s="228">
        <v>0.12</v>
      </c>
      <c r="DM13" s="228">
        <v>43.06</v>
      </c>
      <c r="DN13" s="228">
        <v>43.69</v>
      </c>
      <c r="DO13" s="228">
        <v>-0.63</v>
      </c>
      <c r="DP13" s="228">
        <v>-0.63</v>
      </c>
      <c r="DQ13" s="228">
        <v>0.61</v>
      </c>
      <c r="DR13" s="228">
        <v>0.68</v>
      </c>
      <c r="DS13" s="228">
        <v>-7.0000000000000007E-2</v>
      </c>
      <c r="DT13" s="229">
        <v>-0.10290000000000001</v>
      </c>
      <c r="DU13" s="228">
        <v>360</v>
      </c>
      <c r="DV13" s="228">
        <v>300</v>
      </c>
      <c r="DW13" s="228">
        <v>0.56000000000000005</v>
      </c>
      <c r="DX13" s="228">
        <v>0.57999999999999996</v>
      </c>
      <c r="DY13" s="228">
        <v>-0.02</v>
      </c>
      <c r="DZ13" s="229">
        <v>-3.4500000000000003E-2</v>
      </c>
      <c r="EA13" s="229">
        <v>2.8500000000000001E-2</v>
      </c>
      <c r="EB13" s="230">
        <v>592500</v>
      </c>
      <c r="EC13" s="229">
        <v>-1.6000000000000001E-3</v>
      </c>
      <c r="ED13" s="229">
        <v>2.8500000000000001E-2</v>
      </c>
      <c r="EE13" s="228">
        <v>-1.25</v>
      </c>
      <c r="EF13" s="229">
        <v>-4.0000000000000001E-3</v>
      </c>
      <c r="EG13" s="230">
        <v>2061071</v>
      </c>
      <c r="EH13" s="230">
        <v>1544545</v>
      </c>
      <c r="EI13" s="229">
        <v>0.33439999999999998</v>
      </c>
      <c r="EJ13" s="229">
        <v>0.38950000000000001</v>
      </c>
      <c r="EK13" s="228">
        <v>455.51</v>
      </c>
      <c r="EL13" s="228">
        <v>236.1</v>
      </c>
      <c r="EM13" s="228">
        <v>194.88</v>
      </c>
      <c r="EN13" s="228">
        <v>43.95</v>
      </c>
      <c r="EO13" s="228">
        <v>886.5</v>
      </c>
      <c r="EP13" s="228">
        <v>688.54</v>
      </c>
      <c r="EQ13" s="228">
        <v>197.96</v>
      </c>
      <c r="ER13" s="229">
        <v>0.28749999999999998</v>
      </c>
      <c r="ES13" s="228">
        <v>381.88</v>
      </c>
      <c r="ET13" s="228">
        <v>209.93</v>
      </c>
      <c r="EU13" s="228">
        <v>741.44</v>
      </c>
      <c r="EV13" s="231">
        <v>96940911</v>
      </c>
      <c r="EW13" s="231">
        <v>1333.25</v>
      </c>
      <c r="EX13" s="231">
        <v>1216.18</v>
      </c>
      <c r="EY13" s="228">
        <v>117.07</v>
      </c>
      <c r="EZ13" s="229">
        <v>9.6299999999999997E-2</v>
      </c>
      <c r="FA13" s="229">
        <v>0.44140000000000001</v>
      </c>
      <c r="FB13" s="227" t="s">
        <v>566</v>
      </c>
      <c r="FC13">
        <f t="shared" si="0"/>
        <v>21</v>
      </c>
    </row>
    <row r="14" spans="1:159" ht="17.25" thickBot="1" x14ac:dyDescent="0.3">
      <c r="A14" s="226">
        <v>46146</v>
      </c>
      <c r="B14" s="227" t="s">
        <v>227</v>
      </c>
      <c r="C14" s="227" t="s">
        <v>597</v>
      </c>
      <c r="D14" s="228">
        <v>350</v>
      </c>
      <c r="E14" s="228">
        <v>22</v>
      </c>
      <c r="F14" s="231">
        <v>1884.3</v>
      </c>
      <c r="G14" s="231">
        <v>1916.3</v>
      </c>
      <c r="H14" s="228">
        <v>-32</v>
      </c>
      <c r="I14" s="229">
        <v>-1.67E-2</v>
      </c>
      <c r="J14" s="231">
        <v>1873</v>
      </c>
      <c r="K14" s="231">
        <v>1905</v>
      </c>
      <c r="L14" s="228">
        <v>-32</v>
      </c>
      <c r="M14" s="229">
        <v>-1.6799999999999999E-2</v>
      </c>
      <c r="N14" s="231">
        <v>1884.3</v>
      </c>
      <c r="O14" s="231">
        <v>1916.3</v>
      </c>
      <c r="P14" s="228">
        <v>-32</v>
      </c>
      <c r="Q14" s="229">
        <v>-1.67E-2</v>
      </c>
      <c r="R14" s="231">
        <v>1896.7</v>
      </c>
      <c r="S14" s="231">
        <v>1931.7</v>
      </c>
      <c r="T14" s="228">
        <v>-35</v>
      </c>
      <c r="U14" s="229">
        <v>-1.8100000000000002E-2</v>
      </c>
      <c r="V14" s="231">
        <v>1907.2</v>
      </c>
      <c r="W14" s="231">
        <v>1943.2</v>
      </c>
      <c r="X14" s="228">
        <v>-36</v>
      </c>
      <c r="Y14" s="229">
        <v>-1.8499999999999999E-2</v>
      </c>
      <c r="Z14" s="228">
        <v>11.3</v>
      </c>
      <c r="AA14" s="228">
        <v>11.3</v>
      </c>
      <c r="AB14" s="228">
        <v>0</v>
      </c>
      <c r="AC14" s="229">
        <v>6.0000000000000001E-3</v>
      </c>
      <c r="AD14" s="228">
        <v>11.3</v>
      </c>
      <c r="AE14" s="228">
        <v>11.3</v>
      </c>
      <c r="AF14" s="228">
        <v>0</v>
      </c>
      <c r="AG14" s="229">
        <v>6.0000000000000001E-3</v>
      </c>
      <c r="AH14" s="228">
        <v>23.7</v>
      </c>
      <c r="AI14" s="228">
        <v>26.7</v>
      </c>
      <c r="AJ14" s="228">
        <v>-3</v>
      </c>
      <c r="AK14" s="229">
        <v>1.2699999999999999E-2</v>
      </c>
      <c r="AL14" s="228">
        <v>34.200000000000003</v>
      </c>
      <c r="AM14" s="228">
        <v>38.200000000000003</v>
      </c>
      <c r="AN14" s="228">
        <v>-4</v>
      </c>
      <c r="AO14" s="229">
        <v>1.83E-2</v>
      </c>
      <c r="AP14" s="231">
        <v>1889.6</v>
      </c>
      <c r="AQ14" s="231">
        <v>1899.22</v>
      </c>
      <c r="AR14" s="228">
        <v>0</v>
      </c>
      <c r="AS14" s="228">
        <v>462</v>
      </c>
      <c r="AT14" s="228">
        <v>159</v>
      </c>
      <c r="AU14" s="228">
        <v>303</v>
      </c>
      <c r="AV14" s="229">
        <v>1.9075</v>
      </c>
      <c r="AW14" s="228">
        <v>452</v>
      </c>
      <c r="AX14" s="228">
        <v>157</v>
      </c>
      <c r="AY14" s="228">
        <v>295</v>
      </c>
      <c r="AZ14" s="229">
        <v>1.8742000000000001</v>
      </c>
      <c r="BA14" s="228">
        <v>8</v>
      </c>
      <c r="BB14" s="228">
        <v>2</v>
      </c>
      <c r="BC14" s="228">
        <v>7</v>
      </c>
      <c r="BD14" s="229">
        <v>4.5651999999999999</v>
      </c>
      <c r="BE14" s="228">
        <v>2</v>
      </c>
      <c r="BF14" s="228">
        <v>0</v>
      </c>
      <c r="BG14" s="228">
        <v>2</v>
      </c>
      <c r="BH14" s="229">
        <v>8</v>
      </c>
      <c r="BI14" s="230">
        <v>1102</v>
      </c>
      <c r="BJ14" s="228">
        <v>220</v>
      </c>
      <c r="BK14" s="228">
        <v>882</v>
      </c>
      <c r="BL14" s="229">
        <v>4.0149999999999997</v>
      </c>
      <c r="BM14" s="228">
        <v>520</v>
      </c>
      <c r="BN14" s="228">
        <v>168</v>
      </c>
      <c r="BO14" s="228">
        <v>352</v>
      </c>
      <c r="BP14" s="229">
        <v>2.0958000000000001</v>
      </c>
      <c r="BQ14" s="230">
        <v>2084</v>
      </c>
      <c r="BR14" s="228">
        <v>547</v>
      </c>
      <c r="BS14" s="230">
        <v>1537</v>
      </c>
      <c r="BT14" s="229">
        <v>2.8126000000000002</v>
      </c>
      <c r="BU14" s="230">
        <v>2412876</v>
      </c>
      <c r="BV14" s="230">
        <v>759568</v>
      </c>
      <c r="BW14" s="230">
        <v>1653308</v>
      </c>
      <c r="BX14" s="229">
        <v>2.1766000000000001</v>
      </c>
      <c r="BY14" s="230">
        <v>1091</v>
      </c>
      <c r="BZ14" s="228">
        <v>975</v>
      </c>
      <c r="CA14" s="228">
        <v>116</v>
      </c>
      <c r="CB14" s="229">
        <v>0.1195</v>
      </c>
      <c r="CC14" s="228">
        <v>989</v>
      </c>
      <c r="CD14" s="228">
        <v>877</v>
      </c>
      <c r="CE14" s="228">
        <v>112</v>
      </c>
      <c r="CF14" s="229">
        <v>0.1273</v>
      </c>
      <c r="CG14" s="228">
        <v>100</v>
      </c>
      <c r="CH14" s="228">
        <v>97</v>
      </c>
      <c r="CI14" s="228">
        <v>3</v>
      </c>
      <c r="CJ14" s="229">
        <v>3.4099999999999998E-2</v>
      </c>
      <c r="CK14" s="228">
        <v>2</v>
      </c>
      <c r="CL14" s="228">
        <v>0</v>
      </c>
      <c r="CM14" s="228">
        <v>2</v>
      </c>
      <c r="CN14" s="229">
        <v>3.2856999999999998</v>
      </c>
      <c r="CO14" s="228">
        <v>300</v>
      </c>
      <c r="CP14" s="228">
        <v>153</v>
      </c>
      <c r="CQ14" s="228">
        <v>147</v>
      </c>
      <c r="CR14" s="229">
        <v>0.95950000000000002</v>
      </c>
      <c r="CS14" s="228">
        <v>170</v>
      </c>
      <c r="CT14" s="228">
        <v>117</v>
      </c>
      <c r="CU14" s="228">
        <v>53</v>
      </c>
      <c r="CV14" s="229">
        <v>0.45710000000000001</v>
      </c>
      <c r="CW14" s="230">
        <v>1561</v>
      </c>
      <c r="CX14" s="230">
        <v>1244</v>
      </c>
      <c r="CY14" s="228">
        <v>317</v>
      </c>
      <c r="CZ14" s="229">
        <v>0.2545</v>
      </c>
      <c r="DA14" s="228">
        <v>31.3</v>
      </c>
      <c r="DB14" s="228">
        <v>34.82</v>
      </c>
      <c r="DC14" s="228">
        <v>-3.52</v>
      </c>
      <c r="DD14" s="228">
        <v>-3.52</v>
      </c>
      <c r="DE14" s="228">
        <v>36.270000000000003</v>
      </c>
      <c r="DF14" s="228">
        <v>36.29</v>
      </c>
      <c r="DG14" s="228">
        <v>-4.97</v>
      </c>
      <c r="DH14" s="228">
        <v>-0.02</v>
      </c>
      <c r="DI14" s="228">
        <v>31.46</v>
      </c>
      <c r="DJ14" s="228">
        <v>35.24</v>
      </c>
      <c r="DK14" s="228">
        <v>-3.78</v>
      </c>
      <c r="DL14" s="228">
        <v>-3.78</v>
      </c>
      <c r="DM14" s="228">
        <v>30.95</v>
      </c>
      <c r="DN14" s="228">
        <v>34.26</v>
      </c>
      <c r="DO14" s="228">
        <v>-3.31</v>
      </c>
      <c r="DP14" s="228">
        <v>-3.31</v>
      </c>
      <c r="DQ14" s="228">
        <v>0.56999999999999995</v>
      </c>
      <c r="DR14" s="228">
        <v>0.76</v>
      </c>
      <c r="DS14" s="228">
        <v>-0.19</v>
      </c>
      <c r="DT14" s="229">
        <v>-0.25</v>
      </c>
      <c r="DU14" s="231">
        <v>2000</v>
      </c>
      <c r="DV14" s="231">
        <v>1800</v>
      </c>
      <c r="DW14" s="228">
        <v>0.47</v>
      </c>
      <c r="DX14" s="228">
        <v>0.76</v>
      </c>
      <c r="DY14" s="228">
        <v>-0.28999999999999998</v>
      </c>
      <c r="DZ14" s="229">
        <v>-0.38159999999999999</v>
      </c>
      <c r="EA14" s="229">
        <v>9.35E-2</v>
      </c>
      <c r="EB14" s="230">
        <v>515900</v>
      </c>
      <c r="EC14" s="229">
        <v>6.6E-3</v>
      </c>
      <c r="ED14" s="229">
        <v>9.35E-2</v>
      </c>
      <c r="EE14" s="228">
        <v>9.6199999999999992</v>
      </c>
      <c r="EF14" s="229">
        <v>5.1000000000000004E-3</v>
      </c>
      <c r="EG14" s="230">
        <v>1136168</v>
      </c>
      <c r="EH14" s="230">
        <v>399579</v>
      </c>
      <c r="EI14" s="229">
        <v>1.8433999999999999</v>
      </c>
      <c r="EJ14" s="229">
        <v>0.47089999999999999</v>
      </c>
      <c r="EK14" s="231">
        <v>1175.49</v>
      </c>
      <c r="EL14" s="228">
        <v>523.05999999999995</v>
      </c>
      <c r="EM14" s="228">
        <v>463.48</v>
      </c>
      <c r="EN14" s="228">
        <v>38.729999999999997</v>
      </c>
      <c r="EO14" s="231">
        <v>2162.0300000000002</v>
      </c>
      <c r="EP14" s="228">
        <v>576.98</v>
      </c>
      <c r="EQ14" s="231">
        <v>1585.05</v>
      </c>
      <c r="ER14" s="229">
        <v>2.7471999999999999</v>
      </c>
      <c r="ES14" s="228">
        <v>322.8</v>
      </c>
      <c r="ET14" s="228">
        <v>170.81</v>
      </c>
      <c r="EU14" s="231">
        <v>1091.7</v>
      </c>
      <c r="EV14" s="231">
        <v>29871221</v>
      </c>
      <c r="EW14" s="231">
        <v>1585.31</v>
      </c>
      <c r="EX14" s="231">
        <v>1278.5899999999999</v>
      </c>
      <c r="EY14" s="228">
        <v>306.72000000000003</v>
      </c>
      <c r="EZ14" s="229">
        <v>0.2399</v>
      </c>
      <c r="FA14" s="229">
        <v>0.27739999999999998</v>
      </c>
      <c r="FB14" s="227" t="s">
        <v>566</v>
      </c>
      <c r="FC14">
        <f t="shared" si="0"/>
        <v>102</v>
      </c>
    </row>
    <row r="15" spans="1:159" ht="17.25" thickBot="1" x14ac:dyDescent="0.3">
      <c r="A15" s="226">
        <v>46146</v>
      </c>
      <c r="B15" s="227" t="s">
        <v>170</v>
      </c>
      <c r="C15" s="227" t="s">
        <v>165</v>
      </c>
      <c r="D15" s="228">
        <v>125</v>
      </c>
      <c r="E15" s="228">
        <v>22</v>
      </c>
      <c r="F15" s="231">
        <v>7780</v>
      </c>
      <c r="G15" s="231">
        <v>7679.5</v>
      </c>
      <c r="H15" s="228">
        <v>100.5</v>
      </c>
      <c r="I15" s="229">
        <v>1.3100000000000001E-2</v>
      </c>
      <c r="J15" s="231">
        <v>7737.5</v>
      </c>
      <c r="K15" s="231">
        <v>7636.5</v>
      </c>
      <c r="L15" s="228">
        <v>101</v>
      </c>
      <c r="M15" s="229">
        <v>1.32E-2</v>
      </c>
      <c r="N15" s="231">
        <v>7780</v>
      </c>
      <c r="O15" s="231">
        <v>7679.5</v>
      </c>
      <c r="P15" s="228">
        <v>100.5</v>
      </c>
      <c r="Q15" s="229">
        <v>1.3100000000000001E-2</v>
      </c>
      <c r="R15" s="231">
        <v>7833.5</v>
      </c>
      <c r="S15" s="231">
        <v>7727</v>
      </c>
      <c r="T15" s="228">
        <v>106.5</v>
      </c>
      <c r="U15" s="229">
        <v>1.38E-2</v>
      </c>
      <c r="V15" s="231">
        <v>7865.5</v>
      </c>
      <c r="W15" s="231">
        <v>7768</v>
      </c>
      <c r="X15" s="228">
        <v>97.5</v>
      </c>
      <c r="Y15" s="229">
        <v>1.26E-2</v>
      </c>
      <c r="Z15" s="228">
        <v>42.5</v>
      </c>
      <c r="AA15" s="228">
        <v>43</v>
      </c>
      <c r="AB15" s="228">
        <v>-0.5</v>
      </c>
      <c r="AC15" s="229">
        <v>5.4999999999999997E-3</v>
      </c>
      <c r="AD15" s="228">
        <v>42.5</v>
      </c>
      <c r="AE15" s="228">
        <v>43</v>
      </c>
      <c r="AF15" s="228">
        <v>-0.5</v>
      </c>
      <c r="AG15" s="229">
        <v>5.4999999999999997E-3</v>
      </c>
      <c r="AH15" s="228">
        <v>96</v>
      </c>
      <c r="AI15" s="228">
        <v>90.5</v>
      </c>
      <c r="AJ15" s="228">
        <v>5.5</v>
      </c>
      <c r="AK15" s="229">
        <v>1.24E-2</v>
      </c>
      <c r="AL15" s="228">
        <v>128</v>
      </c>
      <c r="AM15" s="228">
        <v>131.5</v>
      </c>
      <c r="AN15" s="228">
        <v>-3.5</v>
      </c>
      <c r="AO15" s="229">
        <v>1.6500000000000001E-2</v>
      </c>
      <c r="AP15" s="231">
        <v>7785.63</v>
      </c>
      <c r="AQ15" s="231">
        <v>7836.9</v>
      </c>
      <c r="AR15" s="228">
        <v>0</v>
      </c>
      <c r="AS15" s="228">
        <v>174</v>
      </c>
      <c r="AT15" s="228">
        <v>203</v>
      </c>
      <c r="AU15" s="228">
        <v>-29</v>
      </c>
      <c r="AV15" s="229">
        <v>-0.14360000000000001</v>
      </c>
      <c r="AW15" s="228">
        <v>164</v>
      </c>
      <c r="AX15" s="228">
        <v>193</v>
      </c>
      <c r="AY15" s="228">
        <v>-29</v>
      </c>
      <c r="AZ15" s="229">
        <v>-0.14940000000000001</v>
      </c>
      <c r="BA15" s="228">
        <v>9</v>
      </c>
      <c r="BB15" s="228">
        <v>9</v>
      </c>
      <c r="BC15" s="228">
        <v>0</v>
      </c>
      <c r="BD15" s="229">
        <v>-2.1100000000000001E-2</v>
      </c>
      <c r="BE15" s="228">
        <v>0</v>
      </c>
      <c r="BF15" s="228">
        <v>1</v>
      </c>
      <c r="BG15" s="228">
        <v>0</v>
      </c>
      <c r="BH15" s="229">
        <v>-0.16669999999999999</v>
      </c>
      <c r="BI15" s="228">
        <v>592</v>
      </c>
      <c r="BJ15" s="228">
        <v>491</v>
      </c>
      <c r="BK15" s="228">
        <v>101</v>
      </c>
      <c r="BL15" s="229">
        <v>0.20669999999999999</v>
      </c>
      <c r="BM15" s="228">
        <v>368</v>
      </c>
      <c r="BN15" s="228">
        <v>401</v>
      </c>
      <c r="BO15" s="228">
        <v>-33</v>
      </c>
      <c r="BP15" s="229">
        <v>-8.1299999999999997E-2</v>
      </c>
      <c r="BQ15" s="230">
        <v>1135</v>
      </c>
      <c r="BR15" s="230">
        <v>1095</v>
      </c>
      <c r="BS15" s="228">
        <v>40</v>
      </c>
      <c r="BT15" s="229">
        <v>3.6200000000000003E-2</v>
      </c>
      <c r="BU15" s="230">
        <v>341517</v>
      </c>
      <c r="BV15" s="230">
        <v>402780</v>
      </c>
      <c r="BW15" s="230">
        <v>-61263</v>
      </c>
      <c r="BX15" s="229">
        <v>-0.15210000000000001</v>
      </c>
      <c r="BY15" s="230">
        <v>1573</v>
      </c>
      <c r="BZ15" s="230">
        <v>1565</v>
      </c>
      <c r="CA15" s="228">
        <v>8</v>
      </c>
      <c r="CB15" s="229">
        <v>5.1999999999999998E-3</v>
      </c>
      <c r="CC15" s="230">
        <v>1438</v>
      </c>
      <c r="CD15" s="230">
        <v>1434</v>
      </c>
      <c r="CE15" s="228">
        <v>4</v>
      </c>
      <c r="CF15" s="229">
        <v>3.0999999999999999E-3</v>
      </c>
      <c r="CG15" s="228">
        <v>132</v>
      </c>
      <c r="CH15" s="228">
        <v>129</v>
      </c>
      <c r="CI15" s="228">
        <v>3</v>
      </c>
      <c r="CJ15" s="229">
        <v>2.5600000000000001E-2</v>
      </c>
      <c r="CK15" s="228">
        <v>3</v>
      </c>
      <c r="CL15" s="228">
        <v>2</v>
      </c>
      <c r="CM15" s="228">
        <v>0</v>
      </c>
      <c r="CN15" s="229">
        <v>0.125</v>
      </c>
      <c r="CO15" s="228">
        <v>502</v>
      </c>
      <c r="CP15" s="228">
        <v>435</v>
      </c>
      <c r="CQ15" s="228">
        <v>66</v>
      </c>
      <c r="CR15" s="229">
        <v>0.15260000000000001</v>
      </c>
      <c r="CS15" s="228">
        <v>324</v>
      </c>
      <c r="CT15" s="228">
        <v>284</v>
      </c>
      <c r="CU15" s="228">
        <v>40</v>
      </c>
      <c r="CV15" s="229">
        <v>0.14069999999999999</v>
      </c>
      <c r="CW15" s="230">
        <v>2399</v>
      </c>
      <c r="CX15" s="230">
        <v>2284</v>
      </c>
      <c r="CY15" s="228">
        <v>114</v>
      </c>
      <c r="CZ15" s="229">
        <v>5.0099999999999999E-2</v>
      </c>
      <c r="DA15" s="228">
        <v>26.86</v>
      </c>
      <c r="DB15" s="228">
        <v>26.3</v>
      </c>
      <c r="DC15" s="228">
        <v>0.56000000000000005</v>
      </c>
      <c r="DD15" s="228">
        <v>0.56000000000000005</v>
      </c>
      <c r="DE15" s="228">
        <v>24.99</v>
      </c>
      <c r="DF15" s="228">
        <v>24.99</v>
      </c>
      <c r="DG15" s="228">
        <v>1.87</v>
      </c>
      <c r="DH15" s="228">
        <v>0</v>
      </c>
      <c r="DI15" s="228">
        <v>26.67</v>
      </c>
      <c r="DJ15" s="228">
        <v>26.13</v>
      </c>
      <c r="DK15" s="228">
        <v>0.54</v>
      </c>
      <c r="DL15" s="228">
        <v>0.54</v>
      </c>
      <c r="DM15" s="228">
        <v>27.18</v>
      </c>
      <c r="DN15" s="228">
        <v>26.51</v>
      </c>
      <c r="DO15" s="228">
        <v>0.67</v>
      </c>
      <c r="DP15" s="228">
        <v>0.67</v>
      </c>
      <c r="DQ15" s="228">
        <v>0.65</v>
      </c>
      <c r="DR15" s="228">
        <v>0.65</v>
      </c>
      <c r="DS15" s="228">
        <v>0</v>
      </c>
      <c r="DT15" s="229">
        <v>0</v>
      </c>
      <c r="DU15" s="231">
        <v>7800</v>
      </c>
      <c r="DV15" s="231">
        <v>7000</v>
      </c>
      <c r="DW15" s="228">
        <v>0.62</v>
      </c>
      <c r="DX15" s="228">
        <v>0.82</v>
      </c>
      <c r="DY15" s="228">
        <v>-0.2</v>
      </c>
      <c r="DZ15" s="229">
        <v>-0.24390000000000001</v>
      </c>
      <c r="EA15" s="229">
        <v>8.5699999999999998E-2</v>
      </c>
      <c r="EB15" s="230">
        <v>168750</v>
      </c>
      <c r="EC15" s="229">
        <v>6.8999999999999999E-3</v>
      </c>
      <c r="ED15" s="229">
        <v>8.5699999999999998E-2</v>
      </c>
      <c r="EE15" s="228">
        <v>51.27</v>
      </c>
      <c r="EF15" s="229">
        <v>6.6E-3</v>
      </c>
      <c r="EG15" s="230">
        <v>215511</v>
      </c>
      <c r="EH15" s="230">
        <v>265029</v>
      </c>
      <c r="EI15" s="229">
        <v>-0.18679999999999999</v>
      </c>
      <c r="EJ15" s="229">
        <v>0.63100000000000001</v>
      </c>
      <c r="EK15" s="228">
        <v>622.04999999999995</v>
      </c>
      <c r="EL15" s="228">
        <v>353.29</v>
      </c>
      <c r="EM15" s="228">
        <v>174.17</v>
      </c>
      <c r="EN15" s="228">
        <v>47.97</v>
      </c>
      <c r="EO15" s="231">
        <v>1149.51</v>
      </c>
      <c r="EP15" s="231">
        <v>1089.4100000000001</v>
      </c>
      <c r="EQ15" s="228">
        <v>60.1</v>
      </c>
      <c r="ER15" s="229">
        <v>5.5199999999999999E-2</v>
      </c>
      <c r="ES15" s="228">
        <v>521.28</v>
      </c>
      <c r="ET15" s="228">
        <v>305.83</v>
      </c>
      <c r="EU15" s="231">
        <v>1574.05</v>
      </c>
      <c r="EV15" s="231">
        <v>15524629</v>
      </c>
      <c r="EW15" s="231">
        <v>2401.16</v>
      </c>
      <c r="EX15" s="231">
        <v>2263.5</v>
      </c>
      <c r="EY15" s="228">
        <v>137.66</v>
      </c>
      <c r="EZ15" s="229">
        <v>6.08E-2</v>
      </c>
      <c r="FA15" s="229">
        <v>0.1986</v>
      </c>
      <c r="FB15" s="227" t="s">
        <v>555</v>
      </c>
      <c r="FC15">
        <f t="shared" si="0"/>
        <v>135</v>
      </c>
    </row>
    <row r="16" spans="1:159" ht="17.25" thickBot="1" x14ac:dyDescent="0.3">
      <c r="A16" s="226">
        <v>46146</v>
      </c>
      <c r="B16" s="227" t="s">
        <v>162</v>
      </c>
      <c r="C16" s="227" t="s">
        <v>167</v>
      </c>
      <c r="D16" s="228">
        <v>5000</v>
      </c>
      <c r="E16" s="228">
        <v>22</v>
      </c>
      <c r="F16" s="228">
        <v>160.62</v>
      </c>
      <c r="G16" s="228">
        <v>162.44999999999999</v>
      </c>
      <c r="H16" s="228">
        <v>-1.83</v>
      </c>
      <c r="I16" s="229">
        <v>-1.1299999999999999E-2</v>
      </c>
      <c r="J16" s="228">
        <v>160.77000000000001</v>
      </c>
      <c r="K16" s="228">
        <v>162.09</v>
      </c>
      <c r="L16" s="228">
        <v>-1.32</v>
      </c>
      <c r="M16" s="229">
        <v>-8.0999999999999996E-3</v>
      </c>
      <c r="N16" s="228">
        <v>160.62</v>
      </c>
      <c r="O16" s="228">
        <v>162.44999999999999</v>
      </c>
      <c r="P16" s="228">
        <v>-1.83</v>
      </c>
      <c r="Q16" s="229">
        <v>-1.1299999999999999E-2</v>
      </c>
      <c r="R16" s="228">
        <v>159.86000000000001</v>
      </c>
      <c r="S16" s="228">
        <v>161.87</v>
      </c>
      <c r="T16" s="228">
        <v>-2.0099999999999998</v>
      </c>
      <c r="U16" s="229">
        <v>-1.24E-2</v>
      </c>
      <c r="V16" s="228">
        <v>159.35</v>
      </c>
      <c r="W16" s="228">
        <v>161.51</v>
      </c>
      <c r="X16" s="228">
        <v>-2.16</v>
      </c>
      <c r="Y16" s="229">
        <v>-1.34E-2</v>
      </c>
      <c r="Z16" s="228">
        <v>-0.15</v>
      </c>
      <c r="AA16" s="228">
        <v>0.36</v>
      </c>
      <c r="AB16" s="228">
        <v>-0.51</v>
      </c>
      <c r="AC16" s="229">
        <v>-8.9999999999999998E-4</v>
      </c>
      <c r="AD16" s="228">
        <v>-0.15</v>
      </c>
      <c r="AE16" s="228">
        <v>0.36</v>
      </c>
      <c r="AF16" s="228">
        <v>-0.51</v>
      </c>
      <c r="AG16" s="229">
        <v>-8.9999999999999998E-4</v>
      </c>
      <c r="AH16" s="228">
        <v>-0.91</v>
      </c>
      <c r="AI16" s="228">
        <v>-0.22</v>
      </c>
      <c r="AJ16" s="228">
        <v>-0.69</v>
      </c>
      <c r="AK16" s="229">
        <v>-5.7000000000000002E-3</v>
      </c>
      <c r="AL16" s="228">
        <v>-1.42</v>
      </c>
      <c r="AM16" s="228">
        <v>-0.57999999999999996</v>
      </c>
      <c r="AN16" s="228">
        <v>-0.84</v>
      </c>
      <c r="AO16" s="229">
        <v>-8.8000000000000005E-3</v>
      </c>
      <c r="AP16" s="228">
        <v>160.91999999999999</v>
      </c>
      <c r="AQ16" s="228">
        <v>160.35</v>
      </c>
      <c r="AR16" s="228">
        <v>0</v>
      </c>
      <c r="AS16" s="228">
        <v>525</v>
      </c>
      <c r="AT16" s="228">
        <v>486</v>
      </c>
      <c r="AU16" s="228">
        <v>39</v>
      </c>
      <c r="AV16" s="229">
        <v>8.0500000000000002E-2</v>
      </c>
      <c r="AW16" s="228">
        <v>478</v>
      </c>
      <c r="AX16" s="228">
        <v>434</v>
      </c>
      <c r="AY16" s="228">
        <v>43</v>
      </c>
      <c r="AZ16" s="229">
        <v>0.10009999999999999</v>
      </c>
      <c r="BA16" s="228">
        <v>41</v>
      </c>
      <c r="BB16" s="228">
        <v>44</v>
      </c>
      <c r="BC16" s="228">
        <v>-3</v>
      </c>
      <c r="BD16" s="229">
        <v>-6.4199999999999993E-2</v>
      </c>
      <c r="BE16" s="228">
        <v>6</v>
      </c>
      <c r="BF16" s="228">
        <v>8</v>
      </c>
      <c r="BG16" s="228">
        <v>-2</v>
      </c>
      <c r="BH16" s="229">
        <v>-0.2021</v>
      </c>
      <c r="BI16" s="230">
        <v>1086</v>
      </c>
      <c r="BJ16" s="230">
        <v>1118</v>
      </c>
      <c r="BK16" s="228">
        <v>-32</v>
      </c>
      <c r="BL16" s="229">
        <v>-2.9000000000000001E-2</v>
      </c>
      <c r="BM16" s="228">
        <v>464</v>
      </c>
      <c r="BN16" s="228">
        <v>521</v>
      </c>
      <c r="BO16" s="228">
        <v>-57</v>
      </c>
      <c r="BP16" s="229">
        <v>-0.10979999999999999</v>
      </c>
      <c r="BQ16" s="230">
        <v>2074</v>
      </c>
      <c r="BR16" s="230">
        <v>2125</v>
      </c>
      <c r="BS16" s="228">
        <v>-51</v>
      </c>
      <c r="BT16" s="229">
        <v>-2.3800000000000002E-2</v>
      </c>
      <c r="BU16" s="230">
        <v>20376182</v>
      </c>
      <c r="BV16" s="230">
        <v>22828305</v>
      </c>
      <c r="BW16" s="230">
        <v>-2452123</v>
      </c>
      <c r="BX16" s="229">
        <v>-0.1074</v>
      </c>
      <c r="BY16" s="230">
        <v>2207</v>
      </c>
      <c r="BZ16" s="230">
        <v>2159</v>
      </c>
      <c r="CA16" s="228">
        <v>48</v>
      </c>
      <c r="CB16" s="229">
        <v>2.23E-2</v>
      </c>
      <c r="CC16" s="230">
        <v>2066</v>
      </c>
      <c r="CD16" s="230">
        <v>2037</v>
      </c>
      <c r="CE16" s="228">
        <v>29</v>
      </c>
      <c r="CF16" s="229">
        <v>1.4E-2</v>
      </c>
      <c r="CG16" s="228">
        <v>127</v>
      </c>
      <c r="CH16" s="228">
        <v>111</v>
      </c>
      <c r="CI16" s="228">
        <v>16</v>
      </c>
      <c r="CJ16" s="229">
        <v>0.14649999999999999</v>
      </c>
      <c r="CK16" s="228">
        <v>14</v>
      </c>
      <c r="CL16" s="228">
        <v>11</v>
      </c>
      <c r="CM16" s="228">
        <v>3</v>
      </c>
      <c r="CN16" s="229">
        <v>0.30430000000000001</v>
      </c>
      <c r="CO16" s="230">
        <v>1292</v>
      </c>
      <c r="CP16" s="230">
        <v>1136</v>
      </c>
      <c r="CQ16" s="228">
        <v>155</v>
      </c>
      <c r="CR16" s="229">
        <v>0.1366</v>
      </c>
      <c r="CS16" s="228">
        <v>774</v>
      </c>
      <c r="CT16" s="228">
        <v>734</v>
      </c>
      <c r="CU16" s="228">
        <v>40</v>
      </c>
      <c r="CV16" s="229">
        <v>5.3900000000000003E-2</v>
      </c>
      <c r="CW16" s="230">
        <v>4272</v>
      </c>
      <c r="CX16" s="230">
        <v>4029</v>
      </c>
      <c r="CY16" s="228">
        <v>243</v>
      </c>
      <c r="CZ16" s="229">
        <v>6.0299999999999999E-2</v>
      </c>
      <c r="DA16" s="228">
        <v>44.1</v>
      </c>
      <c r="DB16" s="228">
        <v>43.19</v>
      </c>
      <c r="DC16" s="228">
        <v>0.91</v>
      </c>
      <c r="DD16" s="228">
        <v>0.91</v>
      </c>
      <c r="DE16" s="228">
        <v>42.25</v>
      </c>
      <c r="DF16" s="228">
        <v>42.34</v>
      </c>
      <c r="DG16" s="228">
        <v>1.85</v>
      </c>
      <c r="DH16" s="228">
        <v>-0.09</v>
      </c>
      <c r="DI16" s="228">
        <v>44.7</v>
      </c>
      <c r="DJ16" s="228">
        <v>43.42</v>
      </c>
      <c r="DK16" s="228">
        <v>1.28</v>
      </c>
      <c r="DL16" s="228">
        <v>1.28</v>
      </c>
      <c r="DM16" s="228">
        <v>42.7</v>
      </c>
      <c r="DN16" s="228">
        <v>42.71</v>
      </c>
      <c r="DO16" s="228">
        <v>-0.01</v>
      </c>
      <c r="DP16" s="228">
        <v>-0.01</v>
      </c>
      <c r="DQ16" s="228">
        <v>0.6</v>
      </c>
      <c r="DR16" s="228">
        <v>0.65</v>
      </c>
      <c r="DS16" s="228">
        <v>-0.05</v>
      </c>
      <c r="DT16" s="229">
        <v>-7.6899999999999996E-2</v>
      </c>
      <c r="DU16" s="228">
        <v>180</v>
      </c>
      <c r="DV16" s="228">
        <v>160</v>
      </c>
      <c r="DW16" s="228">
        <v>0.43</v>
      </c>
      <c r="DX16" s="228">
        <v>0.47</v>
      </c>
      <c r="DY16" s="228">
        <v>-0.04</v>
      </c>
      <c r="DZ16" s="229">
        <v>-8.5099999999999995E-2</v>
      </c>
      <c r="EA16" s="229">
        <v>6.4100000000000004E-2</v>
      </c>
      <c r="EB16" s="230">
        <v>7585000</v>
      </c>
      <c r="EC16" s="229">
        <v>-4.7000000000000002E-3</v>
      </c>
      <c r="ED16" s="229">
        <v>6.4100000000000004E-2</v>
      </c>
      <c r="EE16" s="228">
        <v>-0.56999999999999995</v>
      </c>
      <c r="EF16" s="229">
        <v>-3.5000000000000001E-3</v>
      </c>
      <c r="EG16" s="230">
        <v>7824285</v>
      </c>
      <c r="EH16" s="230">
        <v>11716111</v>
      </c>
      <c r="EI16" s="229">
        <v>-0.3322</v>
      </c>
      <c r="EJ16" s="229">
        <v>0.38400000000000001</v>
      </c>
      <c r="EK16" s="231">
        <v>1216.19</v>
      </c>
      <c r="EL16" s="228">
        <v>467.62</v>
      </c>
      <c r="EM16" s="228">
        <v>525.44000000000005</v>
      </c>
      <c r="EN16" s="228">
        <v>119.33</v>
      </c>
      <c r="EO16" s="231">
        <v>2209.25</v>
      </c>
      <c r="EP16" s="231">
        <v>2282.15</v>
      </c>
      <c r="EQ16" s="228">
        <v>-72.900000000000006</v>
      </c>
      <c r="ER16" s="229">
        <v>-3.1899999999999998E-2</v>
      </c>
      <c r="ES16" s="231">
        <v>1475.17</v>
      </c>
      <c r="ET16" s="228">
        <v>804.96</v>
      </c>
      <c r="EU16" s="231">
        <v>2206.52</v>
      </c>
      <c r="EV16" s="231">
        <v>423779104</v>
      </c>
      <c r="EW16" s="231">
        <v>4486.66</v>
      </c>
      <c r="EX16" s="231">
        <v>4256.41</v>
      </c>
      <c r="EY16" s="228">
        <v>230.25</v>
      </c>
      <c r="EZ16" s="229">
        <v>5.4100000000000002E-2</v>
      </c>
      <c r="FA16" s="229">
        <v>0.62770000000000004</v>
      </c>
      <c r="FB16" s="227" t="s">
        <v>566</v>
      </c>
      <c r="FC16">
        <f t="shared" si="0"/>
        <v>141</v>
      </c>
    </row>
    <row r="17" spans="1:159" ht="17.25" thickBot="1" x14ac:dyDescent="0.3">
      <c r="A17" s="226">
        <v>46146</v>
      </c>
      <c r="B17" s="227" t="s">
        <v>168</v>
      </c>
      <c r="C17" s="227" t="s">
        <v>169</v>
      </c>
      <c r="D17" s="228">
        <v>250</v>
      </c>
      <c r="E17" s="228">
        <v>22</v>
      </c>
      <c r="F17" s="231">
        <v>2461.9</v>
      </c>
      <c r="G17" s="231">
        <v>2457.1999999999998</v>
      </c>
      <c r="H17" s="228">
        <v>4.7</v>
      </c>
      <c r="I17" s="229">
        <v>1.9E-3</v>
      </c>
      <c r="J17" s="231">
        <v>2448.1</v>
      </c>
      <c r="K17" s="231">
        <v>2444.5</v>
      </c>
      <c r="L17" s="228">
        <v>3.6</v>
      </c>
      <c r="M17" s="229">
        <v>1.5E-3</v>
      </c>
      <c r="N17" s="231">
        <v>2461.9</v>
      </c>
      <c r="O17" s="231">
        <v>2457.1999999999998</v>
      </c>
      <c r="P17" s="228">
        <v>4.7</v>
      </c>
      <c r="Q17" s="229">
        <v>1.9E-3</v>
      </c>
      <c r="R17" s="231">
        <v>2460.5</v>
      </c>
      <c r="S17" s="231">
        <v>2453.4</v>
      </c>
      <c r="T17" s="228">
        <v>7.1</v>
      </c>
      <c r="U17" s="229">
        <v>2.8999999999999998E-3</v>
      </c>
      <c r="V17" s="231">
        <v>2481.8000000000002</v>
      </c>
      <c r="W17" s="231">
        <v>2461.5</v>
      </c>
      <c r="X17" s="228">
        <v>20.3</v>
      </c>
      <c r="Y17" s="229">
        <v>8.2000000000000007E-3</v>
      </c>
      <c r="Z17" s="228">
        <v>13.8</v>
      </c>
      <c r="AA17" s="228">
        <v>12.7</v>
      </c>
      <c r="AB17" s="228">
        <v>1.1000000000000001</v>
      </c>
      <c r="AC17" s="229">
        <v>5.5999999999999999E-3</v>
      </c>
      <c r="AD17" s="228">
        <v>13.8</v>
      </c>
      <c r="AE17" s="228">
        <v>12.7</v>
      </c>
      <c r="AF17" s="228">
        <v>1.1000000000000001</v>
      </c>
      <c r="AG17" s="229">
        <v>5.5999999999999999E-3</v>
      </c>
      <c r="AH17" s="228">
        <v>12.4</v>
      </c>
      <c r="AI17" s="228">
        <v>8.9</v>
      </c>
      <c r="AJ17" s="228">
        <v>3.5</v>
      </c>
      <c r="AK17" s="229">
        <v>5.1000000000000004E-3</v>
      </c>
      <c r="AL17" s="228">
        <v>33.700000000000003</v>
      </c>
      <c r="AM17" s="228">
        <v>17</v>
      </c>
      <c r="AN17" s="228">
        <v>16.7</v>
      </c>
      <c r="AO17" s="229">
        <v>1.38E-2</v>
      </c>
      <c r="AP17" s="231">
        <v>2487.13</v>
      </c>
      <c r="AQ17" s="231">
        <v>2479.36</v>
      </c>
      <c r="AR17" s="228">
        <v>0</v>
      </c>
      <c r="AS17" s="228">
        <v>292</v>
      </c>
      <c r="AT17" s="228">
        <v>439</v>
      </c>
      <c r="AU17" s="228">
        <v>-146</v>
      </c>
      <c r="AV17" s="229">
        <v>-0.33310000000000001</v>
      </c>
      <c r="AW17" s="228">
        <v>273</v>
      </c>
      <c r="AX17" s="228">
        <v>425</v>
      </c>
      <c r="AY17" s="228">
        <v>-151</v>
      </c>
      <c r="AZ17" s="229">
        <v>-0.35639999999999999</v>
      </c>
      <c r="BA17" s="228">
        <v>18</v>
      </c>
      <c r="BB17" s="228">
        <v>10</v>
      </c>
      <c r="BC17" s="228">
        <v>7</v>
      </c>
      <c r="BD17" s="229">
        <v>0.70409999999999995</v>
      </c>
      <c r="BE17" s="228">
        <v>1</v>
      </c>
      <c r="BF17" s="228">
        <v>3</v>
      </c>
      <c r="BG17" s="228">
        <v>-2</v>
      </c>
      <c r="BH17" s="229">
        <v>-0.58930000000000005</v>
      </c>
      <c r="BI17" s="230">
        <v>1505</v>
      </c>
      <c r="BJ17" s="228">
        <v>894</v>
      </c>
      <c r="BK17" s="228">
        <v>611</v>
      </c>
      <c r="BL17" s="229">
        <v>0.68369999999999997</v>
      </c>
      <c r="BM17" s="228">
        <v>971</v>
      </c>
      <c r="BN17" s="228">
        <v>985</v>
      </c>
      <c r="BO17" s="228">
        <v>-15</v>
      </c>
      <c r="BP17" s="229">
        <v>-1.4800000000000001E-2</v>
      </c>
      <c r="BQ17" s="230">
        <v>2768</v>
      </c>
      <c r="BR17" s="230">
        <v>2318</v>
      </c>
      <c r="BS17" s="228">
        <v>451</v>
      </c>
      <c r="BT17" s="229">
        <v>0.19439999999999999</v>
      </c>
      <c r="BU17" s="230">
        <v>623591</v>
      </c>
      <c r="BV17" s="230">
        <v>881697</v>
      </c>
      <c r="BW17" s="230">
        <v>-258106</v>
      </c>
      <c r="BX17" s="229">
        <v>-0.29270000000000002</v>
      </c>
      <c r="BY17" s="230">
        <v>3499</v>
      </c>
      <c r="BZ17" s="230">
        <v>3424</v>
      </c>
      <c r="CA17" s="228">
        <v>75</v>
      </c>
      <c r="CB17" s="229">
        <v>2.1899999999999999E-2</v>
      </c>
      <c r="CC17" s="230">
        <v>3213</v>
      </c>
      <c r="CD17" s="230">
        <v>3148</v>
      </c>
      <c r="CE17" s="228">
        <v>65</v>
      </c>
      <c r="CF17" s="229">
        <v>2.0500000000000001E-2</v>
      </c>
      <c r="CG17" s="228">
        <v>281</v>
      </c>
      <c r="CH17" s="228">
        <v>272</v>
      </c>
      <c r="CI17" s="228">
        <v>9</v>
      </c>
      <c r="CJ17" s="229">
        <v>3.44E-2</v>
      </c>
      <c r="CK17" s="228">
        <v>4</v>
      </c>
      <c r="CL17" s="228">
        <v>3</v>
      </c>
      <c r="CM17" s="228">
        <v>1</v>
      </c>
      <c r="CN17" s="229">
        <v>0.30909999999999999</v>
      </c>
      <c r="CO17" s="228">
        <v>922</v>
      </c>
      <c r="CP17" s="228">
        <v>649</v>
      </c>
      <c r="CQ17" s="228">
        <v>273</v>
      </c>
      <c r="CR17" s="229">
        <v>0.42020000000000002</v>
      </c>
      <c r="CS17" s="228">
        <v>780</v>
      </c>
      <c r="CT17" s="228">
        <v>676</v>
      </c>
      <c r="CU17" s="228">
        <v>104</v>
      </c>
      <c r="CV17" s="229">
        <v>0.154</v>
      </c>
      <c r="CW17" s="230">
        <v>5202</v>
      </c>
      <c r="CX17" s="230">
        <v>4750</v>
      </c>
      <c r="CY17" s="228">
        <v>452</v>
      </c>
      <c r="CZ17" s="229">
        <v>9.5200000000000007E-2</v>
      </c>
      <c r="DA17" s="228">
        <v>27.52</v>
      </c>
      <c r="DB17" s="228">
        <v>31.36</v>
      </c>
      <c r="DC17" s="228">
        <v>-3.84</v>
      </c>
      <c r="DD17" s="228">
        <v>-3.84</v>
      </c>
      <c r="DE17" s="228">
        <v>28.84</v>
      </c>
      <c r="DF17" s="228">
        <v>28.91</v>
      </c>
      <c r="DG17" s="228">
        <v>-1.32</v>
      </c>
      <c r="DH17" s="228">
        <v>-7.0000000000000007E-2</v>
      </c>
      <c r="DI17" s="228">
        <v>26.28</v>
      </c>
      <c r="DJ17" s="228">
        <v>30.1</v>
      </c>
      <c r="DK17" s="228">
        <v>-3.82</v>
      </c>
      <c r="DL17" s="228">
        <v>-3.82</v>
      </c>
      <c r="DM17" s="228">
        <v>29.46</v>
      </c>
      <c r="DN17" s="228">
        <v>32.5</v>
      </c>
      <c r="DO17" s="228">
        <v>-3.04</v>
      </c>
      <c r="DP17" s="228">
        <v>-3.04</v>
      </c>
      <c r="DQ17" s="228">
        <v>0.85</v>
      </c>
      <c r="DR17" s="228">
        <v>1.04</v>
      </c>
      <c r="DS17" s="228">
        <v>-0.19</v>
      </c>
      <c r="DT17" s="229">
        <v>-0.1827</v>
      </c>
      <c r="DU17" s="231">
        <v>2500</v>
      </c>
      <c r="DV17" s="231">
        <v>2400</v>
      </c>
      <c r="DW17" s="228">
        <v>0.64</v>
      </c>
      <c r="DX17" s="228">
        <v>1.1000000000000001</v>
      </c>
      <c r="DY17" s="228">
        <v>-0.46</v>
      </c>
      <c r="DZ17" s="229">
        <v>-0.41820000000000002</v>
      </c>
      <c r="EA17" s="229">
        <v>8.1699999999999995E-2</v>
      </c>
      <c r="EB17" s="230">
        <v>1118750</v>
      </c>
      <c r="EC17" s="229">
        <v>-5.9999999999999995E-4</v>
      </c>
      <c r="ED17" s="229">
        <v>8.1699999999999995E-2</v>
      </c>
      <c r="EE17" s="228">
        <v>-7.77</v>
      </c>
      <c r="EF17" s="229">
        <v>-3.0999999999999999E-3</v>
      </c>
      <c r="EG17" s="230">
        <v>281439</v>
      </c>
      <c r="EH17" s="230">
        <v>298509</v>
      </c>
      <c r="EI17" s="229">
        <v>-5.7200000000000001E-2</v>
      </c>
      <c r="EJ17" s="229">
        <v>0.45129999999999998</v>
      </c>
      <c r="EK17" s="231">
        <v>1601.85</v>
      </c>
      <c r="EL17" s="228">
        <v>955.57</v>
      </c>
      <c r="EM17" s="228">
        <v>295.42</v>
      </c>
      <c r="EN17" s="228">
        <v>160.47</v>
      </c>
      <c r="EO17" s="231">
        <v>2852.84</v>
      </c>
      <c r="EP17" s="231">
        <v>2331.06</v>
      </c>
      <c r="EQ17" s="228">
        <v>521.78</v>
      </c>
      <c r="ER17" s="229">
        <v>0.2238</v>
      </c>
      <c r="ES17" s="228">
        <v>966.02</v>
      </c>
      <c r="ET17" s="228">
        <v>741.21</v>
      </c>
      <c r="EU17" s="231">
        <v>3498.79</v>
      </c>
      <c r="EV17" s="231">
        <v>62818628</v>
      </c>
      <c r="EW17" s="231">
        <v>5206.0200000000004</v>
      </c>
      <c r="EX17" s="231">
        <v>4737.76</v>
      </c>
      <c r="EY17" s="228">
        <v>468.26</v>
      </c>
      <c r="EZ17" s="229">
        <v>9.8799999999999999E-2</v>
      </c>
      <c r="FA17" s="229">
        <v>0.33629999999999999</v>
      </c>
      <c r="FB17" s="227" t="s">
        <v>555</v>
      </c>
      <c r="FC17">
        <f t="shared" si="0"/>
        <v>286</v>
      </c>
    </row>
    <row r="18" spans="1:159" ht="17.25" thickBot="1" x14ac:dyDescent="0.3">
      <c r="A18" s="226">
        <v>46146</v>
      </c>
      <c r="B18" s="227" t="s">
        <v>184</v>
      </c>
      <c r="C18" s="227" t="s">
        <v>503</v>
      </c>
      <c r="D18" s="228">
        <v>425</v>
      </c>
      <c r="E18" s="228">
        <v>22</v>
      </c>
      <c r="F18" s="231">
        <v>1558.3</v>
      </c>
      <c r="G18" s="231">
        <v>1533.2</v>
      </c>
      <c r="H18" s="228">
        <v>25.1</v>
      </c>
      <c r="I18" s="229">
        <v>1.6400000000000001E-2</v>
      </c>
      <c r="J18" s="231">
        <v>1559.6</v>
      </c>
      <c r="K18" s="231">
        <v>1529.7</v>
      </c>
      <c r="L18" s="228">
        <v>29.9</v>
      </c>
      <c r="M18" s="229">
        <v>1.95E-2</v>
      </c>
      <c r="N18" s="231">
        <v>1558.3</v>
      </c>
      <c r="O18" s="231">
        <v>1533.2</v>
      </c>
      <c r="P18" s="228">
        <v>25.1</v>
      </c>
      <c r="Q18" s="229">
        <v>1.6400000000000001E-2</v>
      </c>
      <c r="R18" s="231">
        <v>1532.2</v>
      </c>
      <c r="S18" s="231">
        <v>1506.1</v>
      </c>
      <c r="T18" s="228">
        <v>26.1</v>
      </c>
      <c r="U18" s="229">
        <v>1.7299999999999999E-2</v>
      </c>
      <c r="V18" s="231">
        <v>1522.3</v>
      </c>
      <c r="W18" s="231">
        <v>1475</v>
      </c>
      <c r="X18" s="228">
        <v>47.3</v>
      </c>
      <c r="Y18" s="229">
        <v>3.2099999999999997E-2</v>
      </c>
      <c r="Z18" s="228">
        <v>-1.3</v>
      </c>
      <c r="AA18" s="228">
        <v>3.5</v>
      </c>
      <c r="AB18" s="228">
        <v>-4.8</v>
      </c>
      <c r="AC18" s="229">
        <v>-8.0000000000000004E-4</v>
      </c>
      <c r="AD18" s="228">
        <v>-1.3</v>
      </c>
      <c r="AE18" s="228">
        <v>3.5</v>
      </c>
      <c r="AF18" s="228">
        <v>-4.8</v>
      </c>
      <c r="AG18" s="229">
        <v>-8.0000000000000004E-4</v>
      </c>
      <c r="AH18" s="228">
        <v>-27.4</v>
      </c>
      <c r="AI18" s="228">
        <v>-23.6</v>
      </c>
      <c r="AJ18" s="228">
        <v>-3.8</v>
      </c>
      <c r="AK18" s="229">
        <v>-1.7600000000000001E-2</v>
      </c>
      <c r="AL18" s="228">
        <v>-37.299999999999997</v>
      </c>
      <c r="AM18" s="228">
        <v>-54.7</v>
      </c>
      <c r="AN18" s="228">
        <v>17.399999999999999</v>
      </c>
      <c r="AO18" s="229">
        <v>-2.3900000000000001E-2</v>
      </c>
      <c r="AP18" s="231">
        <v>1561.84</v>
      </c>
      <c r="AQ18" s="231">
        <v>1537.96</v>
      </c>
      <c r="AR18" s="228">
        <v>0</v>
      </c>
      <c r="AS18" s="228">
        <v>196</v>
      </c>
      <c r="AT18" s="228">
        <v>170</v>
      </c>
      <c r="AU18" s="228">
        <v>26</v>
      </c>
      <c r="AV18" s="229">
        <v>0.15570000000000001</v>
      </c>
      <c r="AW18" s="228">
        <v>156</v>
      </c>
      <c r="AX18" s="228">
        <v>151</v>
      </c>
      <c r="AY18" s="228">
        <v>5</v>
      </c>
      <c r="AZ18" s="229">
        <v>3.3300000000000003E-2</v>
      </c>
      <c r="BA18" s="228">
        <v>39</v>
      </c>
      <c r="BB18" s="228">
        <v>17</v>
      </c>
      <c r="BC18" s="228">
        <v>23</v>
      </c>
      <c r="BD18" s="229">
        <v>1.3705000000000001</v>
      </c>
      <c r="BE18" s="228">
        <v>1</v>
      </c>
      <c r="BF18" s="228">
        <v>2</v>
      </c>
      <c r="BG18" s="228">
        <v>-1</v>
      </c>
      <c r="BH18" s="229">
        <v>-0.63639999999999997</v>
      </c>
      <c r="BI18" s="228">
        <v>239</v>
      </c>
      <c r="BJ18" s="228">
        <v>226</v>
      </c>
      <c r="BK18" s="228">
        <v>13</v>
      </c>
      <c r="BL18" s="229">
        <v>5.7099999999999998E-2</v>
      </c>
      <c r="BM18" s="228">
        <v>110</v>
      </c>
      <c r="BN18" s="228">
        <v>120</v>
      </c>
      <c r="BO18" s="228">
        <v>-10</v>
      </c>
      <c r="BP18" s="229">
        <v>-8.3599999999999994E-2</v>
      </c>
      <c r="BQ18" s="228">
        <v>545</v>
      </c>
      <c r="BR18" s="228">
        <v>515</v>
      </c>
      <c r="BS18" s="228">
        <v>29</v>
      </c>
      <c r="BT18" s="229">
        <v>5.6899999999999999E-2</v>
      </c>
      <c r="BU18" s="230">
        <v>414420</v>
      </c>
      <c r="BV18" s="230">
        <v>339780</v>
      </c>
      <c r="BW18" s="230">
        <v>74640</v>
      </c>
      <c r="BX18" s="229">
        <v>0.21970000000000001</v>
      </c>
      <c r="BY18" s="230">
        <v>1423</v>
      </c>
      <c r="BZ18" s="230">
        <v>1406</v>
      </c>
      <c r="CA18" s="228">
        <v>18</v>
      </c>
      <c r="CB18" s="229">
        <v>1.2500000000000001E-2</v>
      </c>
      <c r="CC18" s="230">
        <v>1355</v>
      </c>
      <c r="CD18" s="230">
        <v>1355</v>
      </c>
      <c r="CE18" s="228">
        <v>1</v>
      </c>
      <c r="CF18" s="229">
        <v>4.0000000000000002E-4</v>
      </c>
      <c r="CG18" s="228">
        <v>64</v>
      </c>
      <c r="CH18" s="228">
        <v>48</v>
      </c>
      <c r="CI18" s="228">
        <v>17</v>
      </c>
      <c r="CJ18" s="229">
        <v>0.35239999999999999</v>
      </c>
      <c r="CK18" s="228">
        <v>4</v>
      </c>
      <c r="CL18" s="228">
        <v>3</v>
      </c>
      <c r="CM18" s="228">
        <v>0</v>
      </c>
      <c r="CN18" s="229">
        <v>9.8000000000000004E-2</v>
      </c>
      <c r="CO18" s="228">
        <v>211</v>
      </c>
      <c r="CP18" s="228">
        <v>200</v>
      </c>
      <c r="CQ18" s="228">
        <v>12</v>
      </c>
      <c r="CR18" s="229">
        <v>5.91E-2</v>
      </c>
      <c r="CS18" s="228">
        <v>145</v>
      </c>
      <c r="CT18" s="228">
        <v>143</v>
      </c>
      <c r="CU18" s="228">
        <v>1</v>
      </c>
      <c r="CV18" s="229">
        <v>1.0200000000000001E-2</v>
      </c>
      <c r="CW18" s="230">
        <v>1779</v>
      </c>
      <c r="CX18" s="230">
        <v>1749</v>
      </c>
      <c r="CY18" s="228">
        <v>31</v>
      </c>
      <c r="CZ18" s="229">
        <v>1.7600000000000001E-2</v>
      </c>
      <c r="DA18" s="228">
        <v>34.78</v>
      </c>
      <c r="DB18" s="228">
        <v>35</v>
      </c>
      <c r="DC18" s="228">
        <v>-0.22</v>
      </c>
      <c r="DD18" s="228">
        <v>-0.22</v>
      </c>
      <c r="DE18" s="228">
        <v>35.44</v>
      </c>
      <c r="DF18" s="228">
        <v>35.43</v>
      </c>
      <c r="DG18" s="228">
        <v>-0.66</v>
      </c>
      <c r="DH18" s="228">
        <v>0.01</v>
      </c>
      <c r="DI18" s="228">
        <v>34.68</v>
      </c>
      <c r="DJ18" s="228">
        <v>34.99</v>
      </c>
      <c r="DK18" s="228">
        <v>-0.31</v>
      </c>
      <c r="DL18" s="228">
        <v>-0.31</v>
      </c>
      <c r="DM18" s="228">
        <v>35</v>
      </c>
      <c r="DN18" s="228">
        <v>35</v>
      </c>
      <c r="DO18" s="228">
        <v>0</v>
      </c>
      <c r="DP18" s="228">
        <v>0</v>
      </c>
      <c r="DQ18" s="228">
        <v>0.68</v>
      </c>
      <c r="DR18" s="228">
        <v>0.72</v>
      </c>
      <c r="DS18" s="228">
        <v>-0.04</v>
      </c>
      <c r="DT18" s="229">
        <v>-5.5599999999999997E-2</v>
      </c>
      <c r="DU18" s="231">
        <v>1600</v>
      </c>
      <c r="DV18" s="231">
        <v>1560</v>
      </c>
      <c r="DW18" s="228">
        <v>0.46</v>
      </c>
      <c r="DX18" s="228">
        <v>0.53</v>
      </c>
      <c r="DY18" s="228">
        <v>-7.0000000000000007E-2</v>
      </c>
      <c r="DZ18" s="229">
        <v>-0.1321</v>
      </c>
      <c r="EA18" s="229">
        <v>4.7800000000000002E-2</v>
      </c>
      <c r="EB18" s="230">
        <v>326825</v>
      </c>
      <c r="EC18" s="229">
        <v>-1.67E-2</v>
      </c>
      <c r="ED18" s="229">
        <v>4.7800000000000002E-2</v>
      </c>
      <c r="EE18" s="228">
        <v>-23.88</v>
      </c>
      <c r="EF18" s="229">
        <v>-1.5299999999999999E-2</v>
      </c>
      <c r="EG18" s="230">
        <v>166670</v>
      </c>
      <c r="EH18" s="230">
        <v>152375</v>
      </c>
      <c r="EI18" s="229">
        <v>9.3799999999999994E-2</v>
      </c>
      <c r="EJ18" s="229">
        <v>0.4022</v>
      </c>
      <c r="EK18" s="228">
        <v>254.93</v>
      </c>
      <c r="EL18" s="228">
        <v>109.18</v>
      </c>
      <c r="EM18" s="228">
        <v>195.99</v>
      </c>
      <c r="EN18" s="228">
        <v>81.55</v>
      </c>
      <c r="EO18" s="228">
        <v>560.1</v>
      </c>
      <c r="EP18" s="228">
        <v>523.02</v>
      </c>
      <c r="EQ18" s="228">
        <v>37.08</v>
      </c>
      <c r="ER18" s="229">
        <v>7.0900000000000005E-2</v>
      </c>
      <c r="ES18" s="228">
        <v>221.94</v>
      </c>
      <c r="ET18" s="228">
        <v>140.13</v>
      </c>
      <c r="EU18" s="231">
        <v>1422.34</v>
      </c>
      <c r="EV18" s="231">
        <v>17577908</v>
      </c>
      <c r="EW18" s="231">
        <v>1784.41</v>
      </c>
      <c r="EX18" s="231">
        <v>1730.16</v>
      </c>
      <c r="EY18" s="228">
        <v>54.25</v>
      </c>
      <c r="EZ18" s="229">
        <v>3.1399999999999997E-2</v>
      </c>
      <c r="FA18" s="229">
        <v>0.64959999999999996</v>
      </c>
      <c r="FB18" s="227" t="s">
        <v>555</v>
      </c>
      <c r="FC18">
        <f t="shared" si="0"/>
        <v>68</v>
      </c>
    </row>
    <row r="19" spans="1:159" ht="17.25" thickBot="1" x14ac:dyDescent="0.3">
      <c r="A19" s="226">
        <v>46146</v>
      </c>
      <c r="B19" s="227" t="s">
        <v>172</v>
      </c>
      <c r="C19" s="227" t="s">
        <v>495</v>
      </c>
      <c r="D19" s="228">
        <v>1000</v>
      </c>
      <c r="E19" s="228">
        <v>22</v>
      </c>
      <c r="F19" s="231">
        <v>1021.1</v>
      </c>
      <c r="G19" s="231">
        <v>1021.15</v>
      </c>
      <c r="H19" s="228">
        <v>-0.05</v>
      </c>
      <c r="I19" s="229">
        <v>0</v>
      </c>
      <c r="J19" s="231">
        <v>1015</v>
      </c>
      <c r="K19" s="231">
        <v>1015.95</v>
      </c>
      <c r="L19" s="228">
        <v>-0.95</v>
      </c>
      <c r="M19" s="229">
        <v>-8.9999999999999998E-4</v>
      </c>
      <c r="N19" s="231">
        <v>1021.1</v>
      </c>
      <c r="O19" s="231">
        <v>1021.15</v>
      </c>
      <c r="P19" s="228">
        <v>-0.05</v>
      </c>
      <c r="Q19" s="229">
        <v>0</v>
      </c>
      <c r="R19" s="231">
        <v>1027.7</v>
      </c>
      <c r="S19" s="231">
        <v>1027.75</v>
      </c>
      <c r="T19" s="228">
        <v>-0.05</v>
      </c>
      <c r="U19" s="229">
        <v>0</v>
      </c>
      <c r="V19" s="231">
        <v>1046</v>
      </c>
      <c r="W19" s="231">
        <v>1024</v>
      </c>
      <c r="X19" s="228">
        <v>22</v>
      </c>
      <c r="Y19" s="229">
        <v>2.1499999999999998E-2</v>
      </c>
      <c r="Z19" s="228">
        <v>6.1</v>
      </c>
      <c r="AA19" s="228">
        <v>5.2</v>
      </c>
      <c r="AB19" s="228">
        <v>0.9</v>
      </c>
      <c r="AC19" s="229">
        <v>6.0000000000000001E-3</v>
      </c>
      <c r="AD19" s="228">
        <v>6.1</v>
      </c>
      <c r="AE19" s="228">
        <v>5.2</v>
      </c>
      <c r="AF19" s="228">
        <v>0.9</v>
      </c>
      <c r="AG19" s="229">
        <v>6.0000000000000001E-3</v>
      </c>
      <c r="AH19" s="228">
        <v>12.7</v>
      </c>
      <c r="AI19" s="228">
        <v>11.8</v>
      </c>
      <c r="AJ19" s="228">
        <v>0.9</v>
      </c>
      <c r="AK19" s="229">
        <v>1.2500000000000001E-2</v>
      </c>
      <c r="AL19" s="228">
        <v>31</v>
      </c>
      <c r="AM19" s="228">
        <v>8.0500000000000007</v>
      </c>
      <c r="AN19" s="228">
        <v>22.95</v>
      </c>
      <c r="AO19" s="229">
        <v>3.0499999999999999E-2</v>
      </c>
      <c r="AP19" s="231">
        <v>1030.52</v>
      </c>
      <c r="AQ19" s="231">
        <v>1039.18</v>
      </c>
      <c r="AR19" s="228">
        <v>0</v>
      </c>
      <c r="AS19" s="228">
        <v>345</v>
      </c>
      <c r="AT19" s="228">
        <v>427</v>
      </c>
      <c r="AU19" s="228">
        <v>-83</v>
      </c>
      <c r="AV19" s="229">
        <v>-0.19359999999999999</v>
      </c>
      <c r="AW19" s="228">
        <v>316</v>
      </c>
      <c r="AX19" s="228">
        <v>400</v>
      </c>
      <c r="AY19" s="228">
        <v>-83</v>
      </c>
      <c r="AZ19" s="229">
        <v>-0.20849999999999999</v>
      </c>
      <c r="BA19" s="228">
        <v>28</v>
      </c>
      <c r="BB19" s="228">
        <v>27</v>
      </c>
      <c r="BC19" s="228">
        <v>1</v>
      </c>
      <c r="BD19" s="229">
        <v>1.8700000000000001E-2</v>
      </c>
      <c r="BE19" s="228">
        <v>0</v>
      </c>
      <c r="BF19" s="228">
        <v>0</v>
      </c>
      <c r="BG19" s="228">
        <v>0</v>
      </c>
      <c r="BH19" s="229">
        <v>0.33329999999999999</v>
      </c>
      <c r="BI19" s="228">
        <v>603</v>
      </c>
      <c r="BJ19" s="228">
        <v>884</v>
      </c>
      <c r="BK19" s="228">
        <v>-281</v>
      </c>
      <c r="BL19" s="229">
        <v>-0.31769999999999998</v>
      </c>
      <c r="BM19" s="228">
        <v>316</v>
      </c>
      <c r="BN19" s="228">
        <v>486</v>
      </c>
      <c r="BO19" s="228">
        <v>-171</v>
      </c>
      <c r="BP19" s="229">
        <v>-0.35139999999999999</v>
      </c>
      <c r="BQ19" s="230">
        <v>1263</v>
      </c>
      <c r="BR19" s="230">
        <v>1797</v>
      </c>
      <c r="BS19" s="228">
        <v>-534</v>
      </c>
      <c r="BT19" s="229">
        <v>-0.29730000000000001</v>
      </c>
      <c r="BU19" s="230">
        <v>1553581</v>
      </c>
      <c r="BV19" s="230">
        <v>1955155</v>
      </c>
      <c r="BW19" s="230">
        <v>-401574</v>
      </c>
      <c r="BX19" s="229">
        <v>-0.2054</v>
      </c>
      <c r="BY19" s="230">
        <v>2751</v>
      </c>
      <c r="BZ19" s="230">
        <v>2734</v>
      </c>
      <c r="CA19" s="228">
        <v>17</v>
      </c>
      <c r="CB19" s="229">
        <v>6.1999999999999998E-3</v>
      </c>
      <c r="CC19" s="230">
        <v>2625</v>
      </c>
      <c r="CD19" s="230">
        <v>2621</v>
      </c>
      <c r="CE19" s="228">
        <v>3</v>
      </c>
      <c r="CF19" s="229">
        <v>1.2999999999999999E-3</v>
      </c>
      <c r="CG19" s="228">
        <v>126</v>
      </c>
      <c r="CH19" s="228">
        <v>112</v>
      </c>
      <c r="CI19" s="228">
        <v>13</v>
      </c>
      <c r="CJ19" s="229">
        <v>0.11899999999999999</v>
      </c>
      <c r="CK19" s="228">
        <v>1</v>
      </c>
      <c r="CL19" s="228">
        <v>1</v>
      </c>
      <c r="CM19" s="228">
        <v>0</v>
      </c>
      <c r="CN19" s="229">
        <v>0.4</v>
      </c>
      <c r="CO19" s="228">
        <v>765</v>
      </c>
      <c r="CP19" s="228">
        <v>785</v>
      </c>
      <c r="CQ19" s="228">
        <v>-20</v>
      </c>
      <c r="CR19" s="229">
        <v>-2.4899999999999999E-2</v>
      </c>
      <c r="CS19" s="228">
        <v>425</v>
      </c>
      <c r="CT19" s="228">
        <v>425</v>
      </c>
      <c r="CU19" s="228">
        <v>0</v>
      </c>
      <c r="CV19" s="229">
        <v>0</v>
      </c>
      <c r="CW19" s="230">
        <v>3941</v>
      </c>
      <c r="CX19" s="230">
        <v>3943</v>
      </c>
      <c r="CY19" s="228">
        <v>-2</v>
      </c>
      <c r="CZ19" s="229">
        <v>-5.9999999999999995E-4</v>
      </c>
      <c r="DA19" s="228">
        <v>32.57</v>
      </c>
      <c r="DB19" s="228">
        <v>32.409999999999997</v>
      </c>
      <c r="DC19" s="228">
        <v>0.16</v>
      </c>
      <c r="DD19" s="228">
        <v>0.16</v>
      </c>
      <c r="DE19" s="228">
        <v>38</v>
      </c>
      <c r="DF19" s="228">
        <v>38.090000000000003</v>
      </c>
      <c r="DG19" s="228">
        <v>-5.43</v>
      </c>
      <c r="DH19" s="228">
        <v>-0.09</v>
      </c>
      <c r="DI19" s="228">
        <v>32.51</v>
      </c>
      <c r="DJ19" s="228">
        <v>32.4</v>
      </c>
      <c r="DK19" s="228">
        <v>0.11</v>
      </c>
      <c r="DL19" s="228">
        <v>0.11</v>
      </c>
      <c r="DM19" s="228">
        <v>32.67</v>
      </c>
      <c r="DN19" s="228">
        <v>32.43</v>
      </c>
      <c r="DO19" s="228">
        <v>0.24</v>
      </c>
      <c r="DP19" s="228">
        <v>0.24</v>
      </c>
      <c r="DQ19" s="228">
        <v>0.56000000000000005</v>
      </c>
      <c r="DR19" s="228">
        <v>0.54</v>
      </c>
      <c r="DS19" s="228">
        <v>0.02</v>
      </c>
      <c r="DT19" s="229">
        <v>3.6999999999999998E-2</v>
      </c>
      <c r="DU19" s="231">
        <v>1100</v>
      </c>
      <c r="DV19" s="231">
        <v>1000</v>
      </c>
      <c r="DW19" s="228">
        <v>0.52</v>
      </c>
      <c r="DX19" s="228">
        <v>0.55000000000000004</v>
      </c>
      <c r="DY19" s="228">
        <v>-0.03</v>
      </c>
      <c r="DZ19" s="229">
        <v>-5.45E-2</v>
      </c>
      <c r="EA19" s="229">
        <v>4.5999999999999999E-2</v>
      </c>
      <c r="EB19" s="230">
        <v>1106000</v>
      </c>
      <c r="EC19" s="229">
        <v>6.4999999999999997E-3</v>
      </c>
      <c r="ED19" s="229">
        <v>4.5999999999999999E-2</v>
      </c>
      <c r="EE19" s="228">
        <v>8.66</v>
      </c>
      <c r="EF19" s="229">
        <v>8.3999999999999995E-3</v>
      </c>
      <c r="EG19" s="230">
        <v>878927</v>
      </c>
      <c r="EH19" s="230">
        <v>926400</v>
      </c>
      <c r="EI19" s="229">
        <v>-5.1200000000000002E-2</v>
      </c>
      <c r="EJ19" s="229">
        <v>0.56569999999999998</v>
      </c>
      <c r="EK19" s="228">
        <v>640.96</v>
      </c>
      <c r="EL19" s="228">
        <v>314.72000000000003</v>
      </c>
      <c r="EM19" s="228">
        <v>347.94</v>
      </c>
      <c r="EN19" s="228">
        <v>114.02</v>
      </c>
      <c r="EO19" s="231">
        <v>1303.6199999999999</v>
      </c>
      <c r="EP19" s="231">
        <v>1847.76</v>
      </c>
      <c r="EQ19" s="228">
        <v>-544.14</v>
      </c>
      <c r="ER19" s="229">
        <v>-0.29449999999999998</v>
      </c>
      <c r="ES19" s="228">
        <v>810.28</v>
      </c>
      <c r="ET19" s="228">
        <v>407.77</v>
      </c>
      <c r="EU19" s="231">
        <v>2751.98</v>
      </c>
      <c r="EV19" s="231">
        <v>86532345</v>
      </c>
      <c r="EW19" s="231">
        <v>3970.03</v>
      </c>
      <c r="EX19" s="231">
        <v>3973.17</v>
      </c>
      <c r="EY19" s="228">
        <v>-3.14</v>
      </c>
      <c r="EZ19" s="229">
        <v>-8.0000000000000004E-4</v>
      </c>
      <c r="FA19" s="229">
        <v>0.44600000000000001</v>
      </c>
      <c r="FB19" s="227" t="s">
        <v>237</v>
      </c>
      <c r="FC19">
        <f t="shared" si="0"/>
        <v>126</v>
      </c>
    </row>
    <row r="20" spans="1:159" ht="17.25" thickBot="1" x14ac:dyDescent="0.3">
      <c r="A20" s="226">
        <v>46146</v>
      </c>
      <c r="B20" s="227" t="s">
        <v>170</v>
      </c>
      <c r="C20" s="227" t="s">
        <v>171</v>
      </c>
      <c r="D20" s="228">
        <v>550</v>
      </c>
      <c r="E20" s="228">
        <v>22</v>
      </c>
      <c r="F20" s="231">
        <v>1379.8</v>
      </c>
      <c r="G20" s="231">
        <v>1396.4</v>
      </c>
      <c r="H20" s="228">
        <v>-16.600000000000001</v>
      </c>
      <c r="I20" s="229">
        <v>-1.1900000000000001E-2</v>
      </c>
      <c r="J20" s="231">
        <v>1376</v>
      </c>
      <c r="K20" s="231">
        <v>1389.5</v>
      </c>
      <c r="L20" s="228">
        <v>-13.5</v>
      </c>
      <c r="M20" s="229">
        <v>-9.7000000000000003E-3</v>
      </c>
      <c r="N20" s="231">
        <v>1379.8</v>
      </c>
      <c r="O20" s="231">
        <v>1396.4</v>
      </c>
      <c r="P20" s="228">
        <v>-16.600000000000001</v>
      </c>
      <c r="Q20" s="229">
        <v>-1.1900000000000001E-2</v>
      </c>
      <c r="R20" s="231">
        <v>1387</v>
      </c>
      <c r="S20" s="231">
        <v>1402.9</v>
      </c>
      <c r="T20" s="228">
        <v>-15.9</v>
      </c>
      <c r="U20" s="229">
        <v>-1.1299999999999999E-2</v>
      </c>
      <c r="V20" s="231">
        <v>1395</v>
      </c>
      <c r="W20" s="231">
        <v>1426.9</v>
      </c>
      <c r="X20" s="228">
        <v>-31.9</v>
      </c>
      <c r="Y20" s="229">
        <v>-2.24E-2</v>
      </c>
      <c r="Z20" s="228">
        <v>3.8</v>
      </c>
      <c r="AA20" s="228">
        <v>6.9</v>
      </c>
      <c r="AB20" s="228">
        <v>-3.1</v>
      </c>
      <c r="AC20" s="229">
        <v>2.8E-3</v>
      </c>
      <c r="AD20" s="228">
        <v>3.8</v>
      </c>
      <c r="AE20" s="228">
        <v>6.9</v>
      </c>
      <c r="AF20" s="228">
        <v>-3.1</v>
      </c>
      <c r="AG20" s="229">
        <v>2.8E-3</v>
      </c>
      <c r="AH20" s="228">
        <v>11</v>
      </c>
      <c r="AI20" s="228">
        <v>13.4</v>
      </c>
      <c r="AJ20" s="228">
        <v>-2.4</v>
      </c>
      <c r="AK20" s="229">
        <v>8.0000000000000002E-3</v>
      </c>
      <c r="AL20" s="228">
        <v>19</v>
      </c>
      <c r="AM20" s="228">
        <v>37.4</v>
      </c>
      <c r="AN20" s="228">
        <v>-18.399999999999999</v>
      </c>
      <c r="AO20" s="229">
        <v>1.38E-2</v>
      </c>
      <c r="AP20" s="231">
        <v>1385.9</v>
      </c>
      <c r="AQ20" s="231">
        <v>1390.11</v>
      </c>
      <c r="AR20" s="228">
        <v>0</v>
      </c>
      <c r="AS20" s="228">
        <v>205</v>
      </c>
      <c r="AT20" s="228">
        <v>90</v>
      </c>
      <c r="AU20" s="228">
        <v>115</v>
      </c>
      <c r="AV20" s="229">
        <v>1.2847</v>
      </c>
      <c r="AW20" s="228">
        <v>202</v>
      </c>
      <c r="AX20" s="228">
        <v>88</v>
      </c>
      <c r="AY20" s="228">
        <v>114</v>
      </c>
      <c r="AZ20" s="229">
        <v>1.2959000000000001</v>
      </c>
      <c r="BA20" s="228">
        <v>2</v>
      </c>
      <c r="BB20" s="228">
        <v>2</v>
      </c>
      <c r="BC20" s="228">
        <v>1</v>
      </c>
      <c r="BD20" s="229">
        <v>0.52380000000000004</v>
      </c>
      <c r="BE20" s="228">
        <v>0</v>
      </c>
      <c r="BF20" s="228">
        <v>0</v>
      </c>
      <c r="BG20" s="228">
        <v>0</v>
      </c>
      <c r="BH20" s="229">
        <v>0</v>
      </c>
      <c r="BI20" s="228">
        <v>234</v>
      </c>
      <c r="BJ20" s="228">
        <v>174</v>
      </c>
      <c r="BK20" s="228">
        <v>59</v>
      </c>
      <c r="BL20" s="229">
        <v>0.3412</v>
      </c>
      <c r="BM20" s="228">
        <v>123</v>
      </c>
      <c r="BN20" s="228">
        <v>104</v>
      </c>
      <c r="BO20" s="228">
        <v>19</v>
      </c>
      <c r="BP20" s="229">
        <v>0.18679999999999999</v>
      </c>
      <c r="BQ20" s="228">
        <v>561</v>
      </c>
      <c r="BR20" s="228">
        <v>368</v>
      </c>
      <c r="BS20" s="228">
        <v>194</v>
      </c>
      <c r="BT20" s="229">
        <v>0.52759999999999996</v>
      </c>
      <c r="BU20" s="230">
        <v>806168</v>
      </c>
      <c r="BV20" s="230">
        <v>622464</v>
      </c>
      <c r="BW20" s="230">
        <v>183704</v>
      </c>
      <c r="BX20" s="229">
        <v>0.29509999999999997</v>
      </c>
      <c r="BY20" s="230">
        <v>2706</v>
      </c>
      <c r="BZ20" s="230">
        <v>2690</v>
      </c>
      <c r="CA20" s="228">
        <v>16</v>
      </c>
      <c r="CB20" s="229">
        <v>5.7999999999999996E-3</v>
      </c>
      <c r="CC20" s="230">
        <v>2699</v>
      </c>
      <c r="CD20" s="230">
        <v>2685</v>
      </c>
      <c r="CE20" s="228">
        <v>14</v>
      </c>
      <c r="CF20" s="229">
        <v>5.1999999999999998E-3</v>
      </c>
      <c r="CG20" s="228">
        <v>7</v>
      </c>
      <c r="CH20" s="228">
        <v>5</v>
      </c>
      <c r="CI20" s="228">
        <v>2</v>
      </c>
      <c r="CJ20" s="229">
        <v>0.33850000000000002</v>
      </c>
      <c r="CK20" s="228">
        <v>0</v>
      </c>
      <c r="CL20" s="228">
        <v>0</v>
      </c>
      <c r="CM20" s="228">
        <v>0</v>
      </c>
      <c r="CN20" s="229">
        <v>2</v>
      </c>
      <c r="CO20" s="228">
        <v>383</v>
      </c>
      <c r="CP20" s="228">
        <v>337</v>
      </c>
      <c r="CQ20" s="228">
        <v>46</v>
      </c>
      <c r="CR20" s="229">
        <v>0.1366</v>
      </c>
      <c r="CS20" s="228">
        <v>218</v>
      </c>
      <c r="CT20" s="228">
        <v>203</v>
      </c>
      <c r="CU20" s="228">
        <v>15</v>
      </c>
      <c r="CV20" s="229">
        <v>7.5300000000000006E-2</v>
      </c>
      <c r="CW20" s="230">
        <v>3307</v>
      </c>
      <c r="CX20" s="230">
        <v>3230</v>
      </c>
      <c r="CY20" s="228">
        <v>77</v>
      </c>
      <c r="CZ20" s="229">
        <v>2.3800000000000002E-2</v>
      </c>
      <c r="DA20" s="228">
        <v>30.81</v>
      </c>
      <c r="DB20" s="228">
        <v>29.97</v>
      </c>
      <c r="DC20" s="228">
        <v>0.84</v>
      </c>
      <c r="DD20" s="228">
        <v>0.84</v>
      </c>
      <c r="DE20" s="228">
        <v>32.97</v>
      </c>
      <c r="DF20" s="228">
        <v>33.03</v>
      </c>
      <c r="DG20" s="228">
        <v>-2.16</v>
      </c>
      <c r="DH20" s="228">
        <v>-0.06</v>
      </c>
      <c r="DI20" s="228">
        <v>31.23</v>
      </c>
      <c r="DJ20" s="228">
        <v>30.1</v>
      </c>
      <c r="DK20" s="228">
        <v>1.1299999999999999</v>
      </c>
      <c r="DL20" s="228">
        <v>1.1299999999999999</v>
      </c>
      <c r="DM20" s="228">
        <v>30</v>
      </c>
      <c r="DN20" s="228">
        <v>29.73</v>
      </c>
      <c r="DO20" s="228">
        <v>0.27</v>
      </c>
      <c r="DP20" s="228">
        <v>0.27</v>
      </c>
      <c r="DQ20" s="228">
        <v>0.56999999999999995</v>
      </c>
      <c r="DR20" s="228">
        <v>0.6</v>
      </c>
      <c r="DS20" s="228">
        <v>-0.03</v>
      </c>
      <c r="DT20" s="229">
        <v>-0.05</v>
      </c>
      <c r="DU20" s="231">
        <v>1440</v>
      </c>
      <c r="DV20" s="231">
        <v>1400</v>
      </c>
      <c r="DW20" s="228">
        <v>0.53</v>
      </c>
      <c r="DX20" s="228">
        <v>0.59</v>
      </c>
      <c r="DY20" s="228">
        <v>-0.06</v>
      </c>
      <c r="DZ20" s="229">
        <v>-0.1017</v>
      </c>
      <c r="EA20" s="229">
        <v>2.5000000000000001E-3</v>
      </c>
      <c r="EB20" s="230">
        <v>36300</v>
      </c>
      <c r="EC20" s="229">
        <v>5.1999999999999998E-3</v>
      </c>
      <c r="ED20" s="229">
        <v>2.5000000000000001E-3</v>
      </c>
      <c r="EE20" s="228">
        <v>4.21</v>
      </c>
      <c r="EF20" s="229">
        <v>3.0000000000000001E-3</v>
      </c>
      <c r="EG20" s="230">
        <v>401136</v>
      </c>
      <c r="EH20" s="230">
        <v>245399</v>
      </c>
      <c r="EI20" s="229">
        <v>0.63460000000000005</v>
      </c>
      <c r="EJ20" s="229">
        <v>0.49759999999999999</v>
      </c>
      <c r="EK20" s="228">
        <v>249.47</v>
      </c>
      <c r="EL20" s="228">
        <v>124.32</v>
      </c>
      <c r="EM20" s="228">
        <v>205.51</v>
      </c>
      <c r="EN20" s="228">
        <v>52.69</v>
      </c>
      <c r="EO20" s="228">
        <v>579.29999999999995</v>
      </c>
      <c r="EP20" s="228">
        <v>380.46</v>
      </c>
      <c r="EQ20" s="228">
        <v>198.84</v>
      </c>
      <c r="ER20" s="229">
        <v>0.52259999999999995</v>
      </c>
      <c r="ES20" s="228">
        <v>401.05</v>
      </c>
      <c r="ET20" s="228">
        <v>215.89</v>
      </c>
      <c r="EU20" s="231">
        <v>2706.09</v>
      </c>
      <c r="EV20" s="231">
        <v>41977935</v>
      </c>
      <c r="EW20" s="231">
        <v>3323.04</v>
      </c>
      <c r="EX20" s="231">
        <v>3276.38</v>
      </c>
      <c r="EY20" s="228">
        <v>46.66</v>
      </c>
      <c r="EZ20" s="229">
        <v>1.4200000000000001E-2</v>
      </c>
      <c r="FA20" s="229">
        <v>0.57099999999999995</v>
      </c>
      <c r="FB20" s="227" t="s">
        <v>566</v>
      </c>
      <c r="FC20">
        <f t="shared" si="0"/>
        <v>7</v>
      </c>
    </row>
    <row r="21" spans="1:159" ht="17.25" thickBot="1" x14ac:dyDescent="0.3">
      <c r="A21" s="226">
        <v>46146</v>
      </c>
      <c r="B21" s="227" t="s">
        <v>172</v>
      </c>
      <c r="C21" s="227" t="s">
        <v>173</v>
      </c>
      <c r="D21" s="228">
        <v>625</v>
      </c>
      <c r="E21" s="228">
        <v>22</v>
      </c>
      <c r="F21" s="231">
        <v>1282.2</v>
      </c>
      <c r="G21" s="231">
        <v>1275.9000000000001</v>
      </c>
      <c r="H21" s="228">
        <v>6.3</v>
      </c>
      <c r="I21" s="229">
        <v>4.8999999999999998E-3</v>
      </c>
      <c r="J21" s="231">
        <v>1275.0999999999999</v>
      </c>
      <c r="K21" s="231">
        <v>1268.3</v>
      </c>
      <c r="L21" s="228">
        <v>6.8</v>
      </c>
      <c r="M21" s="229">
        <v>5.4000000000000003E-3</v>
      </c>
      <c r="N21" s="231">
        <v>1282.2</v>
      </c>
      <c r="O21" s="231">
        <v>1275.9000000000001</v>
      </c>
      <c r="P21" s="228">
        <v>6.3</v>
      </c>
      <c r="Q21" s="229">
        <v>4.8999999999999998E-3</v>
      </c>
      <c r="R21" s="231">
        <v>1290.5</v>
      </c>
      <c r="S21" s="231">
        <v>1283.7</v>
      </c>
      <c r="T21" s="228">
        <v>6.8</v>
      </c>
      <c r="U21" s="229">
        <v>5.3E-3</v>
      </c>
      <c r="V21" s="231">
        <v>1297.4000000000001</v>
      </c>
      <c r="W21" s="231">
        <v>1290.4000000000001</v>
      </c>
      <c r="X21" s="228">
        <v>7</v>
      </c>
      <c r="Y21" s="229">
        <v>5.4000000000000003E-3</v>
      </c>
      <c r="Z21" s="228">
        <v>7.1</v>
      </c>
      <c r="AA21" s="228">
        <v>7.6</v>
      </c>
      <c r="AB21" s="228">
        <v>-0.5</v>
      </c>
      <c r="AC21" s="229">
        <v>5.5999999999999999E-3</v>
      </c>
      <c r="AD21" s="228">
        <v>7.1</v>
      </c>
      <c r="AE21" s="228">
        <v>7.6</v>
      </c>
      <c r="AF21" s="228">
        <v>-0.5</v>
      </c>
      <c r="AG21" s="229">
        <v>5.5999999999999999E-3</v>
      </c>
      <c r="AH21" s="228">
        <v>15.4</v>
      </c>
      <c r="AI21" s="228">
        <v>15.4</v>
      </c>
      <c r="AJ21" s="228">
        <v>0</v>
      </c>
      <c r="AK21" s="229">
        <v>1.21E-2</v>
      </c>
      <c r="AL21" s="228">
        <v>22.3</v>
      </c>
      <c r="AM21" s="228">
        <v>22.1</v>
      </c>
      <c r="AN21" s="228">
        <v>0.2</v>
      </c>
      <c r="AO21" s="229">
        <v>1.7500000000000002E-2</v>
      </c>
      <c r="AP21" s="231">
        <v>1285.04</v>
      </c>
      <c r="AQ21" s="231">
        <v>1291.75</v>
      </c>
      <c r="AR21" s="228">
        <v>0</v>
      </c>
      <c r="AS21" s="228">
        <v>940</v>
      </c>
      <c r="AT21" s="230">
        <v>1336</v>
      </c>
      <c r="AU21" s="228">
        <v>-397</v>
      </c>
      <c r="AV21" s="229">
        <v>-0.29680000000000001</v>
      </c>
      <c r="AW21" s="228">
        <v>822</v>
      </c>
      <c r="AX21" s="230">
        <v>1187</v>
      </c>
      <c r="AY21" s="228">
        <v>-365</v>
      </c>
      <c r="AZ21" s="229">
        <v>-0.30740000000000001</v>
      </c>
      <c r="BA21" s="228">
        <v>115</v>
      </c>
      <c r="BB21" s="228">
        <v>143</v>
      </c>
      <c r="BC21" s="228">
        <v>-28</v>
      </c>
      <c r="BD21" s="229">
        <v>-0.19289999999999999</v>
      </c>
      <c r="BE21" s="228">
        <v>2</v>
      </c>
      <c r="BF21" s="228">
        <v>6</v>
      </c>
      <c r="BG21" s="228">
        <v>-4</v>
      </c>
      <c r="BH21" s="229">
        <v>-0.65820000000000001</v>
      </c>
      <c r="BI21" s="230">
        <v>2545</v>
      </c>
      <c r="BJ21" s="230">
        <v>3155</v>
      </c>
      <c r="BK21" s="228">
        <v>-609</v>
      </c>
      <c r="BL21" s="229">
        <v>-0.19309999999999999</v>
      </c>
      <c r="BM21" s="230">
        <v>1260</v>
      </c>
      <c r="BN21" s="230">
        <v>2232</v>
      </c>
      <c r="BO21" s="228">
        <v>-972</v>
      </c>
      <c r="BP21" s="229">
        <v>-0.43559999999999999</v>
      </c>
      <c r="BQ21" s="230">
        <v>4745</v>
      </c>
      <c r="BR21" s="230">
        <v>6723</v>
      </c>
      <c r="BS21" s="230">
        <v>-1978</v>
      </c>
      <c r="BT21" s="229">
        <v>-0.29420000000000002</v>
      </c>
      <c r="BU21" s="230">
        <v>10542787</v>
      </c>
      <c r="BV21" s="230">
        <v>17248371</v>
      </c>
      <c r="BW21" s="230">
        <v>-6705584</v>
      </c>
      <c r="BX21" s="229">
        <v>-0.38879999999999998</v>
      </c>
      <c r="BY21" s="230">
        <v>8538</v>
      </c>
      <c r="BZ21" s="230">
        <v>8269</v>
      </c>
      <c r="CA21" s="228">
        <v>268</v>
      </c>
      <c r="CB21" s="229">
        <v>3.2399999999999998E-2</v>
      </c>
      <c r="CC21" s="230">
        <v>7550</v>
      </c>
      <c r="CD21" s="230">
        <v>7373</v>
      </c>
      <c r="CE21" s="228">
        <v>177</v>
      </c>
      <c r="CF21" s="229">
        <v>2.3900000000000001E-2</v>
      </c>
      <c r="CG21" s="228">
        <v>980</v>
      </c>
      <c r="CH21" s="228">
        <v>890</v>
      </c>
      <c r="CI21" s="228">
        <v>91</v>
      </c>
      <c r="CJ21" s="229">
        <v>0.10199999999999999</v>
      </c>
      <c r="CK21" s="228">
        <v>8</v>
      </c>
      <c r="CL21" s="228">
        <v>7</v>
      </c>
      <c r="CM21" s="228">
        <v>1</v>
      </c>
      <c r="CN21" s="229">
        <v>0.15659999999999999</v>
      </c>
      <c r="CO21" s="230">
        <v>1897</v>
      </c>
      <c r="CP21" s="230">
        <v>1611</v>
      </c>
      <c r="CQ21" s="228">
        <v>286</v>
      </c>
      <c r="CR21" s="229">
        <v>0.1777</v>
      </c>
      <c r="CS21" s="230">
        <v>1322</v>
      </c>
      <c r="CT21" s="230">
        <v>1129</v>
      </c>
      <c r="CU21" s="228">
        <v>193</v>
      </c>
      <c r="CV21" s="229">
        <v>0.1709</v>
      </c>
      <c r="CW21" s="230">
        <v>11757</v>
      </c>
      <c r="CX21" s="230">
        <v>11009</v>
      </c>
      <c r="CY21" s="228">
        <v>747</v>
      </c>
      <c r="CZ21" s="229">
        <v>6.7900000000000002E-2</v>
      </c>
      <c r="DA21" s="228">
        <v>26.04</v>
      </c>
      <c r="DB21" s="228">
        <v>25.98</v>
      </c>
      <c r="DC21" s="228">
        <v>0.06</v>
      </c>
      <c r="DD21" s="228">
        <v>0.06</v>
      </c>
      <c r="DE21" s="228">
        <v>30.1</v>
      </c>
      <c r="DF21" s="228">
        <v>30.16</v>
      </c>
      <c r="DG21" s="228">
        <v>-4.0599999999999996</v>
      </c>
      <c r="DH21" s="228">
        <v>-0.06</v>
      </c>
      <c r="DI21" s="228">
        <v>25.8</v>
      </c>
      <c r="DJ21" s="228">
        <v>25.79</v>
      </c>
      <c r="DK21" s="228">
        <v>0.01</v>
      </c>
      <c r="DL21" s="228">
        <v>0.01</v>
      </c>
      <c r="DM21" s="228">
        <v>26.53</v>
      </c>
      <c r="DN21" s="228">
        <v>26.25</v>
      </c>
      <c r="DO21" s="228">
        <v>0.28000000000000003</v>
      </c>
      <c r="DP21" s="228">
        <v>0.28000000000000003</v>
      </c>
      <c r="DQ21" s="228">
        <v>0.7</v>
      </c>
      <c r="DR21" s="228">
        <v>0.7</v>
      </c>
      <c r="DS21" s="228">
        <v>0</v>
      </c>
      <c r="DT21" s="229">
        <v>0</v>
      </c>
      <c r="DU21" s="231">
        <v>1400</v>
      </c>
      <c r="DV21" s="231">
        <v>1200</v>
      </c>
      <c r="DW21" s="228">
        <v>0.49</v>
      </c>
      <c r="DX21" s="228">
        <v>0.71</v>
      </c>
      <c r="DY21" s="228">
        <v>-0.22</v>
      </c>
      <c r="DZ21" s="229">
        <v>-0.30990000000000001</v>
      </c>
      <c r="EA21" s="229">
        <v>0.1157</v>
      </c>
      <c r="EB21" s="230">
        <v>6991250</v>
      </c>
      <c r="EC21" s="229">
        <v>6.4999999999999997E-3</v>
      </c>
      <c r="ED21" s="229">
        <v>0.1157</v>
      </c>
      <c r="EE21" s="228">
        <v>6.71</v>
      </c>
      <c r="EF21" s="229">
        <v>5.1999999999999998E-3</v>
      </c>
      <c r="EG21" s="230">
        <v>7214989</v>
      </c>
      <c r="EH21" s="230">
        <v>11666879</v>
      </c>
      <c r="EI21" s="229">
        <v>-0.38159999999999999</v>
      </c>
      <c r="EJ21" s="229">
        <v>0.68440000000000001</v>
      </c>
      <c r="EK21" s="231">
        <v>2681.63</v>
      </c>
      <c r="EL21" s="231">
        <v>1241.92</v>
      </c>
      <c r="EM21" s="228">
        <v>942.4</v>
      </c>
      <c r="EN21" s="228">
        <v>292.91000000000003</v>
      </c>
      <c r="EO21" s="231">
        <v>4865.96</v>
      </c>
      <c r="EP21" s="231">
        <v>6846.44</v>
      </c>
      <c r="EQ21" s="231">
        <v>-1980.48</v>
      </c>
      <c r="ER21" s="229">
        <v>-0.2893</v>
      </c>
      <c r="ES21" s="231">
        <v>2005.42</v>
      </c>
      <c r="ET21" s="231">
        <v>1287.4100000000001</v>
      </c>
      <c r="EU21" s="231">
        <v>8544.1299999999992</v>
      </c>
      <c r="EV21" s="231">
        <v>331596880</v>
      </c>
      <c r="EW21" s="231">
        <v>11836.96</v>
      </c>
      <c r="EX21" s="231">
        <v>11043.7</v>
      </c>
      <c r="EY21" s="228">
        <v>793.26</v>
      </c>
      <c r="EZ21" s="229">
        <v>7.1800000000000003E-2</v>
      </c>
      <c r="FA21" s="229">
        <v>0.27650000000000002</v>
      </c>
      <c r="FB21" s="227" t="s">
        <v>555</v>
      </c>
      <c r="FC21">
        <f t="shared" si="0"/>
        <v>988</v>
      </c>
    </row>
    <row r="22" spans="1:159" ht="17.25" thickBot="1" x14ac:dyDescent="0.3">
      <c r="A22" s="226">
        <v>46146</v>
      </c>
      <c r="B22" s="227" t="s">
        <v>162</v>
      </c>
      <c r="C22" s="227" t="s">
        <v>174</v>
      </c>
      <c r="D22" s="228">
        <v>75</v>
      </c>
      <c r="E22" s="228">
        <v>22</v>
      </c>
      <c r="F22" s="231">
        <v>10170.5</v>
      </c>
      <c r="G22" s="231">
        <v>10039</v>
      </c>
      <c r="H22" s="228">
        <v>131.5</v>
      </c>
      <c r="I22" s="229">
        <v>1.3100000000000001E-2</v>
      </c>
      <c r="J22" s="231">
        <v>10132</v>
      </c>
      <c r="K22" s="231">
        <v>9994</v>
      </c>
      <c r="L22" s="228">
        <v>138</v>
      </c>
      <c r="M22" s="229">
        <v>1.38E-2</v>
      </c>
      <c r="N22" s="231">
        <v>10170.5</v>
      </c>
      <c r="O22" s="231">
        <v>10039</v>
      </c>
      <c r="P22" s="228">
        <v>131.5</v>
      </c>
      <c r="Q22" s="229">
        <v>1.3100000000000001E-2</v>
      </c>
      <c r="R22" s="231">
        <v>10074.5</v>
      </c>
      <c r="S22" s="231">
        <v>9959</v>
      </c>
      <c r="T22" s="228">
        <v>115.5</v>
      </c>
      <c r="U22" s="229">
        <v>1.1599999999999999E-2</v>
      </c>
      <c r="V22" s="231">
        <v>9982.5</v>
      </c>
      <c r="W22" s="231">
        <v>9866</v>
      </c>
      <c r="X22" s="228">
        <v>116.5</v>
      </c>
      <c r="Y22" s="229">
        <v>1.18E-2</v>
      </c>
      <c r="Z22" s="228">
        <v>38.5</v>
      </c>
      <c r="AA22" s="228">
        <v>45</v>
      </c>
      <c r="AB22" s="228">
        <v>-6.5</v>
      </c>
      <c r="AC22" s="229">
        <v>3.8E-3</v>
      </c>
      <c r="AD22" s="228">
        <v>38.5</v>
      </c>
      <c r="AE22" s="228">
        <v>45</v>
      </c>
      <c r="AF22" s="228">
        <v>-6.5</v>
      </c>
      <c r="AG22" s="229">
        <v>3.8E-3</v>
      </c>
      <c r="AH22" s="228">
        <v>-57.5</v>
      </c>
      <c r="AI22" s="228">
        <v>-35</v>
      </c>
      <c r="AJ22" s="228">
        <v>-22.5</v>
      </c>
      <c r="AK22" s="229">
        <v>-5.7000000000000002E-3</v>
      </c>
      <c r="AL22" s="228">
        <v>-149.5</v>
      </c>
      <c r="AM22" s="228">
        <v>-128</v>
      </c>
      <c r="AN22" s="228">
        <v>-21.5</v>
      </c>
      <c r="AO22" s="229">
        <v>-1.4800000000000001E-2</v>
      </c>
      <c r="AP22" s="231">
        <v>10288.02</v>
      </c>
      <c r="AQ22" s="231">
        <v>10183.9</v>
      </c>
      <c r="AR22" s="228">
        <v>0</v>
      </c>
      <c r="AS22" s="228">
        <v>836</v>
      </c>
      <c r="AT22" s="230">
        <v>1725</v>
      </c>
      <c r="AU22" s="228">
        <v>-888</v>
      </c>
      <c r="AV22" s="229">
        <v>-0.5151</v>
      </c>
      <c r="AW22" s="228">
        <v>786</v>
      </c>
      <c r="AX22" s="230">
        <v>1615</v>
      </c>
      <c r="AY22" s="228">
        <v>-829</v>
      </c>
      <c r="AZ22" s="229">
        <v>-0.51329999999999998</v>
      </c>
      <c r="BA22" s="228">
        <v>46</v>
      </c>
      <c r="BB22" s="228">
        <v>103</v>
      </c>
      <c r="BC22" s="228">
        <v>-57</v>
      </c>
      <c r="BD22" s="229">
        <v>-0.55649999999999999</v>
      </c>
      <c r="BE22" s="228">
        <v>5</v>
      </c>
      <c r="BF22" s="228">
        <v>7</v>
      </c>
      <c r="BG22" s="228">
        <v>-3</v>
      </c>
      <c r="BH22" s="229">
        <v>-0.3367</v>
      </c>
      <c r="BI22" s="230">
        <v>5945</v>
      </c>
      <c r="BJ22" s="230">
        <v>8147</v>
      </c>
      <c r="BK22" s="230">
        <v>-2202</v>
      </c>
      <c r="BL22" s="229">
        <v>-0.27029999999999998</v>
      </c>
      <c r="BM22" s="230">
        <v>3315</v>
      </c>
      <c r="BN22" s="230">
        <v>3413</v>
      </c>
      <c r="BO22" s="228">
        <v>-97</v>
      </c>
      <c r="BP22" s="229">
        <v>-2.8500000000000001E-2</v>
      </c>
      <c r="BQ22" s="230">
        <v>10097</v>
      </c>
      <c r="BR22" s="230">
        <v>13285</v>
      </c>
      <c r="BS22" s="230">
        <v>-3188</v>
      </c>
      <c r="BT22" s="229">
        <v>-0.2399</v>
      </c>
      <c r="BU22" s="230">
        <v>763219</v>
      </c>
      <c r="BV22" s="230">
        <v>1258037</v>
      </c>
      <c r="BW22" s="230">
        <v>-494818</v>
      </c>
      <c r="BX22" s="229">
        <v>-0.39329999999999998</v>
      </c>
      <c r="BY22" s="230">
        <v>2645</v>
      </c>
      <c r="BZ22" s="230">
        <v>2616</v>
      </c>
      <c r="CA22" s="228">
        <v>29</v>
      </c>
      <c r="CB22" s="229">
        <v>1.0999999999999999E-2</v>
      </c>
      <c r="CC22" s="230">
        <v>2528</v>
      </c>
      <c r="CD22" s="230">
        <v>2512</v>
      </c>
      <c r="CE22" s="228">
        <v>15</v>
      </c>
      <c r="CF22" s="229">
        <v>6.1000000000000004E-3</v>
      </c>
      <c r="CG22" s="228">
        <v>111</v>
      </c>
      <c r="CH22" s="228">
        <v>100</v>
      </c>
      <c r="CI22" s="228">
        <v>11</v>
      </c>
      <c r="CJ22" s="229">
        <v>0.1115</v>
      </c>
      <c r="CK22" s="228">
        <v>6</v>
      </c>
      <c r="CL22" s="228">
        <v>4</v>
      </c>
      <c r="CM22" s="228">
        <v>2</v>
      </c>
      <c r="CN22" s="229">
        <v>0.54720000000000002</v>
      </c>
      <c r="CO22" s="230">
        <v>1455</v>
      </c>
      <c r="CP22" s="230">
        <v>1105</v>
      </c>
      <c r="CQ22" s="228">
        <v>350</v>
      </c>
      <c r="CR22" s="229">
        <v>0.31680000000000003</v>
      </c>
      <c r="CS22" s="230">
        <v>1157</v>
      </c>
      <c r="CT22" s="228">
        <v>979</v>
      </c>
      <c r="CU22" s="228">
        <v>178</v>
      </c>
      <c r="CV22" s="229">
        <v>0.18149999999999999</v>
      </c>
      <c r="CW22" s="230">
        <v>5257</v>
      </c>
      <c r="CX22" s="230">
        <v>4700</v>
      </c>
      <c r="CY22" s="228">
        <v>557</v>
      </c>
      <c r="CZ22" s="229">
        <v>0.11840000000000001</v>
      </c>
      <c r="DA22" s="228">
        <v>32.159999999999997</v>
      </c>
      <c r="DB22" s="228">
        <v>31.2</v>
      </c>
      <c r="DC22" s="228">
        <v>0.96</v>
      </c>
      <c r="DD22" s="228">
        <v>0.96</v>
      </c>
      <c r="DE22" s="228">
        <v>29.96</v>
      </c>
      <c r="DF22" s="228">
        <v>29.98</v>
      </c>
      <c r="DG22" s="228">
        <v>2.2000000000000002</v>
      </c>
      <c r="DH22" s="228">
        <v>-0.02</v>
      </c>
      <c r="DI22" s="228">
        <v>31.95</v>
      </c>
      <c r="DJ22" s="228">
        <v>30.85</v>
      </c>
      <c r="DK22" s="228">
        <v>1.1000000000000001</v>
      </c>
      <c r="DL22" s="228">
        <v>1.1000000000000001</v>
      </c>
      <c r="DM22" s="228">
        <v>32.54</v>
      </c>
      <c r="DN22" s="228">
        <v>32.020000000000003</v>
      </c>
      <c r="DO22" s="228">
        <v>0.52</v>
      </c>
      <c r="DP22" s="228">
        <v>0.52</v>
      </c>
      <c r="DQ22" s="228">
        <v>0.79</v>
      </c>
      <c r="DR22" s="228">
        <v>0.89</v>
      </c>
      <c r="DS22" s="228">
        <v>-0.1</v>
      </c>
      <c r="DT22" s="229">
        <v>-0.1124</v>
      </c>
      <c r="DU22" s="231">
        <v>11000</v>
      </c>
      <c r="DV22" s="231">
        <v>9000</v>
      </c>
      <c r="DW22" s="228">
        <v>0.56000000000000005</v>
      </c>
      <c r="DX22" s="228">
        <v>0.42</v>
      </c>
      <c r="DY22" s="228">
        <v>0.14000000000000001</v>
      </c>
      <c r="DZ22" s="229">
        <v>0.33329999999999999</v>
      </c>
      <c r="EA22" s="229">
        <v>4.4299999999999999E-2</v>
      </c>
      <c r="EB22" s="230">
        <v>102150</v>
      </c>
      <c r="EC22" s="229">
        <v>-9.4000000000000004E-3</v>
      </c>
      <c r="ED22" s="229">
        <v>4.4299999999999999E-2</v>
      </c>
      <c r="EE22" s="228">
        <v>-104.12</v>
      </c>
      <c r="EF22" s="229">
        <v>-1.01E-2</v>
      </c>
      <c r="EG22" s="230">
        <v>274513</v>
      </c>
      <c r="EH22" s="230">
        <v>475854</v>
      </c>
      <c r="EI22" s="229">
        <v>-0.42309999999999998</v>
      </c>
      <c r="EJ22" s="229">
        <v>0.35970000000000002</v>
      </c>
      <c r="EK22" s="231">
        <v>6399.07</v>
      </c>
      <c r="EL22" s="231">
        <v>3192.96</v>
      </c>
      <c r="EM22" s="228">
        <v>845.6</v>
      </c>
      <c r="EN22" s="228">
        <v>161.66</v>
      </c>
      <c r="EO22" s="231">
        <v>10437.620000000001</v>
      </c>
      <c r="EP22" s="231">
        <v>13232.37</v>
      </c>
      <c r="EQ22" s="231">
        <v>-2794.74</v>
      </c>
      <c r="ER22" s="229">
        <v>-0.2112</v>
      </c>
      <c r="ES22" s="231">
        <v>1484.13</v>
      </c>
      <c r="ET22" s="231">
        <v>1072.53</v>
      </c>
      <c r="EU22" s="231">
        <v>2643.65</v>
      </c>
      <c r="EV22" s="231">
        <v>12553818</v>
      </c>
      <c r="EW22" s="231">
        <v>5200.3</v>
      </c>
      <c r="EX22" s="231">
        <v>4579.25</v>
      </c>
      <c r="EY22" s="228">
        <v>621.04999999999995</v>
      </c>
      <c r="EZ22" s="229">
        <v>0.1356</v>
      </c>
      <c r="FA22" s="229">
        <v>0.41170000000000001</v>
      </c>
      <c r="FB22" s="227" t="s">
        <v>555</v>
      </c>
      <c r="FC22">
        <f t="shared" si="0"/>
        <v>117</v>
      </c>
    </row>
    <row r="23" spans="1:159" ht="17.25" thickBot="1" x14ac:dyDescent="0.3">
      <c r="A23" s="226">
        <v>46146</v>
      </c>
      <c r="B23" s="227" t="s">
        <v>175</v>
      </c>
      <c r="C23" s="227" t="s">
        <v>176</v>
      </c>
      <c r="D23" s="228">
        <v>250</v>
      </c>
      <c r="E23" s="228">
        <v>22</v>
      </c>
      <c r="F23" s="231">
        <v>1780.2</v>
      </c>
      <c r="G23" s="231">
        <v>1752.4</v>
      </c>
      <c r="H23" s="228">
        <v>27.8</v>
      </c>
      <c r="I23" s="229">
        <v>1.5900000000000001E-2</v>
      </c>
      <c r="J23" s="231">
        <v>1770.4</v>
      </c>
      <c r="K23" s="231">
        <v>1747.2</v>
      </c>
      <c r="L23" s="228">
        <v>23.2</v>
      </c>
      <c r="M23" s="229">
        <v>1.3299999999999999E-2</v>
      </c>
      <c r="N23" s="231">
        <v>1780.2</v>
      </c>
      <c r="O23" s="231">
        <v>1752.4</v>
      </c>
      <c r="P23" s="228">
        <v>27.8</v>
      </c>
      <c r="Q23" s="229">
        <v>1.5900000000000001E-2</v>
      </c>
      <c r="R23" s="231">
        <v>1790.2</v>
      </c>
      <c r="S23" s="231">
        <v>1764.1</v>
      </c>
      <c r="T23" s="228">
        <v>26.1</v>
      </c>
      <c r="U23" s="229">
        <v>1.4800000000000001E-2</v>
      </c>
      <c r="V23" s="231">
        <v>1800.2</v>
      </c>
      <c r="W23" s="231">
        <v>1774.5</v>
      </c>
      <c r="X23" s="228">
        <v>25.7</v>
      </c>
      <c r="Y23" s="229">
        <v>1.4500000000000001E-2</v>
      </c>
      <c r="Z23" s="228">
        <v>9.8000000000000007</v>
      </c>
      <c r="AA23" s="228">
        <v>5.2</v>
      </c>
      <c r="AB23" s="228">
        <v>4.5999999999999996</v>
      </c>
      <c r="AC23" s="229">
        <v>5.4999999999999997E-3</v>
      </c>
      <c r="AD23" s="228">
        <v>9.8000000000000007</v>
      </c>
      <c r="AE23" s="228">
        <v>5.2</v>
      </c>
      <c r="AF23" s="228">
        <v>4.5999999999999996</v>
      </c>
      <c r="AG23" s="229">
        <v>5.4999999999999997E-3</v>
      </c>
      <c r="AH23" s="228">
        <v>19.8</v>
      </c>
      <c r="AI23" s="228">
        <v>16.899999999999999</v>
      </c>
      <c r="AJ23" s="228">
        <v>2.9</v>
      </c>
      <c r="AK23" s="229">
        <v>1.12E-2</v>
      </c>
      <c r="AL23" s="228">
        <v>29.8</v>
      </c>
      <c r="AM23" s="228">
        <v>27.3</v>
      </c>
      <c r="AN23" s="228">
        <v>2.5</v>
      </c>
      <c r="AO23" s="229">
        <v>1.6799999999999999E-2</v>
      </c>
      <c r="AP23" s="231">
        <v>1778.75</v>
      </c>
      <c r="AQ23" s="231">
        <v>1787.28</v>
      </c>
      <c r="AR23" s="228">
        <v>0</v>
      </c>
      <c r="AS23" s="228">
        <v>248</v>
      </c>
      <c r="AT23" s="228">
        <v>464</v>
      </c>
      <c r="AU23" s="228">
        <v>-216</v>
      </c>
      <c r="AV23" s="229">
        <v>-0.4647</v>
      </c>
      <c r="AW23" s="228">
        <v>220</v>
      </c>
      <c r="AX23" s="228">
        <v>442</v>
      </c>
      <c r="AY23" s="228">
        <v>-222</v>
      </c>
      <c r="AZ23" s="229">
        <v>-0.50290000000000001</v>
      </c>
      <c r="BA23" s="228">
        <v>28</v>
      </c>
      <c r="BB23" s="228">
        <v>19</v>
      </c>
      <c r="BC23" s="228">
        <v>9</v>
      </c>
      <c r="BD23" s="229">
        <v>0.46339999999999998</v>
      </c>
      <c r="BE23" s="228">
        <v>1</v>
      </c>
      <c r="BF23" s="228">
        <v>3</v>
      </c>
      <c r="BG23" s="228">
        <v>-2</v>
      </c>
      <c r="BH23" s="229">
        <v>-0.65669999999999995</v>
      </c>
      <c r="BI23" s="228">
        <v>899</v>
      </c>
      <c r="BJ23" s="230">
        <v>1831</v>
      </c>
      <c r="BK23" s="228">
        <v>-932</v>
      </c>
      <c r="BL23" s="229">
        <v>-0.5091</v>
      </c>
      <c r="BM23" s="228">
        <v>590</v>
      </c>
      <c r="BN23" s="230">
        <v>1155</v>
      </c>
      <c r="BO23" s="228">
        <v>-566</v>
      </c>
      <c r="BP23" s="229">
        <v>-0.48959999999999998</v>
      </c>
      <c r="BQ23" s="230">
        <v>1737</v>
      </c>
      <c r="BR23" s="230">
        <v>3450</v>
      </c>
      <c r="BS23" s="230">
        <v>-1713</v>
      </c>
      <c r="BT23" s="229">
        <v>-0.49659999999999999</v>
      </c>
      <c r="BU23" s="230">
        <v>1745036</v>
      </c>
      <c r="BV23" s="230">
        <v>2722860</v>
      </c>
      <c r="BW23" s="230">
        <v>-977824</v>
      </c>
      <c r="BX23" s="229">
        <v>-0.35909999999999997</v>
      </c>
      <c r="BY23" s="230">
        <v>2069</v>
      </c>
      <c r="BZ23" s="230">
        <v>1999</v>
      </c>
      <c r="CA23" s="228">
        <v>70</v>
      </c>
      <c r="CB23" s="229">
        <v>3.4799999999999998E-2</v>
      </c>
      <c r="CC23" s="230">
        <v>1886</v>
      </c>
      <c r="CD23" s="230">
        <v>1833</v>
      </c>
      <c r="CE23" s="228">
        <v>53</v>
      </c>
      <c r="CF23" s="229">
        <v>2.9100000000000001E-2</v>
      </c>
      <c r="CG23" s="228">
        <v>179</v>
      </c>
      <c r="CH23" s="228">
        <v>163</v>
      </c>
      <c r="CI23" s="228">
        <v>15</v>
      </c>
      <c r="CJ23" s="229">
        <v>9.4100000000000003E-2</v>
      </c>
      <c r="CK23" s="228">
        <v>4</v>
      </c>
      <c r="CL23" s="228">
        <v>3</v>
      </c>
      <c r="CM23" s="228">
        <v>1</v>
      </c>
      <c r="CN23" s="229">
        <v>0.254</v>
      </c>
      <c r="CO23" s="228">
        <v>495</v>
      </c>
      <c r="CP23" s="228">
        <v>468</v>
      </c>
      <c r="CQ23" s="228">
        <v>26</v>
      </c>
      <c r="CR23" s="229">
        <v>5.6500000000000002E-2</v>
      </c>
      <c r="CS23" s="228">
        <v>519</v>
      </c>
      <c r="CT23" s="228">
        <v>472</v>
      </c>
      <c r="CU23" s="228">
        <v>47</v>
      </c>
      <c r="CV23" s="229">
        <v>9.9699999999999997E-2</v>
      </c>
      <c r="CW23" s="230">
        <v>3082</v>
      </c>
      <c r="CX23" s="230">
        <v>2939</v>
      </c>
      <c r="CY23" s="228">
        <v>143</v>
      </c>
      <c r="CZ23" s="229">
        <v>4.87E-2</v>
      </c>
      <c r="DA23" s="228">
        <v>28.1</v>
      </c>
      <c r="DB23" s="228">
        <v>29.93</v>
      </c>
      <c r="DC23" s="228">
        <v>-1.83</v>
      </c>
      <c r="DD23" s="228">
        <v>-1.83</v>
      </c>
      <c r="DE23" s="228">
        <v>30.37</v>
      </c>
      <c r="DF23" s="228">
        <v>30.37</v>
      </c>
      <c r="DG23" s="228">
        <v>-2.27</v>
      </c>
      <c r="DH23" s="228">
        <v>0</v>
      </c>
      <c r="DI23" s="228">
        <v>27</v>
      </c>
      <c r="DJ23" s="228">
        <v>29.4</v>
      </c>
      <c r="DK23" s="228">
        <v>-2.4</v>
      </c>
      <c r="DL23" s="228">
        <v>-2.4</v>
      </c>
      <c r="DM23" s="228">
        <v>29.77</v>
      </c>
      <c r="DN23" s="228">
        <v>30.77</v>
      </c>
      <c r="DO23" s="228">
        <v>-1</v>
      </c>
      <c r="DP23" s="228">
        <v>-1</v>
      </c>
      <c r="DQ23" s="228">
        <v>1.05</v>
      </c>
      <c r="DR23" s="228">
        <v>1.01</v>
      </c>
      <c r="DS23" s="228">
        <v>0.04</v>
      </c>
      <c r="DT23" s="229">
        <v>3.9600000000000003E-2</v>
      </c>
      <c r="DU23" s="231">
        <v>1800</v>
      </c>
      <c r="DV23" s="231">
        <v>1780</v>
      </c>
      <c r="DW23" s="228">
        <v>0.66</v>
      </c>
      <c r="DX23" s="228">
        <v>0.63</v>
      </c>
      <c r="DY23" s="228">
        <v>0.03</v>
      </c>
      <c r="DZ23" s="229">
        <v>4.7600000000000003E-2</v>
      </c>
      <c r="EA23" s="229">
        <v>8.8300000000000003E-2</v>
      </c>
      <c r="EB23" s="230">
        <v>935400</v>
      </c>
      <c r="EC23" s="229">
        <v>5.5999999999999999E-3</v>
      </c>
      <c r="ED23" s="229">
        <v>8.8300000000000003E-2</v>
      </c>
      <c r="EE23" s="228">
        <v>8.5299999999999994</v>
      </c>
      <c r="EF23" s="229">
        <v>4.7999999999999996E-3</v>
      </c>
      <c r="EG23" s="230">
        <v>936130</v>
      </c>
      <c r="EH23" s="230">
        <v>1143296</v>
      </c>
      <c r="EI23" s="229">
        <v>-0.1812</v>
      </c>
      <c r="EJ23" s="229">
        <v>0.53649999999999998</v>
      </c>
      <c r="EK23" s="228">
        <v>947.28</v>
      </c>
      <c r="EL23" s="228">
        <v>573.38</v>
      </c>
      <c r="EM23" s="228">
        <v>248.62</v>
      </c>
      <c r="EN23" s="228">
        <v>136.65</v>
      </c>
      <c r="EO23" s="231">
        <v>1769.28</v>
      </c>
      <c r="EP23" s="231">
        <v>3525.04</v>
      </c>
      <c r="EQ23" s="231">
        <v>-1755.77</v>
      </c>
      <c r="ER23" s="229">
        <v>-0.49809999999999999</v>
      </c>
      <c r="ES23" s="228">
        <v>516.79</v>
      </c>
      <c r="ET23" s="228">
        <v>510.05</v>
      </c>
      <c r="EU23" s="231">
        <v>2069.63</v>
      </c>
      <c r="EV23" s="231">
        <v>65784745</v>
      </c>
      <c r="EW23" s="231">
        <v>3096.47</v>
      </c>
      <c r="EX23" s="231">
        <v>2919.91</v>
      </c>
      <c r="EY23" s="228">
        <v>176.56</v>
      </c>
      <c r="EZ23" s="229">
        <v>6.0499999999999998E-2</v>
      </c>
      <c r="FA23" s="229">
        <v>0.26319999999999999</v>
      </c>
      <c r="FB23" s="227" t="s">
        <v>555</v>
      </c>
      <c r="FC23">
        <f t="shared" si="0"/>
        <v>183</v>
      </c>
    </row>
    <row r="24" spans="1:159" ht="17.25" thickBot="1" x14ac:dyDescent="0.3">
      <c r="A24" s="226">
        <v>46146</v>
      </c>
      <c r="B24" s="227" t="s">
        <v>175</v>
      </c>
      <c r="C24" s="227" t="s">
        <v>687</v>
      </c>
      <c r="D24" s="228">
        <v>50</v>
      </c>
      <c r="E24" s="228">
        <v>22</v>
      </c>
      <c r="F24" s="231">
        <v>10427</v>
      </c>
      <c r="G24" s="231">
        <v>10336</v>
      </c>
      <c r="H24" s="228">
        <v>91</v>
      </c>
      <c r="I24" s="229">
        <v>8.8000000000000005E-3</v>
      </c>
      <c r="J24" s="231">
        <v>10376</v>
      </c>
      <c r="K24" s="231">
        <v>10267</v>
      </c>
      <c r="L24" s="228">
        <v>109</v>
      </c>
      <c r="M24" s="229">
        <v>1.06E-2</v>
      </c>
      <c r="N24" s="231">
        <v>10427</v>
      </c>
      <c r="O24" s="231">
        <v>10336</v>
      </c>
      <c r="P24" s="228">
        <v>91</v>
      </c>
      <c r="Q24" s="229">
        <v>8.8000000000000005E-3</v>
      </c>
      <c r="R24" s="231">
        <v>10440</v>
      </c>
      <c r="S24" s="231">
        <v>10355</v>
      </c>
      <c r="T24" s="228">
        <v>85</v>
      </c>
      <c r="U24" s="229">
        <v>8.2000000000000007E-3</v>
      </c>
      <c r="V24" s="228">
        <v>0</v>
      </c>
      <c r="W24" s="228">
        <v>0</v>
      </c>
      <c r="X24" s="228">
        <v>0</v>
      </c>
      <c r="Y24" s="229">
        <v>0</v>
      </c>
      <c r="Z24" s="228">
        <v>51</v>
      </c>
      <c r="AA24" s="228">
        <v>69</v>
      </c>
      <c r="AB24" s="228">
        <v>-18</v>
      </c>
      <c r="AC24" s="229">
        <v>4.8999999999999998E-3</v>
      </c>
      <c r="AD24" s="228">
        <v>51</v>
      </c>
      <c r="AE24" s="228">
        <v>69</v>
      </c>
      <c r="AF24" s="228">
        <v>-18</v>
      </c>
      <c r="AG24" s="229">
        <v>4.8999999999999998E-3</v>
      </c>
      <c r="AH24" s="228">
        <v>64</v>
      </c>
      <c r="AI24" s="228">
        <v>88</v>
      </c>
      <c r="AJ24" s="228">
        <v>-24</v>
      </c>
      <c r="AK24" s="229">
        <v>6.1999999999999998E-3</v>
      </c>
      <c r="AL24" s="228">
        <v>0</v>
      </c>
      <c r="AM24" s="228">
        <v>0</v>
      </c>
      <c r="AN24" s="228">
        <v>0</v>
      </c>
      <c r="AO24" s="229">
        <v>0</v>
      </c>
      <c r="AP24" s="231">
        <v>10528.07</v>
      </c>
      <c r="AQ24" s="231">
        <v>10536.36</v>
      </c>
      <c r="AR24" s="228">
        <v>0</v>
      </c>
      <c r="AS24" s="228">
        <v>44</v>
      </c>
      <c r="AT24" s="228">
        <v>26</v>
      </c>
      <c r="AU24" s="228">
        <v>19</v>
      </c>
      <c r="AV24" s="229">
        <v>0.73470000000000002</v>
      </c>
      <c r="AW24" s="228">
        <v>43</v>
      </c>
      <c r="AX24" s="228">
        <v>25</v>
      </c>
      <c r="AY24" s="228">
        <v>18</v>
      </c>
      <c r="AZ24" s="229">
        <v>0.73219999999999996</v>
      </c>
      <c r="BA24" s="228">
        <v>1</v>
      </c>
      <c r="BB24" s="228">
        <v>1</v>
      </c>
      <c r="BC24" s="228">
        <v>1</v>
      </c>
      <c r="BD24" s="229">
        <v>0.83330000000000004</v>
      </c>
      <c r="BE24" s="228">
        <v>0</v>
      </c>
      <c r="BF24" s="228">
        <v>0</v>
      </c>
      <c r="BG24" s="228">
        <v>0</v>
      </c>
      <c r="BH24" s="229">
        <v>0</v>
      </c>
      <c r="BI24" s="228">
        <v>209</v>
      </c>
      <c r="BJ24" s="228">
        <v>61</v>
      </c>
      <c r="BK24" s="228">
        <v>148</v>
      </c>
      <c r="BL24" s="229">
        <v>2.4127999999999998</v>
      </c>
      <c r="BM24" s="228">
        <v>31</v>
      </c>
      <c r="BN24" s="228">
        <v>14</v>
      </c>
      <c r="BO24" s="228">
        <v>16</v>
      </c>
      <c r="BP24" s="229">
        <v>1.1294999999999999</v>
      </c>
      <c r="BQ24" s="228">
        <v>284</v>
      </c>
      <c r="BR24" s="228">
        <v>101</v>
      </c>
      <c r="BS24" s="228">
        <v>183</v>
      </c>
      <c r="BT24" s="229">
        <v>1.806</v>
      </c>
      <c r="BU24" s="230">
        <v>51293</v>
      </c>
      <c r="BV24" s="230">
        <v>29776</v>
      </c>
      <c r="BW24" s="230">
        <v>21517</v>
      </c>
      <c r="BX24" s="229">
        <v>0.72260000000000002</v>
      </c>
      <c r="BY24" s="228">
        <v>268</v>
      </c>
      <c r="BZ24" s="228">
        <v>263</v>
      </c>
      <c r="CA24" s="228">
        <v>5</v>
      </c>
      <c r="CB24" s="229">
        <v>1.8200000000000001E-2</v>
      </c>
      <c r="CC24" s="228">
        <v>265</v>
      </c>
      <c r="CD24" s="228">
        <v>261</v>
      </c>
      <c r="CE24" s="228">
        <v>4</v>
      </c>
      <c r="CF24" s="229">
        <v>1.66E-2</v>
      </c>
      <c r="CG24" s="228">
        <v>3</v>
      </c>
      <c r="CH24" s="228">
        <v>2</v>
      </c>
      <c r="CI24" s="228">
        <v>0</v>
      </c>
      <c r="CJ24" s="229">
        <v>0.20930000000000001</v>
      </c>
      <c r="CK24" s="228">
        <v>0</v>
      </c>
      <c r="CL24" s="228">
        <v>0</v>
      </c>
      <c r="CM24" s="228">
        <v>0</v>
      </c>
      <c r="CN24" s="229">
        <v>0</v>
      </c>
      <c r="CO24" s="228">
        <v>58</v>
      </c>
      <c r="CP24" s="228">
        <v>38</v>
      </c>
      <c r="CQ24" s="228">
        <v>20</v>
      </c>
      <c r="CR24" s="229">
        <v>0.51700000000000002</v>
      </c>
      <c r="CS24" s="228">
        <v>26</v>
      </c>
      <c r="CT24" s="228">
        <v>17</v>
      </c>
      <c r="CU24" s="228">
        <v>8</v>
      </c>
      <c r="CV24" s="229">
        <v>0.4924</v>
      </c>
      <c r="CW24" s="228">
        <v>352</v>
      </c>
      <c r="CX24" s="228">
        <v>319</v>
      </c>
      <c r="CY24" s="228">
        <v>33</v>
      </c>
      <c r="CZ24" s="229">
        <v>0.1037</v>
      </c>
      <c r="DA24" s="228">
        <v>38.5</v>
      </c>
      <c r="DB24" s="228">
        <v>36.31</v>
      </c>
      <c r="DC24" s="228">
        <v>2.19</v>
      </c>
      <c r="DD24" s="228">
        <v>2.19</v>
      </c>
      <c r="DE24" s="228">
        <v>38.130000000000003</v>
      </c>
      <c r="DF24" s="228">
        <v>38.21</v>
      </c>
      <c r="DG24" s="228">
        <v>0.37</v>
      </c>
      <c r="DH24" s="228">
        <v>-0.08</v>
      </c>
      <c r="DI24" s="228">
        <v>38.6</v>
      </c>
      <c r="DJ24" s="228">
        <v>35.74</v>
      </c>
      <c r="DK24" s="228">
        <v>2.86</v>
      </c>
      <c r="DL24" s="228">
        <v>2.86</v>
      </c>
      <c r="DM24" s="228">
        <v>37.78</v>
      </c>
      <c r="DN24" s="228">
        <v>38.75</v>
      </c>
      <c r="DO24" s="228">
        <v>-0.97</v>
      </c>
      <c r="DP24" s="228">
        <v>-0.97</v>
      </c>
      <c r="DQ24" s="228">
        <v>0.44</v>
      </c>
      <c r="DR24" s="228">
        <v>0.45</v>
      </c>
      <c r="DS24" s="228">
        <v>-0.01</v>
      </c>
      <c r="DT24" s="229">
        <v>-2.2200000000000001E-2</v>
      </c>
      <c r="DU24" s="231">
        <v>11000</v>
      </c>
      <c r="DV24" s="231">
        <v>10000</v>
      </c>
      <c r="DW24" s="228">
        <v>0.15</v>
      </c>
      <c r="DX24" s="228">
        <v>0.24</v>
      </c>
      <c r="DY24" s="228">
        <v>-0.09</v>
      </c>
      <c r="DZ24" s="229">
        <v>-0.375</v>
      </c>
      <c r="EA24" s="229">
        <v>1.01E-2</v>
      </c>
      <c r="EB24" s="230">
        <v>2150</v>
      </c>
      <c r="EC24" s="229">
        <v>1.1999999999999999E-3</v>
      </c>
      <c r="ED24" s="229">
        <v>1.01E-2</v>
      </c>
      <c r="EE24" s="228">
        <v>8.2899999999999991</v>
      </c>
      <c r="EF24" s="229">
        <v>8.0000000000000004E-4</v>
      </c>
      <c r="EG24" s="230">
        <v>17850</v>
      </c>
      <c r="EH24" s="230">
        <v>11744</v>
      </c>
      <c r="EI24" s="229">
        <v>0.51990000000000003</v>
      </c>
      <c r="EJ24" s="229">
        <v>0.34799999999999998</v>
      </c>
      <c r="EK24" s="228">
        <v>226.46</v>
      </c>
      <c r="EL24" s="228">
        <v>30.56</v>
      </c>
      <c r="EM24" s="228">
        <v>44.75</v>
      </c>
      <c r="EN24" s="228">
        <v>19.61</v>
      </c>
      <c r="EO24" s="228">
        <v>301.76</v>
      </c>
      <c r="EP24" s="228">
        <v>104.42</v>
      </c>
      <c r="EQ24" s="228">
        <v>197.34</v>
      </c>
      <c r="ER24" s="229">
        <v>1.8898999999999999</v>
      </c>
      <c r="ES24" s="228">
        <v>61.72</v>
      </c>
      <c r="ET24" s="228">
        <v>24.37</v>
      </c>
      <c r="EU24" s="228">
        <v>267.98</v>
      </c>
      <c r="EV24" s="231">
        <v>5401993</v>
      </c>
      <c r="EW24" s="228">
        <v>354.06</v>
      </c>
      <c r="EX24" s="228">
        <v>317.45999999999998</v>
      </c>
      <c r="EY24" s="228">
        <v>36.6</v>
      </c>
      <c r="EZ24" s="229">
        <v>0.1153</v>
      </c>
      <c r="FA24" s="229">
        <v>6.2399999999999997E-2</v>
      </c>
      <c r="FB24" s="227" t="s">
        <v>555</v>
      </c>
      <c r="FC24">
        <f t="shared" si="0"/>
        <v>3</v>
      </c>
    </row>
    <row r="25" spans="1:159" ht="17.25" thickBot="1" x14ac:dyDescent="0.3">
      <c r="A25" s="226">
        <v>46146</v>
      </c>
      <c r="B25" s="227" t="s">
        <v>175</v>
      </c>
      <c r="C25" s="227" t="s">
        <v>177</v>
      </c>
      <c r="D25" s="228">
        <v>750</v>
      </c>
      <c r="E25" s="228">
        <v>22</v>
      </c>
      <c r="F25" s="228">
        <v>953.4</v>
      </c>
      <c r="G25" s="228">
        <v>942.35</v>
      </c>
      <c r="H25" s="228">
        <v>11.05</v>
      </c>
      <c r="I25" s="229">
        <v>1.17E-2</v>
      </c>
      <c r="J25" s="228">
        <v>950.2</v>
      </c>
      <c r="K25" s="228">
        <v>937</v>
      </c>
      <c r="L25" s="228">
        <v>13.2</v>
      </c>
      <c r="M25" s="229">
        <v>1.41E-2</v>
      </c>
      <c r="N25" s="228">
        <v>953.4</v>
      </c>
      <c r="O25" s="228">
        <v>942.35</v>
      </c>
      <c r="P25" s="228">
        <v>11.05</v>
      </c>
      <c r="Q25" s="229">
        <v>1.17E-2</v>
      </c>
      <c r="R25" s="228">
        <v>954.05</v>
      </c>
      <c r="S25" s="228">
        <v>942.2</v>
      </c>
      <c r="T25" s="228">
        <v>11.85</v>
      </c>
      <c r="U25" s="229">
        <v>1.26E-2</v>
      </c>
      <c r="V25" s="228">
        <v>958.85</v>
      </c>
      <c r="W25" s="228">
        <v>946.4</v>
      </c>
      <c r="X25" s="228">
        <v>12.45</v>
      </c>
      <c r="Y25" s="229">
        <v>1.32E-2</v>
      </c>
      <c r="Z25" s="228">
        <v>3.2</v>
      </c>
      <c r="AA25" s="228">
        <v>5.35</v>
      </c>
      <c r="AB25" s="228">
        <v>-2.15</v>
      </c>
      <c r="AC25" s="229">
        <v>3.3999999999999998E-3</v>
      </c>
      <c r="AD25" s="228">
        <v>3.2</v>
      </c>
      <c r="AE25" s="228">
        <v>5.35</v>
      </c>
      <c r="AF25" s="228">
        <v>-2.15</v>
      </c>
      <c r="AG25" s="229">
        <v>3.3999999999999998E-3</v>
      </c>
      <c r="AH25" s="228">
        <v>3.85</v>
      </c>
      <c r="AI25" s="228">
        <v>5.2</v>
      </c>
      <c r="AJ25" s="228">
        <v>-1.35</v>
      </c>
      <c r="AK25" s="229">
        <v>4.1000000000000003E-3</v>
      </c>
      <c r="AL25" s="228">
        <v>8.65</v>
      </c>
      <c r="AM25" s="228">
        <v>9.4</v>
      </c>
      <c r="AN25" s="228">
        <v>-0.75</v>
      </c>
      <c r="AO25" s="229">
        <v>9.1000000000000004E-3</v>
      </c>
      <c r="AP25" s="228">
        <v>956.69</v>
      </c>
      <c r="AQ25" s="228">
        <v>957</v>
      </c>
      <c r="AR25" s="228">
        <v>0</v>
      </c>
      <c r="AS25" s="228">
        <v>785</v>
      </c>
      <c r="AT25" s="230">
        <v>2747</v>
      </c>
      <c r="AU25" s="230">
        <v>-1963</v>
      </c>
      <c r="AV25" s="229">
        <v>-0.71440000000000003</v>
      </c>
      <c r="AW25" s="228">
        <v>720</v>
      </c>
      <c r="AX25" s="230">
        <v>2622</v>
      </c>
      <c r="AY25" s="230">
        <v>-1902</v>
      </c>
      <c r="AZ25" s="229">
        <v>-0.72550000000000003</v>
      </c>
      <c r="BA25" s="228">
        <v>58</v>
      </c>
      <c r="BB25" s="228">
        <v>111</v>
      </c>
      <c r="BC25" s="228">
        <v>-53</v>
      </c>
      <c r="BD25" s="229">
        <v>-0.4763</v>
      </c>
      <c r="BE25" s="228">
        <v>7</v>
      </c>
      <c r="BF25" s="228">
        <v>14</v>
      </c>
      <c r="BG25" s="228">
        <v>-7</v>
      </c>
      <c r="BH25" s="229">
        <v>-0.52</v>
      </c>
      <c r="BI25" s="230">
        <v>2766</v>
      </c>
      <c r="BJ25" s="230">
        <v>9011</v>
      </c>
      <c r="BK25" s="230">
        <v>-6245</v>
      </c>
      <c r="BL25" s="229">
        <v>-0.69310000000000005</v>
      </c>
      <c r="BM25" s="230">
        <v>1739</v>
      </c>
      <c r="BN25" s="230">
        <v>4994</v>
      </c>
      <c r="BO25" s="230">
        <v>-3254</v>
      </c>
      <c r="BP25" s="229">
        <v>-0.65169999999999995</v>
      </c>
      <c r="BQ25" s="230">
        <v>5290</v>
      </c>
      <c r="BR25" s="230">
        <v>16752</v>
      </c>
      <c r="BS25" s="230">
        <v>-11462</v>
      </c>
      <c r="BT25" s="229">
        <v>-0.68420000000000003</v>
      </c>
      <c r="BU25" s="230">
        <v>7730714</v>
      </c>
      <c r="BV25" s="230">
        <v>29336023</v>
      </c>
      <c r="BW25" s="230">
        <v>-21605309</v>
      </c>
      <c r="BX25" s="229">
        <v>-0.73650000000000004</v>
      </c>
      <c r="BY25" s="230">
        <v>6783</v>
      </c>
      <c r="BZ25" s="230">
        <v>6816</v>
      </c>
      <c r="CA25" s="228">
        <v>-33</v>
      </c>
      <c r="CB25" s="229">
        <v>-4.7999999999999996E-3</v>
      </c>
      <c r="CC25" s="230">
        <v>5760</v>
      </c>
      <c r="CD25" s="230">
        <v>5809</v>
      </c>
      <c r="CE25" s="228">
        <v>-49</v>
      </c>
      <c r="CF25" s="229">
        <v>-8.3999999999999995E-3</v>
      </c>
      <c r="CG25" s="230">
        <v>1012</v>
      </c>
      <c r="CH25" s="228">
        <v>997</v>
      </c>
      <c r="CI25" s="228">
        <v>15</v>
      </c>
      <c r="CJ25" s="229">
        <v>1.46E-2</v>
      </c>
      <c r="CK25" s="228">
        <v>11</v>
      </c>
      <c r="CL25" s="228">
        <v>9</v>
      </c>
      <c r="CM25" s="228">
        <v>2</v>
      </c>
      <c r="CN25" s="229">
        <v>0.19689999999999999</v>
      </c>
      <c r="CO25" s="230">
        <v>1597</v>
      </c>
      <c r="CP25" s="230">
        <v>1680</v>
      </c>
      <c r="CQ25" s="228">
        <v>-83</v>
      </c>
      <c r="CR25" s="229">
        <v>-4.9500000000000002E-2</v>
      </c>
      <c r="CS25" s="230">
        <v>1203</v>
      </c>
      <c r="CT25" s="230">
        <v>1187</v>
      </c>
      <c r="CU25" s="228">
        <v>16</v>
      </c>
      <c r="CV25" s="229">
        <v>1.32E-2</v>
      </c>
      <c r="CW25" s="230">
        <v>9583</v>
      </c>
      <c r="CX25" s="230">
        <v>9683</v>
      </c>
      <c r="CY25" s="228">
        <v>-100</v>
      </c>
      <c r="CZ25" s="229">
        <v>-1.03E-2</v>
      </c>
      <c r="DA25" s="228">
        <v>31.48</v>
      </c>
      <c r="DB25" s="228">
        <v>31.41</v>
      </c>
      <c r="DC25" s="228">
        <v>7.0000000000000007E-2</v>
      </c>
      <c r="DD25" s="228">
        <v>7.0000000000000007E-2</v>
      </c>
      <c r="DE25" s="228">
        <v>35.43</v>
      </c>
      <c r="DF25" s="228">
        <v>35.47</v>
      </c>
      <c r="DG25" s="228">
        <v>-3.95</v>
      </c>
      <c r="DH25" s="228">
        <v>-0.04</v>
      </c>
      <c r="DI25" s="228">
        <v>30.89</v>
      </c>
      <c r="DJ25" s="228">
        <v>31.05</v>
      </c>
      <c r="DK25" s="228">
        <v>-0.16</v>
      </c>
      <c r="DL25" s="228">
        <v>-0.16</v>
      </c>
      <c r="DM25" s="228">
        <v>32.43</v>
      </c>
      <c r="DN25" s="228">
        <v>32.07</v>
      </c>
      <c r="DO25" s="228">
        <v>0.36</v>
      </c>
      <c r="DP25" s="228">
        <v>0.36</v>
      </c>
      <c r="DQ25" s="228">
        <v>0.75</v>
      </c>
      <c r="DR25" s="228">
        <v>0.71</v>
      </c>
      <c r="DS25" s="228">
        <v>0.04</v>
      </c>
      <c r="DT25" s="229">
        <v>5.6300000000000003E-2</v>
      </c>
      <c r="DU25" s="231">
        <v>1000</v>
      </c>
      <c r="DV25" s="228">
        <v>900</v>
      </c>
      <c r="DW25" s="228">
        <v>0.63</v>
      </c>
      <c r="DX25" s="228">
        <v>0.55000000000000004</v>
      </c>
      <c r="DY25" s="228">
        <v>0.08</v>
      </c>
      <c r="DZ25" s="229">
        <v>0.14549999999999999</v>
      </c>
      <c r="EA25" s="229">
        <v>0.15079999999999999</v>
      </c>
      <c r="EB25" s="230">
        <v>10557000</v>
      </c>
      <c r="EC25" s="229">
        <v>6.9999999999999999E-4</v>
      </c>
      <c r="ED25" s="229">
        <v>0.15079999999999999</v>
      </c>
      <c r="EE25" s="228">
        <v>0.31</v>
      </c>
      <c r="EF25" s="229">
        <v>2.9999999999999997E-4</v>
      </c>
      <c r="EG25" s="230">
        <v>3494321</v>
      </c>
      <c r="EH25" s="230">
        <v>10877952</v>
      </c>
      <c r="EI25" s="229">
        <v>-0.67879999999999996</v>
      </c>
      <c r="EJ25" s="229">
        <v>0.45200000000000001</v>
      </c>
      <c r="EK25" s="231">
        <v>2904.11</v>
      </c>
      <c r="EL25" s="231">
        <v>1703.46</v>
      </c>
      <c r="EM25" s="228">
        <v>787.54</v>
      </c>
      <c r="EN25" s="228">
        <v>387.25</v>
      </c>
      <c r="EO25" s="231">
        <v>5395.1</v>
      </c>
      <c r="EP25" s="231">
        <v>17150.7</v>
      </c>
      <c r="EQ25" s="231">
        <v>-11755.59</v>
      </c>
      <c r="ER25" s="229">
        <v>-0.68540000000000001</v>
      </c>
      <c r="ES25" s="231">
        <v>1618.67</v>
      </c>
      <c r="ET25" s="231">
        <v>1151.5899999999999</v>
      </c>
      <c r="EU25" s="231">
        <v>6783.72</v>
      </c>
      <c r="EV25" s="231">
        <v>387962395</v>
      </c>
      <c r="EW25" s="231">
        <v>9553.98</v>
      </c>
      <c r="EX25" s="231">
        <v>9572.44</v>
      </c>
      <c r="EY25" s="228">
        <v>-18.46</v>
      </c>
      <c r="EZ25" s="229">
        <v>-1.9E-3</v>
      </c>
      <c r="FA25" s="229">
        <v>0.2591</v>
      </c>
      <c r="FB25" s="227" t="s">
        <v>691</v>
      </c>
      <c r="FC25">
        <f t="shared" si="0"/>
        <v>1023</v>
      </c>
    </row>
    <row r="26" spans="1:159" ht="17.25" thickBot="1" x14ac:dyDescent="0.3">
      <c r="A26" s="226">
        <v>46146</v>
      </c>
      <c r="B26" s="227" t="s">
        <v>172</v>
      </c>
      <c r="C26" s="227" t="s">
        <v>179</v>
      </c>
      <c r="D26" s="228">
        <v>3600</v>
      </c>
      <c r="E26" s="228">
        <v>22</v>
      </c>
      <c r="F26" s="228">
        <v>208.01</v>
      </c>
      <c r="G26" s="228">
        <v>200.89</v>
      </c>
      <c r="H26" s="228">
        <v>7.12</v>
      </c>
      <c r="I26" s="229">
        <v>3.5400000000000001E-2</v>
      </c>
      <c r="J26" s="228">
        <v>206.76</v>
      </c>
      <c r="K26" s="228">
        <v>199.72</v>
      </c>
      <c r="L26" s="228">
        <v>7.04</v>
      </c>
      <c r="M26" s="229">
        <v>3.5200000000000002E-2</v>
      </c>
      <c r="N26" s="228">
        <v>208.01</v>
      </c>
      <c r="O26" s="228">
        <v>200.89</v>
      </c>
      <c r="P26" s="228">
        <v>7.12</v>
      </c>
      <c r="Q26" s="229">
        <v>3.5400000000000001E-2</v>
      </c>
      <c r="R26" s="228">
        <v>209.31</v>
      </c>
      <c r="S26" s="228">
        <v>202.08</v>
      </c>
      <c r="T26" s="228">
        <v>7.23</v>
      </c>
      <c r="U26" s="229">
        <v>3.5799999999999998E-2</v>
      </c>
      <c r="V26" s="228">
        <v>210.07</v>
      </c>
      <c r="W26" s="228">
        <v>202.61</v>
      </c>
      <c r="X26" s="228">
        <v>7.46</v>
      </c>
      <c r="Y26" s="229">
        <v>3.6799999999999999E-2</v>
      </c>
      <c r="Z26" s="228">
        <v>1.25</v>
      </c>
      <c r="AA26" s="228">
        <v>1.17</v>
      </c>
      <c r="AB26" s="228">
        <v>0.08</v>
      </c>
      <c r="AC26" s="229">
        <v>6.0000000000000001E-3</v>
      </c>
      <c r="AD26" s="228">
        <v>1.25</v>
      </c>
      <c r="AE26" s="228">
        <v>1.17</v>
      </c>
      <c r="AF26" s="228">
        <v>0.08</v>
      </c>
      <c r="AG26" s="229">
        <v>6.0000000000000001E-3</v>
      </c>
      <c r="AH26" s="228">
        <v>2.5499999999999998</v>
      </c>
      <c r="AI26" s="228">
        <v>2.36</v>
      </c>
      <c r="AJ26" s="228">
        <v>0.19</v>
      </c>
      <c r="AK26" s="229">
        <v>1.23E-2</v>
      </c>
      <c r="AL26" s="228">
        <v>3.31</v>
      </c>
      <c r="AM26" s="228">
        <v>2.89</v>
      </c>
      <c r="AN26" s="228">
        <v>0.42</v>
      </c>
      <c r="AO26" s="229">
        <v>1.6E-2</v>
      </c>
      <c r="AP26" s="228">
        <v>209.11</v>
      </c>
      <c r="AQ26" s="228">
        <v>210.52</v>
      </c>
      <c r="AR26" s="228">
        <v>0</v>
      </c>
      <c r="AS26" s="228">
        <v>866</v>
      </c>
      <c r="AT26" s="228">
        <v>684</v>
      </c>
      <c r="AU26" s="228">
        <v>182</v>
      </c>
      <c r="AV26" s="229">
        <v>0.26629999999999998</v>
      </c>
      <c r="AW26" s="228">
        <v>822</v>
      </c>
      <c r="AX26" s="228">
        <v>662</v>
      </c>
      <c r="AY26" s="228">
        <v>160</v>
      </c>
      <c r="AZ26" s="229">
        <v>0.2412</v>
      </c>
      <c r="BA26" s="228">
        <v>39</v>
      </c>
      <c r="BB26" s="228">
        <v>19</v>
      </c>
      <c r="BC26" s="228">
        <v>20</v>
      </c>
      <c r="BD26" s="229">
        <v>1.0508</v>
      </c>
      <c r="BE26" s="228">
        <v>5</v>
      </c>
      <c r="BF26" s="228">
        <v>3</v>
      </c>
      <c r="BG26" s="228">
        <v>2</v>
      </c>
      <c r="BH26" s="229">
        <v>0.88239999999999996</v>
      </c>
      <c r="BI26" s="230">
        <v>3555</v>
      </c>
      <c r="BJ26" s="230">
        <v>1761</v>
      </c>
      <c r="BK26" s="230">
        <v>1795</v>
      </c>
      <c r="BL26" s="229">
        <v>1.0195000000000001</v>
      </c>
      <c r="BM26" s="230">
        <v>1578</v>
      </c>
      <c r="BN26" s="230">
        <v>1025</v>
      </c>
      <c r="BO26" s="228">
        <v>553</v>
      </c>
      <c r="BP26" s="229">
        <v>0.53969999999999996</v>
      </c>
      <c r="BQ26" s="230">
        <v>6000</v>
      </c>
      <c r="BR26" s="230">
        <v>3470</v>
      </c>
      <c r="BS26" s="230">
        <v>2530</v>
      </c>
      <c r="BT26" s="229">
        <v>0.72929999999999995</v>
      </c>
      <c r="BU26" s="230">
        <v>42528179</v>
      </c>
      <c r="BV26" s="230">
        <v>28970483</v>
      </c>
      <c r="BW26" s="230">
        <v>13557696</v>
      </c>
      <c r="BX26" s="229">
        <v>0.46800000000000003</v>
      </c>
      <c r="BY26" s="230">
        <v>1989</v>
      </c>
      <c r="BZ26" s="230">
        <v>1955</v>
      </c>
      <c r="CA26" s="228">
        <v>34</v>
      </c>
      <c r="CB26" s="229">
        <v>1.7500000000000002E-2</v>
      </c>
      <c r="CC26" s="230">
        <v>1944</v>
      </c>
      <c r="CD26" s="230">
        <v>1913</v>
      </c>
      <c r="CE26" s="228">
        <v>32</v>
      </c>
      <c r="CF26" s="229">
        <v>1.66E-2</v>
      </c>
      <c r="CG26" s="228">
        <v>40</v>
      </c>
      <c r="CH26" s="228">
        <v>39</v>
      </c>
      <c r="CI26" s="228">
        <v>1</v>
      </c>
      <c r="CJ26" s="229">
        <v>2.3E-2</v>
      </c>
      <c r="CK26" s="228">
        <v>5</v>
      </c>
      <c r="CL26" s="228">
        <v>3</v>
      </c>
      <c r="CM26" s="228">
        <v>2</v>
      </c>
      <c r="CN26" s="229">
        <v>0.53659999999999997</v>
      </c>
      <c r="CO26" s="228">
        <v>966</v>
      </c>
      <c r="CP26" s="228">
        <v>880</v>
      </c>
      <c r="CQ26" s="228">
        <v>86</v>
      </c>
      <c r="CR26" s="229">
        <v>9.7699999999999995E-2</v>
      </c>
      <c r="CS26" s="228">
        <v>713</v>
      </c>
      <c r="CT26" s="228">
        <v>547</v>
      </c>
      <c r="CU26" s="228">
        <v>165</v>
      </c>
      <c r="CV26" s="229">
        <v>0.30199999999999999</v>
      </c>
      <c r="CW26" s="230">
        <v>3667</v>
      </c>
      <c r="CX26" s="230">
        <v>3382</v>
      </c>
      <c r="CY26" s="228">
        <v>286</v>
      </c>
      <c r="CZ26" s="229">
        <v>8.4400000000000003E-2</v>
      </c>
      <c r="DA26" s="228">
        <v>43.61</v>
      </c>
      <c r="DB26" s="228">
        <v>44.59</v>
      </c>
      <c r="DC26" s="228">
        <v>-0.98</v>
      </c>
      <c r="DD26" s="228">
        <v>-0.98</v>
      </c>
      <c r="DE26" s="228">
        <v>47.69</v>
      </c>
      <c r="DF26" s="228">
        <v>47.58</v>
      </c>
      <c r="DG26" s="228">
        <v>-4.08</v>
      </c>
      <c r="DH26" s="228">
        <v>0.11</v>
      </c>
      <c r="DI26" s="228">
        <v>43.45</v>
      </c>
      <c r="DJ26" s="228">
        <v>44.64</v>
      </c>
      <c r="DK26" s="228">
        <v>-1.19</v>
      </c>
      <c r="DL26" s="228">
        <v>-1.19</v>
      </c>
      <c r="DM26" s="228">
        <v>43.96</v>
      </c>
      <c r="DN26" s="228">
        <v>44.52</v>
      </c>
      <c r="DO26" s="228">
        <v>-0.56000000000000005</v>
      </c>
      <c r="DP26" s="228">
        <v>-0.56000000000000005</v>
      </c>
      <c r="DQ26" s="228">
        <v>0.74</v>
      </c>
      <c r="DR26" s="228">
        <v>0.62</v>
      </c>
      <c r="DS26" s="228">
        <v>0.12</v>
      </c>
      <c r="DT26" s="229">
        <v>0.19350000000000001</v>
      </c>
      <c r="DU26" s="228">
        <v>210</v>
      </c>
      <c r="DV26" s="228">
        <v>200</v>
      </c>
      <c r="DW26" s="228">
        <v>0.44</v>
      </c>
      <c r="DX26" s="228">
        <v>0.57999999999999996</v>
      </c>
      <c r="DY26" s="228">
        <v>-0.14000000000000001</v>
      </c>
      <c r="DZ26" s="229">
        <v>-0.2414</v>
      </c>
      <c r="EA26" s="229">
        <v>2.2499999999999999E-2</v>
      </c>
      <c r="EB26" s="230">
        <v>2026800</v>
      </c>
      <c r="EC26" s="229">
        <v>6.1999999999999998E-3</v>
      </c>
      <c r="ED26" s="229">
        <v>2.2499999999999999E-2</v>
      </c>
      <c r="EE26" s="228">
        <v>1.41</v>
      </c>
      <c r="EF26" s="229">
        <v>6.7000000000000002E-3</v>
      </c>
      <c r="EG26" s="230">
        <v>14000653</v>
      </c>
      <c r="EH26" s="230">
        <v>8457956</v>
      </c>
      <c r="EI26" s="229">
        <v>0.65529999999999999</v>
      </c>
      <c r="EJ26" s="229">
        <v>0.32919999999999999</v>
      </c>
      <c r="EK26" s="231">
        <v>3780.3</v>
      </c>
      <c r="EL26" s="231">
        <v>1537.14</v>
      </c>
      <c r="EM26" s="228">
        <v>870.82</v>
      </c>
      <c r="EN26" s="228">
        <v>170.82</v>
      </c>
      <c r="EO26" s="231">
        <v>6188.26</v>
      </c>
      <c r="EP26" s="231">
        <v>3416.49</v>
      </c>
      <c r="EQ26" s="231">
        <v>2771.77</v>
      </c>
      <c r="ER26" s="229">
        <v>0.81130000000000002</v>
      </c>
      <c r="ES26" s="228">
        <v>944.24</v>
      </c>
      <c r="ET26" s="228">
        <v>648.17999999999995</v>
      </c>
      <c r="EU26" s="231">
        <v>1989.35</v>
      </c>
      <c r="EV26" s="231">
        <v>145616308</v>
      </c>
      <c r="EW26" s="231">
        <v>3581.78</v>
      </c>
      <c r="EX26" s="231">
        <v>3212.2</v>
      </c>
      <c r="EY26" s="228">
        <v>369.58</v>
      </c>
      <c r="EZ26" s="229">
        <v>0.11509999999999999</v>
      </c>
      <c r="FA26" s="229">
        <v>1.2108000000000001</v>
      </c>
      <c r="FB26" s="227" t="s">
        <v>555</v>
      </c>
      <c r="FC26">
        <f t="shared" si="0"/>
        <v>45</v>
      </c>
    </row>
    <row r="27" spans="1:159" ht="17.25" thickBot="1" x14ac:dyDescent="0.3">
      <c r="A27" s="226">
        <v>46146</v>
      </c>
      <c r="B27" s="227" t="s">
        <v>172</v>
      </c>
      <c r="C27" s="227" t="s">
        <v>180</v>
      </c>
      <c r="D27" s="228">
        <v>2925</v>
      </c>
      <c r="E27" s="228">
        <v>22</v>
      </c>
      <c r="F27" s="228">
        <v>266.60000000000002</v>
      </c>
      <c r="G27" s="228">
        <v>265.10000000000002</v>
      </c>
      <c r="H27" s="228">
        <v>1.5</v>
      </c>
      <c r="I27" s="229">
        <v>5.7000000000000002E-3</v>
      </c>
      <c r="J27" s="228">
        <v>265.10000000000002</v>
      </c>
      <c r="K27" s="228">
        <v>263.45999999999998</v>
      </c>
      <c r="L27" s="228">
        <v>1.64</v>
      </c>
      <c r="M27" s="229">
        <v>6.1999999999999998E-3</v>
      </c>
      <c r="N27" s="228">
        <v>266.60000000000002</v>
      </c>
      <c r="O27" s="228">
        <v>265.10000000000002</v>
      </c>
      <c r="P27" s="228">
        <v>1.5</v>
      </c>
      <c r="Q27" s="229">
        <v>5.7000000000000002E-3</v>
      </c>
      <c r="R27" s="228">
        <v>268.39999999999998</v>
      </c>
      <c r="S27" s="228">
        <v>266.68</v>
      </c>
      <c r="T27" s="228">
        <v>1.72</v>
      </c>
      <c r="U27" s="229">
        <v>6.4000000000000003E-3</v>
      </c>
      <c r="V27" s="228">
        <v>270</v>
      </c>
      <c r="W27" s="228">
        <v>268</v>
      </c>
      <c r="X27" s="228">
        <v>2</v>
      </c>
      <c r="Y27" s="229">
        <v>7.4999999999999997E-3</v>
      </c>
      <c r="Z27" s="228">
        <v>1.5</v>
      </c>
      <c r="AA27" s="228">
        <v>1.64</v>
      </c>
      <c r="AB27" s="228">
        <v>-0.14000000000000001</v>
      </c>
      <c r="AC27" s="229">
        <v>5.7000000000000002E-3</v>
      </c>
      <c r="AD27" s="228">
        <v>1.5</v>
      </c>
      <c r="AE27" s="228">
        <v>1.64</v>
      </c>
      <c r="AF27" s="228">
        <v>-0.14000000000000001</v>
      </c>
      <c r="AG27" s="229">
        <v>5.7000000000000002E-3</v>
      </c>
      <c r="AH27" s="228">
        <v>3.3</v>
      </c>
      <c r="AI27" s="228">
        <v>3.22</v>
      </c>
      <c r="AJ27" s="228">
        <v>0.08</v>
      </c>
      <c r="AK27" s="229">
        <v>1.24E-2</v>
      </c>
      <c r="AL27" s="228">
        <v>4.9000000000000004</v>
      </c>
      <c r="AM27" s="228">
        <v>4.54</v>
      </c>
      <c r="AN27" s="228">
        <v>0.36</v>
      </c>
      <c r="AO27" s="229">
        <v>1.8499999999999999E-2</v>
      </c>
      <c r="AP27" s="228">
        <v>269.27</v>
      </c>
      <c r="AQ27" s="228">
        <v>271.39</v>
      </c>
      <c r="AR27" s="228">
        <v>0</v>
      </c>
      <c r="AS27" s="228">
        <v>337</v>
      </c>
      <c r="AT27" s="228">
        <v>455</v>
      </c>
      <c r="AU27" s="228">
        <v>-118</v>
      </c>
      <c r="AV27" s="229">
        <v>-0.25900000000000001</v>
      </c>
      <c r="AW27" s="228">
        <v>312</v>
      </c>
      <c r="AX27" s="228">
        <v>419</v>
      </c>
      <c r="AY27" s="228">
        <v>-107</v>
      </c>
      <c r="AZ27" s="229">
        <v>-0.25600000000000001</v>
      </c>
      <c r="BA27" s="228">
        <v>25</v>
      </c>
      <c r="BB27" s="228">
        <v>35</v>
      </c>
      <c r="BC27" s="228">
        <v>-10</v>
      </c>
      <c r="BD27" s="229">
        <v>-0.2848</v>
      </c>
      <c r="BE27" s="228">
        <v>1</v>
      </c>
      <c r="BF27" s="228">
        <v>1</v>
      </c>
      <c r="BG27" s="228">
        <v>-1</v>
      </c>
      <c r="BH27" s="229">
        <v>-0.52939999999999998</v>
      </c>
      <c r="BI27" s="228">
        <v>673</v>
      </c>
      <c r="BJ27" s="228">
        <v>595</v>
      </c>
      <c r="BK27" s="228">
        <v>78</v>
      </c>
      <c r="BL27" s="229">
        <v>0.13059999999999999</v>
      </c>
      <c r="BM27" s="228">
        <v>320</v>
      </c>
      <c r="BN27" s="228">
        <v>351</v>
      </c>
      <c r="BO27" s="228">
        <v>-31</v>
      </c>
      <c r="BP27" s="229">
        <v>-8.7499999999999994E-2</v>
      </c>
      <c r="BQ27" s="230">
        <v>1331</v>
      </c>
      <c r="BR27" s="230">
        <v>1402</v>
      </c>
      <c r="BS27" s="228">
        <v>-71</v>
      </c>
      <c r="BT27" s="229">
        <v>-5.0599999999999999E-2</v>
      </c>
      <c r="BU27" s="230">
        <v>6539669</v>
      </c>
      <c r="BV27" s="230">
        <v>12634826</v>
      </c>
      <c r="BW27" s="230">
        <v>-6095157</v>
      </c>
      <c r="BX27" s="229">
        <v>-0.4824</v>
      </c>
      <c r="BY27" s="230">
        <v>3035</v>
      </c>
      <c r="BZ27" s="230">
        <v>3006</v>
      </c>
      <c r="CA27" s="228">
        <v>29</v>
      </c>
      <c r="CB27" s="229">
        <v>9.7999999999999997E-3</v>
      </c>
      <c r="CC27" s="230">
        <v>2787</v>
      </c>
      <c r="CD27" s="230">
        <v>2771</v>
      </c>
      <c r="CE27" s="228">
        <v>16</v>
      </c>
      <c r="CF27" s="229">
        <v>5.7999999999999996E-3</v>
      </c>
      <c r="CG27" s="228">
        <v>246</v>
      </c>
      <c r="CH27" s="228">
        <v>233</v>
      </c>
      <c r="CI27" s="228">
        <v>13</v>
      </c>
      <c r="CJ27" s="229">
        <v>5.5899999999999998E-2</v>
      </c>
      <c r="CK27" s="228">
        <v>2</v>
      </c>
      <c r="CL27" s="228">
        <v>2</v>
      </c>
      <c r="CM27" s="228">
        <v>0</v>
      </c>
      <c r="CN27" s="229">
        <v>0.16</v>
      </c>
      <c r="CO27" s="228">
        <v>845</v>
      </c>
      <c r="CP27" s="228">
        <v>796</v>
      </c>
      <c r="CQ27" s="228">
        <v>49</v>
      </c>
      <c r="CR27" s="229">
        <v>6.1600000000000002E-2</v>
      </c>
      <c r="CS27" s="228">
        <v>680</v>
      </c>
      <c r="CT27" s="228">
        <v>668</v>
      </c>
      <c r="CU27" s="228">
        <v>12</v>
      </c>
      <c r="CV27" s="229">
        <v>1.8599999999999998E-2</v>
      </c>
      <c r="CW27" s="230">
        <v>4560</v>
      </c>
      <c r="CX27" s="230">
        <v>4469</v>
      </c>
      <c r="CY27" s="228">
        <v>91</v>
      </c>
      <c r="CZ27" s="229">
        <v>2.0299999999999999E-2</v>
      </c>
      <c r="DA27" s="228">
        <v>35.93</v>
      </c>
      <c r="DB27" s="228">
        <v>35.54</v>
      </c>
      <c r="DC27" s="228">
        <v>0.39</v>
      </c>
      <c r="DD27" s="228">
        <v>0.39</v>
      </c>
      <c r="DE27" s="228">
        <v>36.46</v>
      </c>
      <c r="DF27" s="228">
        <v>36.54</v>
      </c>
      <c r="DG27" s="228">
        <v>-0.53</v>
      </c>
      <c r="DH27" s="228">
        <v>-0.08</v>
      </c>
      <c r="DI27" s="228">
        <v>36.18</v>
      </c>
      <c r="DJ27" s="228">
        <v>35.619999999999997</v>
      </c>
      <c r="DK27" s="228">
        <v>0.56000000000000005</v>
      </c>
      <c r="DL27" s="228">
        <v>0.56000000000000005</v>
      </c>
      <c r="DM27" s="228">
        <v>35.42</v>
      </c>
      <c r="DN27" s="228">
        <v>35.39</v>
      </c>
      <c r="DO27" s="228">
        <v>0.03</v>
      </c>
      <c r="DP27" s="228">
        <v>0.03</v>
      </c>
      <c r="DQ27" s="228">
        <v>0.81</v>
      </c>
      <c r="DR27" s="228">
        <v>0.84</v>
      </c>
      <c r="DS27" s="228">
        <v>-0.03</v>
      </c>
      <c r="DT27" s="229">
        <v>-3.5700000000000003E-2</v>
      </c>
      <c r="DU27" s="228">
        <v>300</v>
      </c>
      <c r="DV27" s="228">
        <v>300</v>
      </c>
      <c r="DW27" s="228">
        <v>0.48</v>
      </c>
      <c r="DX27" s="228">
        <v>0.59</v>
      </c>
      <c r="DY27" s="228">
        <v>-0.11</v>
      </c>
      <c r="DZ27" s="229">
        <v>-0.18640000000000001</v>
      </c>
      <c r="EA27" s="229">
        <v>8.1799999999999998E-2</v>
      </c>
      <c r="EB27" s="230">
        <v>8815950</v>
      </c>
      <c r="EC27" s="229">
        <v>6.7999999999999996E-3</v>
      </c>
      <c r="ED27" s="229">
        <v>8.1799999999999998E-2</v>
      </c>
      <c r="EE27" s="228">
        <v>2.12</v>
      </c>
      <c r="EF27" s="229">
        <v>7.9000000000000008E-3</v>
      </c>
      <c r="EG27" s="230">
        <v>2480973</v>
      </c>
      <c r="EH27" s="230">
        <v>6289438</v>
      </c>
      <c r="EI27" s="229">
        <v>-0.60550000000000004</v>
      </c>
      <c r="EJ27" s="229">
        <v>0.37940000000000002</v>
      </c>
      <c r="EK27" s="228">
        <v>726.3</v>
      </c>
      <c r="EL27" s="228">
        <v>326.05</v>
      </c>
      <c r="EM27" s="228">
        <v>340.84</v>
      </c>
      <c r="EN27" s="228">
        <v>128.91999999999999</v>
      </c>
      <c r="EO27" s="231">
        <v>1393.19</v>
      </c>
      <c r="EP27" s="231">
        <v>1436.65</v>
      </c>
      <c r="EQ27" s="228">
        <v>-43.46</v>
      </c>
      <c r="ER27" s="229">
        <v>-3.0300000000000001E-2</v>
      </c>
      <c r="ES27" s="228">
        <v>897.03</v>
      </c>
      <c r="ET27" s="228">
        <v>704.25</v>
      </c>
      <c r="EU27" s="231">
        <v>3036.93</v>
      </c>
      <c r="EV27" s="231">
        <v>279476623</v>
      </c>
      <c r="EW27" s="231">
        <v>4638.21</v>
      </c>
      <c r="EX27" s="231">
        <v>4525.28</v>
      </c>
      <c r="EY27" s="228">
        <v>112.93</v>
      </c>
      <c r="EZ27" s="229">
        <v>2.5000000000000001E-2</v>
      </c>
      <c r="FA27" s="229">
        <v>0.61199999999999999</v>
      </c>
      <c r="FB27" s="227" t="s">
        <v>555</v>
      </c>
      <c r="FC27">
        <f t="shared" si="0"/>
        <v>248</v>
      </c>
    </row>
    <row r="28" spans="1:159" ht="17.25" thickBot="1" x14ac:dyDescent="0.3">
      <c r="A28" s="226">
        <v>46146</v>
      </c>
      <c r="B28" s="227" t="s">
        <v>172</v>
      </c>
      <c r="C28" s="227" t="s">
        <v>601</v>
      </c>
      <c r="D28" s="228">
        <v>5200</v>
      </c>
      <c r="E28" s="228">
        <v>22</v>
      </c>
      <c r="F28" s="228">
        <v>139.51</v>
      </c>
      <c r="G28" s="228">
        <v>140.51</v>
      </c>
      <c r="H28" s="228">
        <v>-1</v>
      </c>
      <c r="I28" s="229">
        <v>-7.1000000000000004E-3</v>
      </c>
      <c r="J28" s="228">
        <v>138.66</v>
      </c>
      <c r="K28" s="228">
        <v>139.87</v>
      </c>
      <c r="L28" s="228">
        <v>-1.21</v>
      </c>
      <c r="M28" s="229">
        <v>-8.6999999999999994E-3</v>
      </c>
      <c r="N28" s="228">
        <v>139.51</v>
      </c>
      <c r="O28" s="228">
        <v>140.51</v>
      </c>
      <c r="P28" s="228">
        <v>-1</v>
      </c>
      <c r="Q28" s="229">
        <v>-7.1000000000000004E-3</v>
      </c>
      <c r="R28" s="228">
        <v>140.43</v>
      </c>
      <c r="S28" s="228">
        <v>141.43</v>
      </c>
      <c r="T28" s="228">
        <v>-1</v>
      </c>
      <c r="U28" s="229">
        <v>-7.1000000000000004E-3</v>
      </c>
      <c r="V28" s="228">
        <v>141.22999999999999</v>
      </c>
      <c r="W28" s="228">
        <v>142.16999999999999</v>
      </c>
      <c r="X28" s="228">
        <v>-0.94</v>
      </c>
      <c r="Y28" s="229">
        <v>-6.6E-3</v>
      </c>
      <c r="Z28" s="228">
        <v>0.85</v>
      </c>
      <c r="AA28" s="228">
        <v>0.64</v>
      </c>
      <c r="AB28" s="228">
        <v>0.21</v>
      </c>
      <c r="AC28" s="229">
        <v>6.1000000000000004E-3</v>
      </c>
      <c r="AD28" s="228">
        <v>0.85</v>
      </c>
      <c r="AE28" s="228">
        <v>0.64</v>
      </c>
      <c r="AF28" s="228">
        <v>0.21</v>
      </c>
      <c r="AG28" s="229">
        <v>6.1000000000000004E-3</v>
      </c>
      <c r="AH28" s="228">
        <v>1.77</v>
      </c>
      <c r="AI28" s="228">
        <v>1.56</v>
      </c>
      <c r="AJ28" s="228">
        <v>0.21</v>
      </c>
      <c r="AK28" s="229">
        <v>1.2800000000000001E-2</v>
      </c>
      <c r="AL28" s="228">
        <v>2.57</v>
      </c>
      <c r="AM28" s="228">
        <v>2.2999999999999998</v>
      </c>
      <c r="AN28" s="228">
        <v>0.27</v>
      </c>
      <c r="AO28" s="229">
        <v>1.8499999999999999E-2</v>
      </c>
      <c r="AP28" s="228">
        <v>140.94</v>
      </c>
      <c r="AQ28" s="228">
        <v>142.44</v>
      </c>
      <c r="AR28" s="228">
        <v>0</v>
      </c>
      <c r="AS28" s="228">
        <v>128</v>
      </c>
      <c r="AT28" s="228">
        <v>137</v>
      </c>
      <c r="AU28" s="228">
        <v>-9</v>
      </c>
      <c r="AV28" s="229">
        <v>-6.6100000000000006E-2</v>
      </c>
      <c r="AW28" s="228">
        <v>122</v>
      </c>
      <c r="AX28" s="228">
        <v>129</v>
      </c>
      <c r="AY28" s="228">
        <v>-7</v>
      </c>
      <c r="AZ28" s="229">
        <v>-5.4199999999999998E-2</v>
      </c>
      <c r="BA28" s="228">
        <v>5</v>
      </c>
      <c r="BB28" s="228">
        <v>7</v>
      </c>
      <c r="BC28" s="228">
        <v>-2</v>
      </c>
      <c r="BD28" s="229">
        <v>-0.22919999999999999</v>
      </c>
      <c r="BE28" s="228">
        <v>1</v>
      </c>
      <c r="BF28" s="228">
        <v>2</v>
      </c>
      <c r="BG28" s="228">
        <v>-1</v>
      </c>
      <c r="BH28" s="229">
        <v>-0.31819999999999998</v>
      </c>
      <c r="BI28" s="228">
        <v>230</v>
      </c>
      <c r="BJ28" s="228">
        <v>164</v>
      </c>
      <c r="BK28" s="228">
        <v>66</v>
      </c>
      <c r="BL28" s="229">
        <v>0.39939999999999998</v>
      </c>
      <c r="BM28" s="228">
        <v>105</v>
      </c>
      <c r="BN28" s="228">
        <v>136</v>
      </c>
      <c r="BO28" s="228">
        <v>-30</v>
      </c>
      <c r="BP28" s="229">
        <v>-0.22339999999999999</v>
      </c>
      <c r="BQ28" s="228">
        <v>463</v>
      </c>
      <c r="BR28" s="228">
        <v>437</v>
      </c>
      <c r="BS28" s="228">
        <v>26</v>
      </c>
      <c r="BT28" s="229">
        <v>6.0100000000000001E-2</v>
      </c>
      <c r="BU28" s="230">
        <v>12111851</v>
      </c>
      <c r="BV28" s="230">
        <v>10860654</v>
      </c>
      <c r="BW28" s="230">
        <v>1251197</v>
      </c>
      <c r="BX28" s="229">
        <v>0.1152</v>
      </c>
      <c r="BY28" s="228">
        <v>775</v>
      </c>
      <c r="BZ28" s="228">
        <v>744</v>
      </c>
      <c r="CA28" s="228">
        <v>31</v>
      </c>
      <c r="CB28" s="229">
        <v>4.2000000000000003E-2</v>
      </c>
      <c r="CC28" s="228">
        <v>750</v>
      </c>
      <c r="CD28" s="228">
        <v>721</v>
      </c>
      <c r="CE28" s="228">
        <v>29</v>
      </c>
      <c r="CF28" s="229">
        <v>4.0099999999999997E-2</v>
      </c>
      <c r="CG28" s="228">
        <v>23</v>
      </c>
      <c r="CH28" s="228">
        <v>21</v>
      </c>
      <c r="CI28" s="228">
        <v>2</v>
      </c>
      <c r="CJ28" s="229">
        <v>9.2200000000000004E-2</v>
      </c>
      <c r="CK28" s="228">
        <v>2</v>
      </c>
      <c r="CL28" s="228">
        <v>2</v>
      </c>
      <c r="CM28" s="228">
        <v>0</v>
      </c>
      <c r="CN28" s="229">
        <v>0.24</v>
      </c>
      <c r="CO28" s="228">
        <v>240</v>
      </c>
      <c r="CP28" s="228">
        <v>206</v>
      </c>
      <c r="CQ28" s="228">
        <v>34</v>
      </c>
      <c r="CR28" s="229">
        <v>0.1636</v>
      </c>
      <c r="CS28" s="228">
        <v>199</v>
      </c>
      <c r="CT28" s="228">
        <v>184</v>
      </c>
      <c r="CU28" s="228">
        <v>15</v>
      </c>
      <c r="CV28" s="229">
        <v>8.0699999999999994E-2</v>
      </c>
      <c r="CW28" s="230">
        <v>1214</v>
      </c>
      <c r="CX28" s="230">
        <v>1134</v>
      </c>
      <c r="CY28" s="228">
        <v>80</v>
      </c>
      <c r="CZ28" s="229">
        <v>7.0400000000000004E-2</v>
      </c>
      <c r="DA28" s="228">
        <v>42.41</v>
      </c>
      <c r="DB28" s="228">
        <v>40.450000000000003</v>
      </c>
      <c r="DC28" s="228">
        <v>1.96</v>
      </c>
      <c r="DD28" s="228">
        <v>1.96</v>
      </c>
      <c r="DE28" s="228">
        <v>42.43</v>
      </c>
      <c r="DF28" s="228">
        <v>42.53</v>
      </c>
      <c r="DG28" s="228">
        <v>-0.02</v>
      </c>
      <c r="DH28" s="228">
        <v>-0.1</v>
      </c>
      <c r="DI28" s="228">
        <v>42.42</v>
      </c>
      <c r="DJ28" s="228">
        <v>40.79</v>
      </c>
      <c r="DK28" s="228">
        <v>1.63</v>
      </c>
      <c r="DL28" s="228">
        <v>1.63</v>
      </c>
      <c r="DM28" s="228">
        <v>42.4</v>
      </c>
      <c r="DN28" s="228">
        <v>40.04</v>
      </c>
      <c r="DO28" s="228">
        <v>2.36</v>
      </c>
      <c r="DP28" s="228">
        <v>2.36</v>
      </c>
      <c r="DQ28" s="228">
        <v>0.83</v>
      </c>
      <c r="DR28" s="228">
        <v>0.89</v>
      </c>
      <c r="DS28" s="228">
        <v>-0.06</v>
      </c>
      <c r="DT28" s="229">
        <v>-6.7400000000000002E-2</v>
      </c>
      <c r="DU28" s="228">
        <v>150</v>
      </c>
      <c r="DV28" s="228">
        <v>140</v>
      </c>
      <c r="DW28" s="228">
        <v>0.46</v>
      </c>
      <c r="DX28" s="228">
        <v>0.83</v>
      </c>
      <c r="DY28" s="228">
        <v>-0.37</v>
      </c>
      <c r="DZ28" s="229">
        <v>-0.44579999999999997</v>
      </c>
      <c r="EA28" s="229">
        <v>3.2899999999999999E-2</v>
      </c>
      <c r="EB28" s="230">
        <v>1653600</v>
      </c>
      <c r="EC28" s="229">
        <v>6.6E-3</v>
      </c>
      <c r="ED28" s="229">
        <v>3.2899999999999999E-2</v>
      </c>
      <c r="EE28" s="228">
        <v>1.5</v>
      </c>
      <c r="EF28" s="229">
        <v>1.06E-2</v>
      </c>
      <c r="EG28" s="230">
        <v>6365086</v>
      </c>
      <c r="EH28" s="230">
        <v>4804628</v>
      </c>
      <c r="EI28" s="229">
        <v>0.32479999999999998</v>
      </c>
      <c r="EJ28" s="229">
        <v>0.52549999999999997</v>
      </c>
      <c r="EK28" s="228">
        <v>249.78</v>
      </c>
      <c r="EL28" s="228">
        <v>105.18</v>
      </c>
      <c r="EM28" s="228">
        <v>129.41999999999999</v>
      </c>
      <c r="EN28" s="228">
        <v>38.96</v>
      </c>
      <c r="EO28" s="228">
        <v>484.38</v>
      </c>
      <c r="EP28" s="228">
        <v>456.56</v>
      </c>
      <c r="EQ28" s="228">
        <v>27.82</v>
      </c>
      <c r="ER28" s="229">
        <v>6.0900000000000003E-2</v>
      </c>
      <c r="ES28" s="228">
        <v>259.47000000000003</v>
      </c>
      <c r="ET28" s="228">
        <v>204.4</v>
      </c>
      <c r="EU28" s="228">
        <v>775.18</v>
      </c>
      <c r="EV28" s="231">
        <v>181770921</v>
      </c>
      <c r="EW28" s="231">
        <v>1239.05</v>
      </c>
      <c r="EX28" s="231">
        <v>1163.28</v>
      </c>
      <c r="EY28" s="228">
        <v>75.77</v>
      </c>
      <c r="EZ28" s="229">
        <v>6.5100000000000005E-2</v>
      </c>
      <c r="FA28" s="229">
        <v>0.47870000000000001</v>
      </c>
      <c r="FB28" s="227" t="s">
        <v>566</v>
      </c>
      <c r="FC28">
        <f t="shared" si="0"/>
        <v>25</v>
      </c>
    </row>
    <row r="29" spans="1:159" s="195" customFormat="1" ht="17.25" thickBot="1" x14ac:dyDescent="0.3">
      <c r="A29" s="226">
        <v>46146</v>
      </c>
      <c r="B29" s="227" t="s">
        <v>181</v>
      </c>
      <c r="C29" s="227" t="s">
        <v>182</v>
      </c>
      <c r="D29" s="228">
        <v>30</v>
      </c>
      <c r="E29" s="228">
        <v>22</v>
      </c>
      <c r="F29" s="231">
        <v>55153.8</v>
      </c>
      <c r="G29" s="231">
        <v>55195.199999999997</v>
      </c>
      <c r="H29" s="228">
        <v>-41.4</v>
      </c>
      <c r="I29" s="229">
        <v>-8.0000000000000004E-4</v>
      </c>
      <c r="J29" s="231">
        <v>54878.5</v>
      </c>
      <c r="K29" s="231">
        <v>54863.35</v>
      </c>
      <c r="L29" s="228">
        <v>15.15</v>
      </c>
      <c r="M29" s="229">
        <v>2.9999999999999997E-4</v>
      </c>
      <c r="N29" s="231">
        <v>55153.8</v>
      </c>
      <c r="O29" s="231">
        <v>55195.199999999997</v>
      </c>
      <c r="P29" s="228">
        <v>-41.4</v>
      </c>
      <c r="Q29" s="229">
        <v>-8.0000000000000004E-4</v>
      </c>
      <c r="R29" s="231">
        <v>55369.2</v>
      </c>
      <c r="S29" s="231">
        <v>55376.800000000003</v>
      </c>
      <c r="T29" s="228">
        <v>-7.6</v>
      </c>
      <c r="U29" s="229">
        <v>-1E-4</v>
      </c>
      <c r="V29" s="231">
        <v>55675.6</v>
      </c>
      <c r="W29" s="231">
        <v>55705.2</v>
      </c>
      <c r="X29" s="228">
        <v>-29.6</v>
      </c>
      <c r="Y29" s="229">
        <v>-5.0000000000000001E-4</v>
      </c>
      <c r="Z29" s="228">
        <v>275.3</v>
      </c>
      <c r="AA29" s="228">
        <v>331.85</v>
      </c>
      <c r="AB29" s="228">
        <v>-56.55</v>
      </c>
      <c r="AC29" s="229">
        <v>5.0000000000000001E-3</v>
      </c>
      <c r="AD29" s="228">
        <v>275.3</v>
      </c>
      <c r="AE29" s="228">
        <v>331.85</v>
      </c>
      <c r="AF29" s="228">
        <v>-56.55</v>
      </c>
      <c r="AG29" s="229">
        <v>5.0000000000000001E-3</v>
      </c>
      <c r="AH29" s="228">
        <v>490.7</v>
      </c>
      <c r="AI29" s="228">
        <v>513.45000000000005</v>
      </c>
      <c r="AJ29" s="228">
        <v>-22.75</v>
      </c>
      <c r="AK29" s="229">
        <v>8.8999999999999999E-3</v>
      </c>
      <c r="AL29" s="228">
        <v>797.1</v>
      </c>
      <c r="AM29" s="228">
        <v>841.85</v>
      </c>
      <c r="AN29" s="228">
        <v>-44.75</v>
      </c>
      <c r="AO29" s="229">
        <v>1.4500000000000001E-2</v>
      </c>
      <c r="AP29" s="231">
        <v>55413.24</v>
      </c>
      <c r="AQ29" s="231">
        <v>55626.1</v>
      </c>
      <c r="AR29" s="228">
        <v>0</v>
      </c>
      <c r="AS29" s="230">
        <v>5537</v>
      </c>
      <c r="AT29" s="230">
        <v>5892</v>
      </c>
      <c r="AU29" s="228">
        <v>-355</v>
      </c>
      <c r="AV29" s="229">
        <v>-6.0199999999999997E-2</v>
      </c>
      <c r="AW29" s="230">
        <v>5153</v>
      </c>
      <c r="AX29" s="230">
        <v>5258</v>
      </c>
      <c r="AY29" s="228">
        <v>-104</v>
      </c>
      <c r="AZ29" s="229">
        <v>-1.9800000000000002E-2</v>
      </c>
      <c r="BA29" s="228">
        <v>294</v>
      </c>
      <c r="BB29" s="228">
        <v>493</v>
      </c>
      <c r="BC29" s="228">
        <v>-199</v>
      </c>
      <c r="BD29" s="229">
        <v>-0.4042</v>
      </c>
      <c r="BE29" s="228">
        <v>90</v>
      </c>
      <c r="BF29" s="228">
        <v>141</v>
      </c>
      <c r="BG29" s="228">
        <v>-51</v>
      </c>
      <c r="BH29" s="229">
        <v>-0.36420000000000002</v>
      </c>
      <c r="BI29" s="230">
        <v>159515</v>
      </c>
      <c r="BJ29" s="230">
        <v>139073</v>
      </c>
      <c r="BK29" s="230">
        <v>20442</v>
      </c>
      <c r="BL29" s="229">
        <v>0.14699999999999999</v>
      </c>
      <c r="BM29" s="230">
        <v>119012</v>
      </c>
      <c r="BN29" s="230">
        <v>131038</v>
      </c>
      <c r="BO29" s="230">
        <v>-12025</v>
      </c>
      <c r="BP29" s="229">
        <v>-9.1800000000000007E-2</v>
      </c>
      <c r="BQ29" s="230">
        <v>284065</v>
      </c>
      <c r="BR29" s="230">
        <v>276003</v>
      </c>
      <c r="BS29" s="230">
        <v>8062</v>
      </c>
      <c r="BT29" s="229">
        <v>2.92E-2</v>
      </c>
      <c r="BU29" s="228">
        <v>0</v>
      </c>
      <c r="BV29" s="228">
        <v>0</v>
      </c>
      <c r="BW29" s="228">
        <v>0</v>
      </c>
      <c r="BX29" s="229">
        <v>0</v>
      </c>
      <c r="BY29" s="230">
        <v>12905</v>
      </c>
      <c r="BZ29" s="230">
        <v>12318</v>
      </c>
      <c r="CA29" s="228">
        <v>587</v>
      </c>
      <c r="CB29" s="229">
        <v>4.7600000000000003E-2</v>
      </c>
      <c r="CC29" s="230">
        <v>11596</v>
      </c>
      <c r="CD29" s="230">
        <v>11067</v>
      </c>
      <c r="CE29" s="228">
        <v>529</v>
      </c>
      <c r="CF29" s="229">
        <v>4.7800000000000002E-2</v>
      </c>
      <c r="CG29" s="230">
        <v>1213</v>
      </c>
      <c r="CH29" s="230">
        <v>1181</v>
      </c>
      <c r="CI29" s="228">
        <v>32</v>
      </c>
      <c r="CJ29" s="229">
        <v>2.7199999999999998E-2</v>
      </c>
      <c r="CK29" s="228">
        <v>96</v>
      </c>
      <c r="CL29" s="228">
        <v>70</v>
      </c>
      <c r="CM29" s="228">
        <v>26</v>
      </c>
      <c r="CN29" s="229">
        <v>0.37440000000000001</v>
      </c>
      <c r="CO29" s="230">
        <v>73570</v>
      </c>
      <c r="CP29" s="230">
        <v>66444</v>
      </c>
      <c r="CQ29" s="230">
        <v>7126</v>
      </c>
      <c r="CR29" s="229">
        <v>0.1072</v>
      </c>
      <c r="CS29" s="230">
        <v>63818</v>
      </c>
      <c r="CT29" s="230">
        <v>59836</v>
      </c>
      <c r="CU29" s="230">
        <v>3982</v>
      </c>
      <c r="CV29" s="229">
        <v>6.6500000000000004E-2</v>
      </c>
      <c r="CW29" s="230">
        <v>150293</v>
      </c>
      <c r="CX29" s="230">
        <v>138599</v>
      </c>
      <c r="CY29" s="230">
        <v>11694</v>
      </c>
      <c r="CZ29" s="229">
        <v>8.4400000000000003E-2</v>
      </c>
      <c r="DA29" s="228">
        <v>20.84</v>
      </c>
      <c r="DB29" s="228">
        <v>20.64</v>
      </c>
      <c r="DC29" s="228">
        <v>0.2</v>
      </c>
      <c r="DD29" s="228">
        <v>0.2</v>
      </c>
      <c r="DE29" s="228">
        <v>21.17</v>
      </c>
      <c r="DF29" s="228">
        <v>21.23</v>
      </c>
      <c r="DG29" s="228">
        <v>-0.33</v>
      </c>
      <c r="DH29" s="228">
        <v>-0.06</v>
      </c>
      <c r="DI29" s="228">
        <v>20.059999999999999</v>
      </c>
      <c r="DJ29" s="228">
        <v>19.440000000000001</v>
      </c>
      <c r="DK29" s="228">
        <v>0.62</v>
      </c>
      <c r="DL29" s="228">
        <v>0.62</v>
      </c>
      <c r="DM29" s="228">
        <v>21.89</v>
      </c>
      <c r="DN29" s="228">
        <v>21.91</v>
      </c>
      <c r="DO29" s="228">
        <v>-0.02</v>
      </c>
      <c r="DP29" s="228">
        <v>-0.02</v>
      </c>
      <c r="DQ29" s="228">
        <v>0.87</v>
      </c>
      <c r="DR29" s="228">
        <v>0.9</v>
      </c>
      <c r="DS29" s="228">
        <v>-0.03</v>
      </c>
      <c r="DT29" s="229">
        <v>-3.3300000000000003E-2</v>
      </c>
      <c r="DU29" s="231">
        <v>60000</v>
      </c>
      <c r="DV29" s="231">
        <v>60000</v>
      </c>
      <c r="DW29" s="228">
        <v>0.75</v>
      </c>
      <c r="DX29" s="228">
        <v>0.94</v>
      </c>
      <c r="DY29" s="228">
        <v>-0.19</v>
      </c>
      <c r="DZ29" s="229">
        <v>-0.2021</v>
      </c>
      <c r="EA29" s="229">
        <v>0.1014</v>
      </c>
      <c r="EB29" s="230">
        <v>226770</v>
      </c>
      <c r="EC29" s="229">
        <v>3.8999999999999998E-3</v>
      </c>
      <c r="ED29" s="229">
        <v>0.1014</v>
      </c>
      <c r="EE29" s="228">
        <v>212.86</v>
      </c>
      <c r="EF29" s="229">
        <v>3.8E-3</v>
      </c>
      <c r="EG29" s="228">
        <v>0</v>
      </c>
      <c r="EH29" s="228">
        <v>0</v>
      </c>
      <c r="EI29" s="229">
        <v>0</v>
      </c>
      <c r="EJ29" s="229">
        <v>0</v>
      </c>
      <c r="EK29" s="231">
        <v>167836.28</v>
      </c>
      <c r="EL29" s="231">
        <v>116956.88</v>
      </c>
      <c r="EM29" s="231">
        <v>5565.04</v>
      </c>
      <c r="EN29" s="228">
        <v>0</v>
      </c>
      <c r="EO29" s="231">
        <v>290358.2</v>
      </c>
      <c r="EP29" s="231">
        <v>280096.13</v>
      </c>
      <c r="EQ29" s="231">
        <v>10262.08</v>
      </c>
      <c r="ER29" s="229">
        <v>3.6600000000000001E-2</v>
      </c>
      <c r="ES29" s="231">
        <v>77705.240000000005</v>
      </c>
      <c r="ET29" s="231">
        <v>62932.76</v>
      </c>
      <c r="EU29" s="231">
        <v>12910.64</v>
      </c>
      <c r="EV29" s="228">
        <v>0</v>
      </c>
      <c r="EW29" s="231">
        <v>153548.65</v>
      </c>
      <c r="EX29" s="231">
        <v>141685.62</v>
      </c>
      <c r="EY29" s="231">
        <v>11863.03</v>
      </c>
      <c r="EZ29" s="229">
        <v>8.3699999999999997E-2</v>
      </c>
      <c r="FA29" s="229">
        <v>0</v>
      </c>
      <c r="FB29" s="227" t="s">
        <v>566</v>
      </c>
      <c r="FC29" s="195">
        <f t="shared" si="0"/>
        <v>1309</v>
      </c>
    </row>
    <row r="30" spans="1:159" ht="17.25" thickBot="1" x14ac:dyDescent="0.3">
      <c r="A30" s="226">
        <v>46146</v>
      </c>
      <c r="B30" s="227" t="s">
        <v>184</v>
      </c>
      <c r="C30" s="227" t="s">
        <v>668</v>
      </c>
      <c r="D30" s="228">
        <v>350</v>
      </c>
      <c r="E30" s="228">
        <v>22</v>
      </c>
      <c r="F30" s="231">
        <v>1377.2</v>
      </c>
      <c r="G30" s="231">
        <v>1368.6</v>
      </c>
      <c r="H30" s="228">
        <v>8.6</v>
      </c>
      <c r="I30" s="229">
        <v>6.3E-3</v>
      </c>
      <c r="J30" s="231">
        <v>1372.4</v>
      </c>
      <c r="K30" s="231">
        <v>1364.1</v>
      </c>
      <c r="L30" s="228">
        <v>8.3000000000000007</v>
      </c>
      <c r="M30" s="229">
        <v>6.1000000000000004E-3</v>
      </c>
      <c r="N30" s="231">
        <v>1377.2</v>
      </c>
      <c r="O30" s="231">
        <v>1368.6</v>
      </c>
      <c r="P30" s="228">
        <v>8.6</v>
      </c>
      <c r="Q30" s="229">
        <v>6.3E-3</v>
      </c>
      <c r="R30" s="231">
        <v>1368.2</v>
      </c>
      <c r="S30" s="231">
        <v>1358.1</v>
      </c>
      <c r="T30" s="228">
        <v>10.1</v>
      </c>
      <c r="U30" s="229">
        <v>7.4000000000000003E-3</v>
      </c>
      <c r="V30" s="231">
        <v>1355</v>
      </c>
      <c r="W30" s="231">
        <v>1357.8</v>
      </c>
      <c r="X30" s="228">
        <v>-2.8</v>
      </c>
      <c r="Y30" s="229">
        <v>-2.0999999999999999E-3</v>
      </c>
      <c r="Z30" s="228">
        <v>4.8</v>
      </c>
      <c r="AA30" s="228">
        <v>4.5</v>
      </c>
      <c r="AB30" s="228">
        <v>0.3</v>
      </c>
      <c r="AC30" s="229">
        <v>3.5000000000000001E-3</v>
      </c>
      <c r="AD30" s="228">
        <v>4.8</v>
      </c>
      <c r="AE30" s="228">
        <v>4.5</v>
      </c>
      <c r="AF30" s="228">
        <v>0.3</v>
      </c>
      <c r="AG30" s="229">
        <v>3.5000000000000001E-3</v>
      </c>
      <c r="AH30" s="228">
        <v>-4.2</v>
      </c>
      <c r="AI30" s="228">
        <v>-6</v>
      </c>
      <c r="AJ30" s="228">
        <v>1.8</v>
      </c>
      <c r="AK30" s="229">
        <v>-3.0999999999999999E-3</v>
      </c>
      <c r="AL30" s="228">
        <v>-17.399999999999999</v>
      </c>
      <c r="AM30" s="228">
        <v>-6.3</v>
      </c>
      <c r="AN30" s="228">
        <v>-11.1</v>
      </c>
      <c r="AO30" s="229">
        <v>-1.2699999999999999E-2</v>
      </c>
      <c r="AP30" s="231">
        <v>1374.34</v>
      </c>
      <c r="AQ30" s="231">
        <v>1364.69</v>
      </c>
      <c r="AR30" s="228">
        <v>0</v>
      </c>
      <c r="AS30" s="228">
        <v>156</v>
      </c>
      <c r="AT30" s="228">
        <v>140</v>
      </c>
      <c r="AU30" s="228">
        <v>17</v>
      </c>
      <c r="AV30" s="229">
        <v>0.1187</v>
      </c>
      <c r="AW30" s="228">
        <v>146</v>
      </c>
      <c r="AX30" s="228">
        <v>127</v>
      </c>
      <c r="AY30" s="228">
        <v>20</v>
      </c>
      <c r="AZ30" s="229">
        <v>0.1547</v>
      </c>
      <c r="BA30" s="228">
        <v>10</v>
      </c>
      <c r="BB30" s="228">
        <v>12</v>
      </c>
      <c r="BC30" s="228">
        <v>-3</v>
      </c>
      <c r="BD30" s="229">
        <v>-0.2218</v>
      </c>
      <c r="BE30" s="228">
        <v>0</v>
      </c>
      <c r="BF30" s="228">
        <v>1</v>
      </c>
      <c r="BG30" s="228">
        <v>0</v>
      </c>
      <c r="BH30" s="229">
        <v>-0.54549999999999998</v>
      </c>
      <c r="BI30" s="228">
        <v>387</v>
      </c>
      <c r="BJ30" s="228">
        <v>213</v>
      </c>
      <c r="BK30" s="228">
        <v>174</v>
      </c>
      <c r="BL30" s="229">
        <v>0.81369999999999998</v>
      </c>
      <c r="BM30" s="228">
        <v>119</v>
      </c>
      <c r="BN30" s="228">
        <v>154</v>
      </c>
      <c r="BO30" s="228">
        <v>-35</v>
      </c>
      <c r="BP30" s="229">
        <v>-0.22600000000000001</v>
      </c>
      <c r="BQ30" s="228">
        <v>663</v>
      </c>
      <c r="BR30" s="228">
        <v>507</v>
      </c>
      <c r="BS30" s="228">
        <v>155</v>
      </c>
      <c r="BT30" s="229">
        <v>0.30640000000000001</v>
      </c>
      <c r="BU30" s="230">
        <v>1088037</v>
      </c>
      <c r="BV30" s="230">
        <v>1435135</v>
      </c>
      <c r="BW30" s="230">
        <v>-347098</v>
      </c>
      <c r="BX30" s="229">
        <v>-0.2419</v>
      </c>
      <c r="BY30" s="228">
        <v>461</v>
      </c>
      <c r="BZ30" s="228">
        <v>481</v>
      </c>
      <c r="CA30" s="228">
        <v>-20</v>
      </c>
      <c r="CB30" s="229">
        <v>-4.1799999999999997E-2</v>
      </c>
      <c r="CC30" s="228">
        <v>427</v>
      </c>
      <c r="CD30" s="228">
        <v>448</v>
      </c>
      <c r="CE30" s="228">
        <v>-21</v>
      </c>
      <c r="CF30" s="229">
        <v>-4.6699999999999998E-2</v>
      </c>
      <c r="CG30" s="228">
        <v>32</v>
      </c>
      <c r="CH30" s="228">
        <v>31</v>
      </c>
      <c r="CI30" s="228">
        <v>1</v>
      </c>
      <c r="CJ30" s="229">
        <v>1.84E-2</v>
      </c>
      <c r="CK30" s="228">
        <v>2</v>
      </c>
      <c r="CL30" s="228">
        <v>2</v>
      </c>
      <c r="CM30" s="228">
        <v>0</v>
      </c>
      <c r="CN30" s="229">
        <v>0.1176</v>
      </c>
      <c r="CO30" s="228">
        <v>279</v>
      </c>
      <c r="CP30" s="228">
        <v>246</v>
      </c>
      <c r="CQ30" s="228">
        <v>33</v>
      </c>
      <c r="CR30" s="229">
        <v>0.1323</v>
      </c>
      <c r="CS30" s="228">
        <v>151</v>
      </c>
      <c r="CT30" s="228">
        <v>139</v>
      </c>
      <c r="CU30" s="228">
        <v>12</v>
      </c>
      <c r="CV30" s="229">
        <v>8.4199999999999997E-2</v>
      </c>
      <c r="CW30" s="228">
        <v>891</v>
      </c>
      <c r="CX30" s="228">
        <v>866</v>
      </c>
      <c r="CY30" s="228">
        <v>24</v>
      </c>
      <c r="CZ30" s="229">
        <v>2.7900000000000001E-2</v>
      </c>
      <c r="DA30" s="228">
        <v>43.8</v>
      </c>
      <c r="DB30" s="228">
        <v>44.08</v>
      </c>
      <c r="DC30" s="228">
        <v>-0.28000000000000003</v>
      </c>
      <c r="DD30" s="228">
        <v>-0.28000000000000003</v>
      </c>
      <c r="DE30" s="228">
        <v>52.47</v>
      </c>
      <c r="DF30" s="228">
        <v>52.59</v>
      </c>
      <c r="DG30" s="228">
        <v>-8.67</v>
      </c>
      <c r="DH30" s="228">
        <v>-0.12</v>
      </c>
      <c r="DI30" s="228">
        <v>43.63</v>
      </c>
      <c r="DJ30" s="228">
        <v>42.69</v>
      </c>
      <c r="DK30" s="228">
        <v>0.94</v>
      </c>
      <c r="DL30" s="228">
        <v>0.94</v>
      </c>
      <c r="DM30" s="228">
        <v>44.32</v>
      </c>
      <c r="DN30" s="228">
        <v>46.01</v>
      </c>
      <c r="DO30" s="228">
        <v>-1.69</v>
      </c>
      <c r="DP30" s="228">
        <v>-1.69</v>
      </c>
      <c r="DQ30" s="228">
        <v>0.54</v>
      </c>
      <c r="DR30" s="228">
        <v>0.56000000000000005</v>
      </c>
      <c r="DS30" s="228">
        <v>-0.02</v>
      </c>
      <c r="DT30" s="229">
        <v>-3.5700000000000003E-2</v>
      </c>
      <c r="DU30" s="231">
        <v>1400</v>
      </c>
      <c r="DV30" s="231">
        <v>1400</v>
      </c>
      <c r="DW30" s="228">
        <v>0.31</v>
      </c>
      <c r="DX30" s="228">
        <v>0.72</v>
      </c>
      <c r="DY30" s="228">
        <v>-0.41</v>
      </c>
      <c r="DZ30" s="229">
        <v>-0.56940000000000002</v>
      </c>
      <c r="EA30" s="229">
        <v>7.4399999999999994E-2</v>
      </c>
      <c r="EB30" s="230">
        <v>243000</v>
      </c>
      <c r="EC30" s="229">
        <v>-6.4999999999999997E-3</v>
      </c>
      <c r="ED30" s="229">
        <v>7.4399999999999994E-2</v>
      </c>
      <c r="EE30" s="228">
        <v>-9.65</v>
      </c>
      <c r="EF30" s="229">
        <v>-7.0000000000000001E-3</v>
      </c>
      <c r="EG30" s="230">
        <v>264770</v>
      </c>
      <c r="EH30" s="230">
        <v>558724</v>
      </c>
      <c r="EI30" s="229">
        <v>-0.52610000000000001</v>
      </c>
      <c r="EJ30" s="229">
        <v>0.24329999999999999</v>
      </c>
      <c r="EK30" s="228">
        <v>418.58</v>
      </c>
      <c r="EL30" s="228">
        <v>118.38</v>
      </c>
      <c r="EM30" s="228">
        <v>155.97999999999999</v>
      </c>
      <c r="EN30" s="228">
        <v>55.88</v>
      </c>
      <c r="EO30" s="228">
        <v>692.94</v>
      </c>
      <c r="EP30" s="228">
        <v>511.35</v>
      </c>
      <c r="EQ30" s="228">
        <v>181.59</v>
      </c>
      <c r="ER30" s="229">
        <v>0.35510000000000003</v>
      </c>
      <c r="ES30" s="228">
        <v>295.13</v>
      </c>
      <c r="ET30" s="228">
        <v>149.66</v>
      </c>
      <c r="EU30" s="228">
        <v>460.72</v>
      </c>
      <c r="EV30" s="231">
        <v>13786716</v>
      </c>
      <c r="EW30" s="228">
        <v>905.51</v>
      </c>
      <c r="EX30" s="228">
        <v>877.1</v>
      </c>
      <c r="EY30" s="228">
        <v>28.41</v>
      </c>
      <c r="EZ30" s="229">
        <v>3.2399999999999998E-2</v>
      </c>
      <c r="FA30" s="229">
        <v>0.46910000000000002</v>
      </c>
      <c r="FB30" s="227" t="s">
        <v>691</v>
      </c>
      <c r="FC30">
        <f t="shared" si="0"/>
        <v>34</v>
      </c>
    </row>
    <row r="31" spans="1:159" ht="17.25" thickBot="1" x14ac:dyDescent="0.3">
      <c r="A31" s="226">
        <v>46146</v>
      </c>
      <c r="B31" s="227" t="s">
        <v>184</v>
      </c>
      <c r="C31" s="227" t="s">
        <v>185</v>
      </c>
      <c r="D31" s="228">
        <v>1425</v>
      </c>
      <c r="E31" s="228">
        <v>22</v>
      </c>
      <c r="F31" s="228">
        <v>435.75</v>
      </c>
      <c r="G31" s="228">
        <v>433.95</v>
      </c>
      <c r="H31" s="228">
        <v>1.8</v>
      </c>
      <c r="I31" s="229">
        <v>4.1000000000000003E-3</v>
      </c>
      <c r="J31" s="228">
        <v>433.55</v>
      </c>
      <c r="K31" s="228">
        <v>431.3</v>
      </c>
      <c r="L31" s="228">
        <v>2.25</v>
      </c>
      <c r="M31" s="229">
        <v>5.1999999999999998E-3</v>
      </c>
      <c r="N31" s="228">
        <v>435.75</v>
      </c>
      <c r="O31" s="228">
        <v>433.95</v>
      </c>
      <c r="P31" s="228">
        <v>1.8</v>
      </c>
      <c r="Q31" s="229">
        <v>4.1000000000000003E-3</v>
      </c>
      <c r="R31" s="228">
        <v>438.8</v>
      </c>
      <c r="S31" s="228">
        <v>436.6</v>
      </c>
      <c r="T31" s="228">
        <v>2.2000000000000002</v>
      </c>
      <c r="U31" s="229">
        <v>5.0000000000000001E-3</v>
      </c>
      <c r="V31" s="228">
        <v>440.75</v>
      </c>
      <c r="W31" s="228">
        <v>438.6</v>
      </c>
      <c r="X31" s="228">
        <v>2.15</v>
      </c>
      <c r="Y31" s="229">
        <v>4.8999999999999998E-3</v>
      </c>
      <c r="Z31" s="228">
        <v>2.2000000000000002</v>
      </c>
      <c r="AA31" s="228">
        <v>2.65</v>
      </c>
      <c r="AB31" s="228">
        <v>-0.45</v>
      </c>
      <c r="AC31" s="229">
        <v>5.1000000000000004E-3</v>
      </c>
      <c r="AD31" s="228">
        <v>2.2000000000000002</v>
      </c>
      <c r="AE31" s="228">
        <v>2.65</v>
      </c>
      <c r="AF31" s="228">
        <v>-0.45</v>
      </c>
      <c r="AG31" s="229">
        <v>5.1000000000000004E-3</v>
      </c>
      <c r="AH31" s="228">
        <v>5.25</v>
      </c>
      <c r="AI31" s="228">
        <v>5.3</v>
      </c>
      <c r="AJ31" s="228">
        <v>-0.05</v>
      </c>
      <c r="AK31" s="229">
        <v>1.21E-2</v>
      </c>
      <c r="AL31" s="228">
        <v>7.2</v>
      </c>
      <c r="AM31" s="228">
        <v>7.3</v>
      </c>
      <c r="AN31" s="228">
        <v>-0.1</v>
      </c>
      <c r="AO31" s="229">
        <v>1.66E-2</v>
      </c>
      <c r="AP31" s="228">
        <v>436.9</v>
      </c>
      <c r="AQ31" s="228">
        <v>439.89</v>
      </c>
      <c r="AR31" s="228">
        <v>0</v>
      </c>
      <c r="AS31" s="228">
        <v>511</v>
      </c>
      <c r="AT31" s="228">
        <v>624</v>
      </c>
      <c r="AU31" s="228">
        <v>-113</v>
      </c>
      <c r="AV31" s="229">
        <v>-0.18060000000000001</v>
      </c>
      <c r="AW31" s="228">
        <v>463</v>
      </c>
      <c r="AX31" s="228">
        <v>551</v>
      </c>
      <c r="AY31" s="228">
        <v>-88</v>
      </c>
      <c r="AZ31" s="229">
        <v>-0.15909999999999999</v>
      </c>
      <c r="BA31" s="228">
        <v>44</v>
      </c>
      <c r="BB31" s="228">
        <v>62</v>
      </c>
      <c r="BC31" s="228">
        <v>-17</v>
      </c>
      <c r="BD31" s="229">
        <v>-0.28210000000000002</v>
      </c>
      <c r="BE31" s="228">
        <v>4</v>
      </c>
      <c r="BF31" s="228">
        <v>11</v>
      </c>
      <c r="BG31" s="228">
        <v>-8</v>
      </c>
      <c r="BH31" s="229">
        <v>-0.66849999999999998</v>
      </c>
      <c r="BI31" s="230">
        <v>1458</v>
      </c>
      <c r="BJ31" s="230">
        <v>1567</v>
      </c>
      <c r="BK31" s="228">
        <v>-108</v>
      </c>
      <c r="BL31" s="229">
        <v>-6.9099999999999995E-2</v>
      </c>
      <c r="BM31" s="228">
        <v>635</v>
      </c>
      <c r="BN31" s="228">
        <v>708</v>
      </c>
      <c r="BO31" s="228">
        <v>-72</v>
      </c>
      <c r="BP31" s="229">
        <v>-0.1024</v>
      </c>
      <c r="BQ31" s="230">
        <v>2605</v>
      </c>
      <c r="BR31" s="230">
        <v>2898</v>
      </c>
      <c r="BS31" s="228">
        <v>-293</v>
      </c>
      <c r="BT31" s="229">
        <v>-0.1013</v>
      </c>
      <c r="BU31" s="230">
        <v>11400449</v>
      </c>
      <c r="BV31" s="230">
        <v>16832898</v>
      </c>
      <c r="BW31" s="230">
        <v>-5432449</v>
      </c>
      <c r="BX31" s="229">
        <v>-0.32269999999999999</v>
      </c>
      <c r="BY31" s="230">
        <v>5015</v>
      </c>
      <c r="BZ31" s="230">
        <v>4944</v>
      </c>
      <c r="CA31" s="228">
        <v>71</v>
      </c>
      <c r="CB31" s="229">
        <v>1.4500000000000001E-2</v>
      </c>
      <c r="CC31" s="230">
        <v>4409</v>
      </c>
      <c r="CD31" s="230">
        <v>4362</v>
      </c>
      <c r="CE31" s="228">
        <v>47</v>
      </c>
      <c r="CF31" s="229">
        <v>1.0800000000000001E-2</v>
      </c>
      <c r="CG31" s="228">
        <v>598</v>
      </c>
      <c r="CH31" s="228">
        <v>575</v>
      </c>
      <c r="CI31" s="228">
        <v>23</v>
      </c>
      <c r="CJ31" s="229">
        <v>4.0099999999999997E-2</v>
      </c>
      <c r="CK31" s="228">
        <v>9</v>
      </c>
      <c r="CL31" s="228">
        <v>7</v>
      </c>
      <c r="CM31" s="228">
        <v>1</v>
      </c>
      <c r="CN31" s="229">
        <v>0.19170000000000001</v>
      </c>
      <c r="CO31" s="230">
        <v>1645</v>
      </c>
      <c r="CP31" s="230">
        <v>1463</v>
      </c>
      <c r="CQ31" s="228">
        <v>182</v>
      </c>
      <c r="CR31" s="229">
        <v>0.1245</v>
      </c>
      <c r="CS31" s="230">
        <v>1035</v>
      </c>
      <c r="CT31" s="228">
        <v>958</v>
      </c>
      <c r="CU31" s="228">
        <v>77</v>
      </c>
      <c r="CV31" s="229">
        <v>8.0399999999999999E-2</v>
      </c>
      <c r="CW31" s="230">
        <v>7696</v>
      </c>
      <c r="CX31" s="230">
        <v>7365</v>
      </c>
      <c r="CY31" s="228">
        <v>331</v>
      </c>
      <c r="CZ31" s="229">
        <v>4.4900000000000002E-2</v>
      </c>
      <c r="DA31" s="228">
        <v>34.32</v>
      </c>
      <c r="DB31" s="228">
        <v>33.840000000000003</v>
      </c>
      <c r="DC31" s="228">
        <v>0.48</v>
      </c>
      <c r="DD31" s="228">
        <v>0.48</v>
      </c>
      <c r="DE31" s="228">
        <v>36.6</v>
      </c>
      <c r="DF31" s="228">
        <v>36.69</v>
      </c>
      <c r="DG31" s="228">
        <v>-2.2799999999999998</v>
      </c>
      <c r="DH31" s="228">
        <v>-0.09</v>
      </c>
      <c r="DI31" s="228">
        <v>34.409999999999997</v>
      </c>
      <c r="DJ31" s="228">
        <v>34.03</v>
      </c>
      <c r="DK31" s="228">
        <v>0.38</v>
      </c>
      <c r="DL31" s="228">
        <v>0.38</v>
      </c>
      <c r="DM31" s="228">
        <v>34.130000000000003</v>
      </c>
      <c r="DN31" s="228">
        <v>33.409999999999997</v>
      </c>
      <c r="DO31" s="228">
        <v>0.72</v>
      </c>
      <c r="DP31" s="228">
        <v>0.72</v>
      </c>
      <c r="DQ31" s="228">
        <v>0.63</v>
      </c>
      <c r="DR31" s="228">
        <v>0.65</v>
      </c>
      <c r="DS31" s="228">
        <v>-0.02</v>
      </c>
      <c r="DT31" s="229">
        <v>-3.0800000000000001E-2</v>
      </c>
      <c r="DU31" s="228">
        <v>450</v>
      </c>
      <c r="DV31" s="228">
        <v>430</v>
      </c>
      <c r="DW31" s="228">
        <v>0.44</v>
      </c>
      <c r="DX31" s="228">
        <v>0.45</v>
      </c>
      <c r="DY31" s="228">
        <v>-0.01</v>
      </c>
      <c r="DZ31" s="229">
        <v>-2.2200000000000001E-2</v>
      </c>
      <c r="EA31" s="229">
        <v>0.121</v>
      </c>
      <c r="EB31" s="230">
        <v>13360800</v>
      </c>
      <c r="EC31" s="229">
        <v>7.0000000000000001E-3</v>
      </c>
      <c r="ED31" s="229">
        <v>0.121</v>
      </c>
      <c r="EE31" s="228">
        <v>2.99</v>
      </c>
      <c r="EF31" s="229">
        <v>6.7999999999999996E-3</v>
      </c>
      <c r="EG31" s="230">
        <v>5310093</v>
      </c>
      <c r="EH31" s="230">
        <v>8873566</v>
      </c>
      <c r="EI31" s="229">
        <v>-0.40160000000000001</v>
      </c>
      <c r="EJ31" s="229">
        <v>0.46579999999999999</v>
      </c>
      <c r="EK31" s="231">
        <v>1562.88</v>
      </c>
      <c r="EL31" s="228">
        <v>623.53</v>
      </c>
      <c r="EM31" s="228">
        <v>512.99</v>
      </c>
      <c r="EN31" s="228">
        <v>233.8</v>
      </c>
      <c r="EO31" s="231">
        <v>2699.39</v>
      </c>
      <c r="EP31" s="231">
        <v>2990.71</v>
      </c>
      <c r="EQ31" s="228">
        <v>-291.32</v>
      </c>
      <c r="ER31" s="229">
        <v>-9.74E-2</v>
      </c>
      <c r="ES31" s="231">
        <v>1751.07</v>
      </c>
      <c r="ET31" s="231">
        <v>1010.76</v>
      </c>
      <c r="EU31" s="231">
        <v>5019.71</v>
      </c>
      <c r="EV31" s="231">
        <v>535778534</v>
      </c>
      <c r="EW31" s="231">
        <v>7781.54</v>
      </c>
      <c r="EX31" s="231">
        <v>7422.33</v>
      </c>
      <c r="EY31" s="228">
        <v>359.21</v>
      </c>
      <c r="EZ31" s="229">
        <v>4.8399999999999999E-2</v>
      </c>
      <c r="FA31" s="229">
        <v>0.3296</v>
      </c>
      <c r="FB31" s="227" t="s">
        <v>555</v>
      </c>
      <c r="FC31">
        <f t="shared" si="0"/>
        <v>606</v>
      </c>
    </row>
    <row r="32" spans="1:159" ht="17.25" thickBot="1" x14ac:dyDescent="0.3">
      <c r="A32" s="226">
        <v>46146</v>
      </c>
      <c r="B32" s="227" t="s">
        <v>162</v>
      </c>
      <c r="C32" s="227" t="s">
        <v>187</v>
      </c>
      <c r="D32" s="228">
        <v>500</v>
      </c>
      <c r="E32" s="228">
        <v>22</v>
      </c>
      <c r="F32" s="231">
        <v>1847.4</v>
      </c>
      <c r="G32" s="231">
        <v>1891.5</v>
      </c>
      <c r="H32" s="228">
        <v>-44.1</v>
      </c>
      <c r="I32" s="229">
        <v>-2.3300000000000001E-2</v>
      </c>
      <c r="J32" s="231">
        <v>1845.8</v>
      </c>
      <c r="K32" s="231">
        <v>1881.6</v>
      </c>
      <c r="L32" s="228">
        <v>-35.799999999999997</v>
      </c>
      <c r="M32" s="229">
        <v>-1.9E-2</v>
      </c>
      <c r="N32" s="231">
        <v>1847.4</v>
      </c>
      <c r="O32" s="231">
        <v>1891.5</v>
      </c>
      <c r="P32" s="228">
        <v>-44.1</v>
      </c>
      <c r="Q32" s="229">
        <v>-2.3300000000000001E-2</v>
      </c>
      <c r="R32" s="231">
        <v>1851.8</v>
      </c>
      <c r="S32" s="231">
        <v>1897.4</v>
      </c>
      <c r="T32" s="228">
        <v>-45.6</v>
      </c>
      <c r="U32" s="229">
        <v>-2.4E-2</v>
      </c>
      <c r="V32" s="231">
        <v>1872.6</v>
      </c>
      <c r="W32" s="231">
        <v>1904.5</v>
      </c>
      <c r="X32" s="228">
        <v>-31.9</v>
      </c>
      <c r="Y32" s="229">
        <v>-1.67E-2</v>
      </c>
      <c r="Z32" s="228">
        <v>1.6</v>
      </c>
      <c r="AA32" s="228">
        <v>9.9</v>
      </c>
      <c r="AB32" s="228">
        <v>-8.3000000000000007</v>
      </c>
      <c r="AC32" s="229">
        <v>8.9999999999999998E-4</v>
      </c>
      <c r="AD32" s="228">
        <v>1.6</v>
      </c>
      <c r="AE32" s="228">
        <v>9.9</v>
      </c>
      <c r="AF32" s="228">
        <v>-8.3000000000000007</v>
      </c>
      <c r="AG32" s="229">
        <v>8.9999999999999998E-4</v>
      </c>
      <c r="AH32" s="228">
        <v>6</v>
      </c>
      <c r="AI32" s="228">
        <v>15.8</v>
      </c>
      <c r="AJ32" s="228">
        <v>-9.8000000000000007</v>
      </c>
      <c r="AK32" s="229">
        <v>3.3E-3</v>
      </c>
      <c r="AL32" s="228">
        <v>26.8</v>
      </c>
      <c r="AM32" s="228">
        <v>22.9</v>
      </c>
      <c r="AN32" s="228">
        <v>3.9</v>
      </c>
      <c r="AO32" s="229">
        <v>1.4500000000000001E-2</v>
      </c>
      <c r="AP32" s="231">
        <v>1867.41</v>
      </c>
      <c r="AQ32" s="231">
        <v>1868.75</v>
      </c>
      <c r="AR32" s="228">
        <v>0</v>
      </c>
      <c r="AS32" s="228">
        <v>340</v>
      </c>
      <c r="AT32" s="228">
        <v>339</v>
      </c>
      <c r="AU32" s="228">
        <v>1</v>
      </c>
      <c r="AV32" s="229">
        <v>4.4000000000000003E-3</v>
      </c>
      <c r="AW32" s="228">
        <v>332</v>
      </c>
      <c r="AX32" s="228">
        <v>329</v>
      </c>
      <c r="AY32" s="228">
        <v>3</v>
      </c>
      <c r="AZ32" s="229">
        <v>8.3999999999999995E-3</v>
      </c>
      <c r="BA32" s="228">
        <v>8</v>
      </c>
      <c r="BB32" s="228">
        <v>9</v>
      </c>
      <c r="BC32" s="228">
        <v>-1</v>
      </c>
      <c r="BD32" s="229">
        <v>-0.15</v>
      </c>
      <c r="BE32" s="228">
        <v>1</v>
      </c>
      <c r="BF32" s="228">
        <v>1</v>
      </c>
      <c r="BG32" s="228">
        <v>0</v>
      </c>
      <c r="BH32" s="229">
        <v>0.125</v>
      </c>
      <c r="BI32" s="228">
        <v>766</v>
      </c>
      <c r="BJ32" s="228">
        <v>529</v>
      </c>
      <c r="BK32" s="228">
        <v>237</v>
      </c>
      <c r="BL32" s="229">
        <v>0.4471</v>
      </c>
      <c r="BM32" s="228">
        <v>535</v>
      </c>
      <c r="BN32" s="228">
        <v>442</v>
      </c>
      <c r="BO32" s="228">
        <v>93</v>
      </c>
      <c r="BP32" s="229">
        <v>0.2107</v>
      </c>
      <c r="BQ32" s="230">
        <v>1642</v>
      </c>
      <c r="BR32" s="230">
        <v>1311</v>
      </c>
      <c r="BS32" s="228">
        <v>331</v>
      </c>
      <c r="BT32" s="229">
        <v>0.25290000000000001</v>
      </c>
      <c r="BU32" s="230">
        <v>1068221</v>
      </c>
      <c r="BV32" s="230">
        <v>2105457</v>
      </c>
      <c r="BW32" s="230">
        <v>-1037236</v>
      </c>
      <c r="BX32" s="229">
        <v>-0.49259999999999998</v>
      </c>
      <c r="BY32" s="230">
        <v>1389</v>
      </c>
      <c r="BZ32" s="230">
        <v>1389</v>
      </c>
      <c r="CA32" s="228">
        <v>0</v>
      </c>
      <c r="CB32" s="229">
        <v>2.9999999999999997E-4</v>
      </c>
      <c r="CC32" s="230">
        <v>1374</v>
      </c>
      <c r="CD32" s="230">
        <v>1376</v>
      </c>
      <c r="CE32" s="228">
        <v>-2</v>
      </c>
      <c r="CF32" s="229">
        <v>-1.5E-3</v>
      </c>
      <c r="CG32" s="228">
        <v>14</v>
      </c>
      <c r="CH32" s="228">
        <v>12</v>
      </c>
      <c r="CI32" s="228">
        <v>2</v>
      </c>
      <c r="CJ32" s="229">
        <v>0.14180000000000001</v>
      </c>
      <c r="CK32" s="228">
        <v>1</v>
      </c>
      <c r="CL32" s="228">
        <v>1</v>
      </c>
      <c r="CM32" s="228">
        <v>1</v>
      </c>
      <c r="CN32" s="229">
        <v>1.1667000000000001</v>
      </c>
      <c r="CO32" s="228">
        <v>444</v>
      </c>
      <c r="CP32" s="228">
        <v>325</v>
      </c>
      <c r="CQ32" s="228">
        <v>118</v>
      </c>
      <c r="CR32" s="229">
        <v>0.36370000000000002</v>
      </c>
      <c r="CS32" s="228">
        <v>286</v>
      </c>
      <c r="CT32" s="228">
        <v>255</v>
      </c>
      <c r="CU32" s="228">
        <v>32</v>
      </c>
      <c r="CV32" s="229">
        <v>0.12520000000000001</v>
      </c>
      <c r="CW32" s="230">
        <v>2119</v>
      </c>
      <c r="CX32" s="230">
        <v>1969</v>
      </c>
      <c r="CY32" s="228">
        <v>151</v>
      </c>
      <c r="CZ32" s="229">
        <v>7.6499999999999999E-2</v>
      </c>
      <c r="DA32" s="228">
        <v>40.97</v>
      </c>
      <c r="DB32" s="228">
        <v>38.03</v>
      </c>
      <c r="DC32" s="228">
        <v>2.94</v>
      </c>
      <c r="DD32" s="228">
        <v>2.94</v>
      </c>
      <c r="DE32" s="228">
        <v>39.29</v>
      </c>
      <c r="DF32" s="228">
        <v>39.26</v>
      </c>
      <c r="DG32" s="228">
        <v>1.68</v>
      </c>
      <c r="DH32" s="228">
        <v>0.03</v>
      </c>
      <c r="DI32" s="228">
        <v>40.869999999999997</v>
      </c>
      <c r="DJ32" s="228">
        <v>38.11</v>
      </c>
      <c r="DK32" s="228">
        <v>2.76</v>
      </c>
      <c r="DL32" s="228">
        <v>2.76</v>
      </c>
      <c r="DM32" s="228">
        <v>41.1</v>
      </c>
      <c r="DN32" s="228">
        <v>37.93</v>
      </c>
      <c r="DO32" s="228">
        <v>3.17</v>
      </c>
      <c r="DP32" s="228">
        <v>3.17</v>
      </c>
      <c r="DQ32" s="228">
        <v>0.65</v>
      </c>
      <c r="DR32" s="228">
        <v>0.78</v>
      </c>
      <c r="DS32" s="228">
        <v>-0.13</v>
      </c>
      <c r="DT32" s="229">
        <v>-0.16669999999999999</v>
      </c>
      <c r="DU32" s="231">
        <v>2000</v>
      </c>
      <c r="DV32" s="231">
        <v>1800</v>
      </c>
      <c r="DW32" s="228">
        <v>0.7</v>
      </c>
      <c r="DX32" s="228">
        <v>0.84</v>
      </c>
      <c r="DY32" s="228">
        <v>-0.14000000000000001</v>
      </c>
      <c r="DZ32" s="229">
        <v>-0.16669999999999999</v>
      </c>
      <c r="EA32" s="229">
        <v>1.0999999999999999E-2</v>
      </c>
      <c r="EB32" s="230">
        <v>70000</v>
      </c>
      <c r="EC32" s="229">
        <v>2.3999999999999998E-3</v>
      </c>
      <c r="ED32" s="229">
        <v>1.0999999999999999E-2</v>
      </c>
      <c r="EE32" s="228">
        <v>1.34</v>
      </c>
      <c r="EF32" s="229">
        <v>6.9999999999999999E-4</v>
      </c>
      <c r="EG32" s="230">
        <v>501064</v>
      </c>
      <c r="EH32" s="230">
        <v>1167653</v>
      </c>
      <c r="EI32" s="229">
        <v>-0.57089999999999996</v>
      </c>
      <c r="EJ32" s="229">
        <v>0.46910000000000002</v>
      </c>
      <c r="EK32" s="228">
        <v>825.32</v>
      </c>
      <c r="EL32" s="228">
        <v>547.21</v>
      </c>
      <c r="EM32" s="228">
        <v>344.17</v>
      </c>
      <c r="EN32" s="228">
        <v>81.459999999999994</v>
      </c>
      <c r="EO32" s="231">
        <v>1716.69</v>
      </c>
      <c r="EP32" s="231">
        <v>1369.05</v>
      </c>
      <c r="EQ32" s="228">
        <v>347.64</v>
      </c>
      <c r="ER32" s="229">
        <v>0.25390000000000001</v>
      </c>
      <c r="ES32" s="228">
        <v>462.79</v>
      </c>
      <c r="ET32" s="228">
        <v>279.60000000000002</v>
      </c>
      <c r="EU32" s="231">
        <v>1389.11</v>
      </c>
      <c r="EV32" s="231">
        <v>40107751</v>
      </c>
      <c r="EW32" s="231">
        <v>2131.5</v>
      </c>
      <c r="EX32" s="231">
        <v>2010.12</v>
      </c>
      <c r="EY32" s="228">
        <v>121.38</v>
      </c>
      <c r="EZ32" s="229">
        <v>6.0400000000000002E-2</v>
      </c>
      <c r="FA32" s="229">
        <v>0.28599999999999998</v>
      </c>
      <c r="FB32" s="227" t="s">
        <v>566</v>
      </c>
      <c r="FC32">
        <f t="shared" si="0"/>
        <v>15</v>
      </c>
    </row>
    <row r="33" spans="1:159" ht="17.25" thickBot="1" x14ac:dyDescent="0.3">
      <c r="A33" s="226">
        <v>46146</v>
      </c>
      <c r="B33" s="227" t="s">
        <v>188</v>
      </c>
      <c r="C33" s="227" t="s">
        <v>189</v>
      </c>
      <c r="D33" s="228">
        <v>475</v>
      </c>
      <c r="E33" s="228">
        <v>22</v>
      </c>
      <c r="F33" s="231">
        <v>1837.4</v>
      </c>
      <c r="G33" s="231">
        <v>1896.4</v>
      </c>
      <c r="H33" s="228">
        <v>-59</v>
      </c>
      <c r="I33" s="229">
        <v>-3.1099999999999999E-2</v>
      </c>
      <c r="J33" s="231">
        <v>1827.1</v>
      </c>
      <c r="K33" s="231">
        <v>1886.8</v>
      </c>
      <c r="L33" s="228">
        <v>-59.7</v>
      </c>
      <c r="M33" s="229">
        <v>-3.1600000000000003E-2</v>
      </c>
      <c r="N33" s="231">
        <v>1837.4</v>
      </c>
      <c r="O33" s="231">
        <v>1896.4</v>
      </c>
      <c r="P33" s="228">
        <v>-59</v>
      </c>
      <c r="Q33" s="229">
        <v>-3.1099999999999999E-2</v>
      </c>
      <c r="R33" s="231">
        <v>1849</v>
      </c>
      <c r="S33" s="231">
        <v>1908.1</v>
      </c>
      <c r="T33" s="228">
        <v>-59.1</v>
      </c>
      <c r="U33" s="229">
        <v>-3.1E-2</v>
      </c>
      <c r="V33" s="231">
        <v>1856.3</v>
      </c>
      <c r="W33" s="231">
        <v>1916.1</v>
      </c>
      <c r="X33" s="228">
        <v>-59.8</v>
      </c>
      <c r="Y33" s="229">
        <v>-3.1199999999999999E-2</v>
      </c>
      <c r="Z33" s="228">
        <v>10.3</v>
      </c>
      <c r="AA33" s="228">
        <v>9.6</v>
      </c>
      <c r="AB33" s="228">
        <v>0.7</v>
      </c>
      <c r="AC33" s="229">
        <v>5.5999999999999999E-3</v>
      </c>
      <c r="AD33" s="228">
        <v>10.3</v>
      </c>
      <c r="AE33" s="228">
        <v>9.6</v>
      </c>
      <c r="AF33" s="228">
        <v>0.7</v>
      </c>
      <c r="AG33" s="229">
        <v>5.5999999999999999E-3</v>
      </c>
      <c r="AH33" s="228">
        <v>21.9</v>
      </c>
      <c r="AI33" s="228">
        <v>21.3</v>
      </c>
      <c r="AJ33" s="228">
        <v>0.6</v>
      </c>
      <c r="AK33" s="229">
        <v>1.2E-2</v>
      </c>
      <c r="AL33" s="228">
        <v>29.2</v>
      </c>
      <c r="AM33" s="228">
        <v>29.3</v>
      </c>
      <c r="AN33" s="228">
        <v>-0.1</v>
      </c>
      <c r="AO33" s="229">
        <v>1.6E-2</v>
      </c>
      <c r="AP33" s="231">
        <v>1860.83</v>
      </c>
      <c r="AQ33" s="231">
        <v>1869.43</v>
      </c>
      <c r="AR33" s="228">
        <v>0</v>
      </c>
      <c r="AS33" s="230">
        <v>1381</v>
      </c>
      <c r="AT33" s="230">
        <v>1355</v>
      </c>
      <c r="AU33" s="228">
        <v>26</v>
      </c>
      <c r="AV33" s="229">
        <v>1.9099999999999999E-2</v>
      </c>
      <c r="AW33" s="230">
        <v>1196</v>
      </c>
      <c r="AX33" s="230">
        <v>1289</v>
      </c>
      <c r="AY33" s="228">
        <v>-93</v>
      </c>
      <c r="AZ33" s="229">
        <v>-7.2499999999999995E-2</v>
      </c>
      <c r="BA33" s="228">
        <v>170</v>
      </c>
      <c r="BB33" s="228">
        <v>58</v>
      </c>
      <c r="BC33" s="228">
        <v>112</v>
      </c>
      <c r="BD33" s="229">
        <v>1.9411</v>
      </c>
      <c r="BE33" s="228">
        <v>15</v>
      </c>
      <c r="BF33" s="228">
        <v>8</v>
      </c>
      <c r="BG33" s="228">
        <v>7</v>
      </c>
      <c r="BH33" s="229">
        <v>0.95399999999999996</v>
      </c>
      <c r="BI33" s="230">
        <v>4224</v>
      </c>
      <c r="BJ33" s="230">
        <v>3331</v>
      </c>
      <c r="BK33" s="228">
        <v>893</v>
      </c>
      <c r="BL33" s="229">
        <v>0.26800000000000002</v>
      </c>
      <c r="BM33" s="230">
        <v>2420</v>
      </c>
      <c r="BN33" s="230">
        <v>1647</v>
      </c>
      <c r="BO33" s="228">
        <v>773</v>
      </c>
      <c r="BP33" s="229">
        <v>0.46929999999999999</v>
      </c>
      <c r="BQ33" s="230">
        <v>8024</v>
      </c>
      <c r="BR33" s="230">
        <v>6333</v>
      </c>
      <c r="BS33" s="230">
        <v>1692</v>
      </c>
      <c r="BT33" s="229">
        <v>0.2671</v>
      </c>
      <c r="BU33" s="230">
        <v>10938061</v>
      </c>
      <c r="BV33" s="230">
        <v>13462177</v>
      </c>
      <c r="BW33" s="230">
        <v>-2524116</v>
      </c>
      <c r="BX33" s="229">
        <v>-0.1875</v>
      </c>
      <c r="BY33" s="230">
        <v>11037</v>
      </c>
      <c r="BZ33" s="230">
        <v>10621</v>
      </c>
      <c r="CA33" s="228">
        <v>416</v>
      </c>
      <c r="CB33" s="229">
        <v>3.9199999999999999E-2</v>
      </c>
      <c r="CC33" s="230">
        <v>9181</v>
      </c>
      <c r="CD33" s="230">
        <v>8905</v>
      </c>
      <c r="CE33" s="228">
        <v>277</v>
      </c>
      <c r="CF33" s="229">
        <v>3.1099999999999999E-2</v>
      </c>
      <c r="CG33" s="230">
        <v>1834</v>
      </c>
      <c r="CH33" s="230">
        <v>1707</v>
      </c>
      <c r="CI33" s="228">
        <v>127</v>
      </c>
      <c r="CJ33" s="229">
        <v>7.4200000000000002E-2</v>
      </c>
      <c r="CK33" s="228">
        <v>22</v>
      </c>
      <c r="CL33" s="228">
        <v>9</v>
      </c>
      <c r="CM33" s="228">
        <v>13</v>
      </c>
      <c r="CN33" s="229">
        <v>1.4608000000000001</v>
      </c>
      <c r="CO33" s="230">
        <v>1916</v>
      </c>
      <c r="CP33" s="230">
        <v>1231</v>
      </c>
      <c r="CQ33" s="228">
        <v>685</v>
      </c>
      <c r="CR33" s="229">
        <v>0.55600000000000005</v>
      </c>
      <c r="CS33" s="230">
        <v>1207</v>
      </c>
      <c r="CT33" s="230">
        <v>1019</v>
      </c>
      <c r="CU33" s="228">
        <v>188</v>
      </c>
      <c r="CV33" s="229">
        <v>0.1842</v>
      </c>
      <c r="CW33" s="230">
        <v>14160</v>
      </c>
      <c r="CX33" s="230">
        <v>12871</v>
      </c>
      <c r="CY33" s="230">
        <v>1289</v>
      </c>
      <c r="CZ33" s="229">
        <v>0.10009999999999999</v>
      </c>
      <c r="DA33" s="228">
        <v>25.09</v>
      </c>
      <c r="DB33" s="228">
        <v>22.35</v>
      </c>
      <c r="DC33" s="228">
        <v>2.74</v>
      </c>
      <c r="DD33" s="228">
        <v>2.74</v>
      </c>
      <c r="DE33" s="228">
        <v>24.46</v>
      </c>
      <c r="DF33" s="228">
        <v>24.13</v>
      </c>
      <c r="DG33" s="228">
        <v>0.63</v>
      </c>
      <c r="DH33" s="228">
        <v>0.33</v>
      </c>
      <c r="DI33" s="228">
        <v>25.25</v>
      </c>
      <c r="DJ33" s="228">
        <v>22.03</v>
      </c>
      <c r="DK33" s="228">
        <v>3.22</v>
      </c>
      <c r="DL33" s="228">
        <v>3.22</v>
      </c>
      <c r="DM33" s="228">
        <v>24.79</v>
      </c>
      <c r="DN33" s="228">
        <v>23</v>
      </c>
      <c r="DO33" s="228">
        <v>1.79</v>
      </c>
      <c r="DP33" s="228">
        <v>1.79</v>
      </c>
      <c r="DQ33" s="228">
        <v>0.63</v>
      </c>
      <c r="DR33" s="228">
        <v>0.83</v>
      </c>
      <c r="DS33" s="228">
        <v>-0.2</v>
      </c>
      <c r="DT33" s="229">
        <v>-0.24099999999999999</v>
      </c>
      <c r="DU33" s="231">
        <v>1900</v>
      </c>
      <c r="DV33" s="231">
        <v>1860</v>
      </c>
      <c r="DW33" s="228">
        <v>0.56999999999999995</v>
      </c>
      <c r="DX33" s="228">
        <v>0.49</v>
      </c>
      <c r="DY33" s="228">
        <v>0.08</v>
      </c>
      <c r="DZ33" s="229">
        <v>0.1633</v>
      </c>
      <c r="EA33" s="229">
        <v>0.16819999999999999</v>
      </c>
      <c r="EB33" s="230">
        <v>9340400</v>
      </c>
      <c r="EC33" s="229">
        <v>6.3E-3</v>
      </c>
      <c r="ED33" s="229">
        <v>0.16819999999999999</v>
      </c>
      <c r="EE33" s="228">
        <v>8.6</v>
      </c>
      <c r="EF33" s="229">
        <v>4.5999999999999999E-3</v>
      </c>
      <c r="EG33" s="230">
        <v>6908345</v>
      </c>
      <c r="EH33" s="230">
        <v>7325727</v>
      </c>
      <c r="EI33" s="229">
        <v>-5.7000000000000002E-2</v>
      </c>
      <c r="EJ33" s="229">
        <v>0.63160000000000005</v>
      </c>
      <c r="EK33" s="231">
        <v>4484.2299999999996</v>
      </c>
      <c r="EL33" s="231">
        <v>2434.3200000000002</v>
      </c>
      <c r="EM33" s="231">
        <v>1399.19</v>
      </c>
      <c r="EN33" s="228">
        <v>302.36</v>
      </c>
      <c r="EO33" s="231">
        <v>8317.75</v>
      </c>
      <c r="EP33" s="231">
        <v>6634.75</v>
      </c>
      <c r="EQ33" s="231">
        <v>1683</v>
      </c>
      <c r="ER33" s="229">
        <v>0.25369999999999998</v>
      </c>
      <c r="ES33" s="231">
        <v>2007.4</v>
      </c>
      <c r="ET33" s="231">
        <v>1205.5999999999999</v>
      </c>
      <c r="EU33" s="231">
        <v>11048.88</v>
      </c>
      <c r="EV33" s="231">
        <v>342859930</v>
      </c>
      <c r="EW33" s="231">
        <v>14261.88</v>
      </c>
      <c r="EX33" s="231">
        <v>13290</v>
      </c>
      <c r="EY33" s="228">
        <v>971.88</v>
      </c>
      <c r="EZ33" s="229">
        <v>7.3099999999999998E-2</v>
      </c>
      <c r="FA33" s="229">
        <v>0.2248</v>
      </c>
      <c r="FB33" s="227" t="s">
        <v>566</v>
      </c>
      <c r="FC33">
        <f t="shared" si="0"/>
        <v>1856</v>
      </c>
    </row>
    <row r="34" spans="1:159" ht="17.25" thickBot="1" x14ac:dyDescent="0.3">
      <c r="A34" s="226">
        <v>46146</v>
      </c>
      <c r="B34" s="227" t="s">
        <v>184</v>
      </c>
      <c r="C34" s="227" t="s">
        <v>190</v>
      </c>
      <c r="D34" s="228">
        <v>2625</v>
      </c>
      <c r="E34" s="228">
        <v>22</v>
      </c>
      <c r="F34" s="228">
        <v>379.75</v>
      </c>
      <c r="G34" s="228">
        <v>354.52</v>
      </c>
      <c r="H34" s="228">
        <v>25.23</v>
      </c>
      <c r="I34" s="229">
        <v>7.1199999999999999E-2</v>
      </c>
      <c r="J34" s="228">
        <v>377.05</v>
      </c>
      <c r="K34" s="228">
        <v>352.41</v>
      </c>
      <c r="L34" s="228">
        <v>24.64</v>
      </c>
      <c r="M34" s="229">
        <v>6.9900000000000004E-2</v>
      </c>
      <c r="N34" s="228">
        <v>379.75</v>
      </c>
      <c r="O34" s="228">
        <v>354.52</v>
      </c>
      <c r="P34" s="228">
        <v>25.23</v>
      </c>
      <c r="Q34" s="229">
        <v>7.1199999999999999E-2</v>
      </c>
      <c r="R34" s="228">
        <v>382.15</v>
      </c>
      <c r="S34" s="228">
        <v>356.28</v>
      </c>
      <c r="T34" s="228">
        <v>25.87</v>
      </c>
      <c r="U34" s="229">
        <v>7.2599999999999998E-2</v>
      </c>
      <c r="V34" s="228">
        <v>383.5</v>
      </c>
      <c r="W34" s="228">
        <v>358.01</v>
      </c>
      <c r="X34" s="228">
        <v>25.49</v>
      </c>
      <c r="Y34" s="229">
        <v>7.1199999999999999E-2</v>
      </c>
      <c r="Z34" s="228">
        <v>2.7</v>
      </c>
      <c r="AA34" s="228">
        <v>2.11</v>
      </c>
      <c r="AB34" s="228">
        <v>0.59</v>
      </c>
      <c r="AC34" s="229">
        <v>7.1999999999999998E-3</v>
      </c>
      <c r="AD34" s="228">
        <v>2.7</v>
      </c>
      <c r="AE34" s="228">
        <v>2.11</v>
      </c>
      <c r="AF34" s="228">
        <v>0.59</v>
      </c>
      <c r="AG34" s="229">
        <v>7.1999999999999998E-3</v>
      </c>
      <c r="AH34" s="228">
        <v>5.0999999999999996</v>
      </c>
      <c r="AI34" s="228">
        <v>3.87</v>
      </c>
      <c r="AJ34" s="228">
        <v>1.23</v>
      </c>
      <c r="AK34" s="229">
        <v>1.35E-2</v>
      </c>
      <c r="AL34" s="228">
        <v>6.45</v>
      </c>
      <c r="AM34" s="228">
        <v>5.6</v>
      </c>
      <c r="AN34" s="228">
        <v>0.85</v>
      </c>
      <c r="AO34" s="229">
        <v>1.7100000000000001E-2</v>
      </c>
      <c r="AP34" s="228">
        <v>381.94</v>
      </c>
      <c r="AQ34" s="228">
        <v>384.53</v>
      </c>
      <c r="AR34" s="228">
        <v>0</v>
      </c>
      <c r="AS34" s="230">
        <v>4194</v>
      </c>
      <c r="AT34" s="230">
        <v>1022</v>
      </c>
      <c r="AU34" s="230">
        <v>3172</v>
      </c>
      <c r="AV34" s="229">
        <v>3.1034000000000002</v>
      </c>
      <c r="AW34" s="230">
        <v>3992</v>
      </c>
      <c r="AX34" s="228">
        <v>986</v>
      </c>
      <c r="AY34" s="230">
        <v>3006</v>
      </c>
      <c r="AZ34" s="229">
        <v>3.0497000000000001</v>
      </c>
      <c r="BA34" s="228">
        <v>171</v>
      </c>
      <c r="BB34" s="228">
        <v>32</v>
      </c>
      <c r="BC34" s="228">
        <v>139</v>
      </c>
      <c r="BD34" s="229">
        <v>4.4241000000000001</v>
      </c>
      <c r="BE34" s="228">
        <v>31</v>
      </c>
      <c r="BF34" s="228">
        <v>5</v>
      </c>
      <c r="BG34" s="228">
        <v>27</v>
      </c>
      <c r="BH34" s="229">
        <v>5.4286000000000003</v>
      </c>
      <c r="BI34" s="230">
        <v>12498</v>
      </c>
      <c r="BJ34" s="230">
        <v>1447</v>
      </c>
      <c r="BK34" s="230">
        <v>11052</v>
      </c>
      <c r="BL34" s="229">
        <v>7.6391999999999998</v>
      </c>
      <c r="BM34" s="230">
        <v>8249</v>
      </c>
      <c r="BN34" s="228">
        <v>781</v>
      </c>
      <c r="BO34" s="230">
        <v>7467</v>
      </c>
      <c r="BP34" s="229">
        <v>9.5599000000000007</v>
      </c>
      <c r="BQ34" s="230">
        <v>24941</v>
      </c>
      <c r="BR34" s="230">
        <v>3250</v>
      </c>
      <c r="BS34" s="230">
        <v>21691</v>
      </c>
      <c r="BT34" s="229">
        <v>6.6741999999999999</v>
      </c>
      <c r="BU34" s="230">
        <v>110151283</v>
      </c>
      <c r="BV34" s="230">
        <v>18096627</v>
      </c>
      <c r="BW34" s="230">
        <v>92054656</v>
      </c>
      <c r="BX34" s="229">
        <v>5.0868000000000002</v>
      </c>
      <c r="BY34" s="230">
        <v>5241</v>
      </c>
      <c r="BZ34" s="230">
        <v>4679</v>
      </c>
      <c r="CA34" s="228">
        <v>562</v>
      </c>
      <c r="CB34" s="229">
        <v>0.1202</v>
      </c>
      <c r="CC34" s="230">
        <v>5069</v>
      </c>
      <c r="CD34" s="230">
        <v>4548</v>
      </c>
      <c r="CE34" s="228">
        <v>521</v>
      </c>
      <c r="CF34" s="229">
        <v>0.1145</v>
      </c>
      <c r="CG34" s="228">
        <v>162</v>
      </c>
      <c r="CH34" s="228">
        <v>127</v>
      </c>
      <c r="CI34" s="228">
        <v>35</v>
      </c>
      <c r="CJ34" s="229">
        <v>0.27289999999999998</v>
      </c>
      <c r="CK34" s="228">
        <v>10</v>
      </c>
      <c r="CL34" s="228">
        <v>4</v>
      </c>
      <c r="CM34" s="228">
        <v>7</v>
      </c>
      <c r="CN34" s="229">
        <v>1.8332999999999999</v>
      </c>
      <c r="CO34" s="230">
        <v>1932</v>
      </c>
      <c r="CP34" s="228">
        <v>928</v>
      </c>
      <c r="CQ34" s="230">
        <v>1004</v>
      </c>
      <c r="CR34" s="229">
        <v>1.0817000000000001</v>
      </c>
      <c r="CS34" s="230">
        <v>1589</v>
      </c>
      <c r="CT34" s="228">
        <v>868</v>
      </c>
      <c r="CU34" s="228">
        <v>722</v>
      </c>
      <c r="CV34" s="229">
        <v>0.83160000000000001</v>
      </c>
      <c r="CW34" s="230">
        <v>8762</v>
      </c>
      <c r="CX34" s="230">
        <v>6475</v>
      </c>
      <c r="CY34" s="230">
        <v>2288</v>
      </c>
      <c r="CZ34" s="229">
        <v>0.3533</v>
      </c>
      <c r="DA34" s="228">
        <v>41.16</v>
      </c>
      <c r="DB34" s="228">
        <v>44</v>
      </c>
      <c r="DC34" s="228">
        <v>-2.84</v>
      </c>
      <c r="DD34" s="228">
        <v>-2.84</v>
      </c>
      <c r="DE34" s="228">
        <v>47.83</v>
      </c>
      <c r="DF34" s="228">
        <v>47.03</v>
      </c>
      <c r="DG34" s="228">
        <v>-6.67</v>
      </c>
      <c r="DH34" s="228">
        <v>0.8</v>
      </c>
      <c r="DI34" s="228">
        <v>39.93</v>
      </c>
      <c r="DJ34" s="228">
        <v>43.2</v>
      </c>
      <c r="DK34" s="228">
        <v>-3.27</v>
      </c>
      <c r="DL34" s="228">
        <v>-3.27</v>
      </c>
      <c r="DM34" s="228">
        <v>43.03</v>
      </c>
      <c r="DN34" s="228">
        <v>45.49</v>
      </c>
      <c r="DO34" s="228">
        <v>-2.46</v>
      </c>
      <c r="DP34" s="228">
        <v>-2.46</v>
      </c>
      <c r="DQ34" s="228">
        <v>0.82</v>
      </c>
      <c r="DR34" s="228">
        <v>0.94</v>
      </c>
      <c r="DS34" s="228">
        <v>-0.12</v>
      </c>
      <c r="DT34" s="229">
        <v>-0.12770000000000001</v>
      </c>
      <c r="DU34" s="228">
        <v>400</v>
      </c>
      <c r="DV34" s="228">
        <v>300</v>
      </c>
      <c r="DW34" s="228">
        <v>0.66</v>
      </c>
      <c r="DX34" s="228">
        <v>0.54</v>
      </c>
      <c r="DY34" s="228">
        <v>0.12</v>
      </c>
      <c r="DZ34" s="229">
        <v>0.22220000000000001</v>
      </c>
      <c r="EA34" s="229">
        <v>3.2899999999999999E-2</v>
      </c>
      <c r="EB34" s="230">
        <v>3451875</v>
      </c>
      <c r="EC34" s="229">
        <v>6.3E-3</v>
      </c>
      <c r="ED34" s="229">
        <v>3.2899999999999999E-2</v>
      </c>
      <c r="EE34" s="228">
        <v>2.59</v>
      </c>
      <c r="EF34" s="229">
        <v>6.7999999999999996E-3</v>
      </c>
      <c r="EG34" s="230">
        <v>28199012</v>
      </c>
      <c r="EH34" s="230">
        <v>7489249</v>
      </c>
      <c r="EI34" s="229">
        <v>2.7652999999999999</v>
      </c>
      <c r="EJ34" s="229">
        <v>0.25600000000000001</v>
      </c>
      <c r="EK34" s="231">
        <v>13351.24</v>
      </c>
      <c r="EL34" s="231">
        <v>7955.18</v>
      </c>
      <c r="EM34" s="231">
        <v>4219.9399999999996</v>
      </c>
      <c r="EN34" s="228">
        <v>156.13999999999999</v>
      </c>
      <c r="EO34" s="231">
        <v>25526.36</v>
      </c>
      <c r="EP34" s="231">
        <v>3059.98</v>
      </c>
      <c r="EQ34" s="231">
        <v>22466.38</v>
      </c>
      <c r="ER34" s="229">
        <v>7.3419999999999996</v>
      </c>
      <c r="ES34" s="231">
        <v>1936.07</v>
      </c>
      <c r="ET34" s="231">
        <v>1423.35</v>
      </c>
      <c r="EU34" s="231">
        <v>5242.53</v>
      </c>
      <c r="EV34" s="231">
        <v>192361942</v>
      </c>
      <c r="EW34" s="231">
        <v>8601.9500000000007</v>
      </c>
      <c r="EX34" s="231">
        <v>5945.77</v>
      </c>
      <c r="EY34" s="231">
        <v>2656.18</v>
      </c>
      <c r="EZ34" s="229">
        <v>0.44669999999999999</v>
      </c>
      <c r="FA34" s="229">
        <v>1.1995</v>
      </c>
      <c r="FB34" s="227" t="s">
        <v>555</v>
      </c>
      <c r="FC34">
        <f t="shared" si="0"/>
        <v>172</v>
      </c>
    </row>
    <row r="35" spans="1:159" ht="17.25" thickBot="1" x14ac:dyDescent="0.3">
      <c r="A35" s="226">
        <v>46146</v>
      </c>
      <c r="B35" s="227" t="s">
        <v>170</v>
      </c>
      <c r="C35" s="227" t="s">
        <v>191</v>
      </c>
      <c r="D35" s="228">
        <v>2500</v>
      </c>
      <c r="E35" s="228">
        <v>22</v>
      </c>
      <c r="F35" s="228">
        <v>362.7</v>
      </c>
      <c r="G35" s="228">
        <v>361.1</v>
      </c>
      <c r="H35" s="228">
        <v>1.6</v>
      </c>
      <c r="I35" s="229">
        <v>4.4000000000000003E-3</v>
      </c>
      <c r="J35" s="228">
        <v>360.6</v>
      </c>
      <c r="K35" s="228">
        <v>359.65</v>
      </c>
      <c r="L35" s="228">
        <v>0.95</v>
      </c>
      <c r="M35" s="229">
        <v>2.5999999999999999E-3</v>
      </c>
      <c r="N35" s="228">
        <v>362.7</v>
      </c>
      <c r="O35" s="228">
        <v>361.1</v>
      </c>
      <c r="P35" s="228">
        <v>1.6</v>
      </c>
      <c r="Q35" s="229">
        <v>4.4000000000000003E-3</v>
      </c>
      <c r="R35" s="228">
        <v>365.55</v>
      </c>
      <c r="S35" s="228">
        <v>364.1</v>
      </c>
      <c r="T35" s="228">
        <v>1.45</v>
      </c>
      <c r="U35" s="229">
        <v>4.0000000000000001E-3</v>
      </c>
      <c r="V35" s="228">
        <v>366</v>
      </c>
      <c r="W35" s="228">
        <v>365.2</v>
      </c>
      <c r="X35" s="228">
        <v>0.8</v>
      </c>
      <c r="Y35" s="229">
        <v>2.2000000000000001E-3</v>
      </c>
      <c r="Z35" s="228">
        <v>2.1</v>
      </c>
      <c r="AA35" s="228">
        <v>1.45</v>
      </c>
      <c r="AB35" s="228">
        <v>0.65</v>
      </c>
      <c r="AC35" s="229">
        <v>5.7999999999999996E-3</v>
      </c>
      <c r="AD35" s="228">
        <v>2.1</v>
      </c>
      <c r="AE35" s="228">
        <v>1.45</v>
      </c>
      <c r="AF35" s="228">
        <v>0.65</v>
      </c>
      <c r="AG35" s="229">
        <v>5.7999999999999996E-3</v>
      </c>
      <c r="AH35" s="228">
        <v>4.95</v>
      </c>
      <c r="AI35" s="228">
        <v>4.45</v>
      </c>
      <c r="AJ35" s="228">
        <v>0.5</v>
      </c>
      <c r="AK35" s="229">
        <v>1.37E-2</v>
      </c>
      <c r="AL35" s="228">
        <v>5.4</v>
      </c>
      <c r="AM35" s="228">
        <v>5.55</v>
      </c>
      <c r="AN35" s="228">
        <v>-0.15</v>
      </c>
      <c r="AO35" s="229">
        <v>1.4999999999999999E-2</v>
      </c>
      <c r="AP35" s="228">
        <v>365.02</v>
      </c>
      <c r="AQ35" s="228">
        <v>367.99</v>
      </c>
      <c r="AR35" s="228">
        <v>0</v>
      </c>
      <c r="AS35" s="228">
        <v>154</v>
      </c>
      <c r="AT35" s="228">
        <v>144</v>
      </c>
      <c r="AU35" s="228">
        <v>10</v>
      </c>
      <c r="AV35" s="229">
        <v>7.1199999999999999E-2</v>
      </c>
      <c r="AW35" s="228">
        <v>148</v>
      </c>
      <c r="AX35" s="228">
        <v>136</v>
      </c>
      <c r="AY35" s="228">
        <v>12</v>
      </c>
      <c r="AZ35" s="229">
        <v>8.5300000000000001E-2</v>
      </c>
      <c r="BA35" s="228">
        <v>6</v>
      </c>
      <c r="BB35" s="228">
        <v>7</v>
      </c>
      <c r="BC35" s="228">
        <v>-2</v>
      </c>
      <c r="BD35" s="229">
        <v>-0.2099</v>
      </c>
      <c r="BE35" s="228">
        <v>1</v>
      </c>
      <c r="BF35" s="228">
        <v>0</v>
      </c>
      <c r="BG35" s="228">
        <v>0</v>
      </c>
      <c r="BH35" s="229">
        <v>0.4</v>
      </c>
      <c r="BI35" s="228">
        <v>478</v>
      </c>
      <c r="BJ35" s="228">
        <v>519</v>
      </c>
      <c r="BK35" s="228">
        <v>-40</v>
      </c>
      <c r="BL35" s="229">
        <v>-7.7799999999999994E-2</v>
      </c>
      <c r="BM35" s="228">
        <v>178</v>
      </c>
      <c r="BN35" s="228">
        <v>156</v>
      </c>
      <c r="BO35" s="228">
        <v>22</v>
      </c>
      <c r="BP35" s="229">
        <v>0.14249999999999999</v>
      </c>
      <c r="BQ35" s="228">
        <v>811</v>
      </c>
      <c r="BR35" s="228">
        <v>819</v>
      </c>
      <c r="BS35" s="228">
        <v>-8</v>
      </c>
      <c r="BT35" s="229">
        <v>-9.5999999999999992E-3</v>
      </c>
      <c r="BU35" s="230">
        <v>2680341</v>
      </c>
      <c r="BV35" s="230">
        <v>2072398</v>
      </c>
      <c r="BW35" s="230">
        <v>607943</v>
      </c>
      <c r="BX35" s="229">
        <v>0.29339999999999999</v>
      </c>
      <c r="BY35" s="230">
        <v>1139</v>
      </c>
      <c r="BZ35" s="230">
        <v>1135</v>
      </c>
      <c r="CA35" s="228">
        <v>4</v>
      </c>
      <c r="CB35" s="229">
        <v>3.5999999999999999E-3</v>
      </c>
      <c r="CC35" s="230">
        <v>1113</v>
      </c>
      <c r="CD35" s="230">
        <v>1109</v>
      </c>
      <c r="CE35" s="228">
        <v>4</v>
      </c>
      <c r="CF35" s="229">
        <v>3.8999999999999998E-3</v>
      </c>
      <c r="CG35" s="228">
        <v>25</v>
      </c>
      <c r="CH35" s="228">
        <v>26</v>
      </c>
      <c r="CI35" s="228">
        <v>-1</v>
      </c>
      <c r="CJ35" s="229">
        <v>-2.4299999999999999E-2</v>
      </c>
      <c r="CK35" s="228">
        <v>1</v>
      </c>
      <c r="CL35" s="228">
        <v>1</v>
      </c>
      <c r="CM35" s="228">
        <v>0</v>
      </c>
      <c r="CN35" s="229">
        <v>0.5</v>
      </c>
      <c r="CO35" s="228">
        <v>848</v>
      </c>
      <c r="CP35" s="228">
        <v>841</v>
      </c>
      <c r="CQ35" s="228">
        <v>8</v>
      </c>
      <c r="CR35" s="229">
        <v>8.9999999999999993E-3</v>
      </c>
      <c r="CS35" s="228">
        <v>398</v>
      </c>
      <c r="CT35" s="228">
        <v>394</v>
      </c>
      <c r="CU35" s="228">
        <v>4</v>
      </c>
      <c r="CV35" s="229">
        <v>1.01E-2</v>
      </c>
      <c r="CW35" s="230">
        <v>2386</v>
      </c>
      <c r="CX35" s="230">
        <v>2370</v>
      </c>
      <c r="CY35" s="228">
        <v>16</v>
      </c>
      <c r="CZ35" s="229">
        <v>6.6E-3</v>
      </c>
      <c r="DA35" s="228">
        <v>37.15</v>
      </c>
      <c r="DB35" s="228">
        <v>36.65</v>
      </c>
      <c r="DC35" s="228">
        <v>0.5</v>
      </c>
      <c r="DD35" s="228">
        <v>0.5</v>
      </c>
      <c r="DE35" s="228">
        <v>35.93</v>
      </c>
      <c r="DF35" s="228">
        <v>36.01</v>
      </c>
      <c r="DG35" s="228">
        <v>1.22</v>
      </c>
      <c r="DH35" s="228">
        <v>-0.08</v>
      </c>
      <c r="DI35" s="228">
        <v>37.18</v>
      </c>
      <c r="DJ35" s="228">
        <v>36.89</v>
      </c>
      <c r="DK35" s="228">
        <v>0.28999999999999998</v>
      </c>
      <c r="DL35" s="228">
        <v>0.28999999999999998</v>
      </c>
      <c r="DM35" s="228">
        <v>37.08</v>
      </c>
      <c r="DN35" s="228">
        <v>35.82</v>
      </c>
      <c r="DO35" s="228">
        <v>1.26</v>
      </c>
      <c r="DP35" s="228">
        <v>1.26</v>
      </c>
      <c r="DQ35" s="228">
        <v>0.47</v>
      </c>
      <c r="DR35" s="228">
        <v>0.47</v>
      </c>
      <c r="DS35" s="228">
        <v>0</v>
      </c>
      <c r="DT35" s="229">
        <v>0</v>
      </c>
      <c r="DU35" s="228">
        <v>400</v>
      </c>
      <c r="DV35" s="228">
        <v>350</v>
      </c>
      <c r="DW35" s="228">
        <v>0.37</v>
      </c>
      <c r="DX35" s="228">
        <v>0.3</v>
      </c>
      <c r="DY35" s="228">
        <v>7.0000000000000007E-2</v>
      </c>
      <c r="DZ35" s="229">
        <v>0.23330000000000001</v>
      </c>
      <c r="EA35" s="229">
        <v>2.3300000000000001E-2</v>
      </c>
      <c r="EB35" s="230">
        <v>740000</v>
      </c>
      <c r="EC35" s="229">
        <v>7.9000000000000008E-3</v>
      </c>
      <c r="ED35" s="229">
        <v>2.3300000000000001E-2</v>
      </c>
      <c r="EE35" s="228">
        <v>2.97</v>
      </c>
      <c r="EF35" s="229">
        <v>8.0999999999999996E-3</v>
      </c>
      <c r="EG35" s="230">
        <v>1304512</v>
      </c>
      <c r="EH35" s="230">
        <v>936198</v>
      </c>
      <c r="EI35" s="229">
        <v>0.39340000000000003</v>
      </c>
      <c r="EJ35" s="229">
        <v>0.48670000000000002</v>
      </c>
      <c r="EK35" s="228">
        <v>515.72</v>
      </c>
      <c r="EL35" s="228">
        <v>178.04</v>
      </c>
      <c r="EM35" s="228">
        <v>155.1</v>
      </c>
      <c r="EN35" s="228">
        <v>56.96</v>
      </c>
      <c r="EO35" s="228">
        <v>848.86</v>
      </c>
      <c r="EP35" s="228">
        <v>859.26</v>
      </c>
      <c r="EQ35" s="228">
        <v>-10.39</v>
      </c>
      <c r="ER35" s="229">
        <v>-1.21E-2</v>
      </c>
      <c r="ES35" s="228">
        <v>904.79</v>
      </c>
      <c r="ET35" s="228">
        <v>388.93</v>
      </c>
      <c r="EU35" s="231">
        <v>1139.6300000000001</v>
      </c>
      <c r="EV35" s="231">
        <v>108004143</v>
      </c>
      <c r="EW35" s="231">
        <v>2433.36</v>
      </c>
      <c r="EX35" s="231">
        <v>2412.7199999999998</v>
      </c>
      <c r="EY35" s="228">
        <v>20.64</v>
      </c>
      <c r="EZ35" s="229">
        <v>8.6E-3</v>
      </c>
      <c r="FA35" s="229">
        <v>0.60899999999999999</v>
      </c>
      <c r="FB35" s="227" t="s">
        <v>555</v>
      </c>
      <c r="FC35">
        <f t="shared" si="0"/>
        <v>26</v>
      </c>
    </row>
    <row r="36" spans="1:159" ht="17.25" thickBot="1" x14ac:dyDescent="0.3">
      <c r="A36" s="226">
        <v>46146</v>
      </c>
      <c r="B36" s="227" t="s">
        <v>184</v>
      </c>
      <c r="C36" s="227" t="s">
        <v>675</v>
      </c>
      <c r="D36" s="228">
        <v>325</v>
      </c>
      <c r="E36" s="228">
        <v>22</v>
      </c>
      <c r="F36" s="231">
        <v>1801.4</v>
      </c>
      <c r="G36" s="231">
        <v>1766.4</v>
      </c>
      <c r="H36" s="228">
        <v>35</v>
      </c>
      <c r="I36" s="229">
        <v>1.9800000000000002E-2</v>
      </c>
      <c r="J36" s="231">
        <v>1802.2</v>
      </c>
      <c r="K36" s="231">
        <v>1781</v>
      </c>
      <c r="L36" s="228">
        <v>21.2</v>
      </c>
      <c r="M36" s="229">
        <v>1.1900000000000001E-2</v>
      </c>
      <c r="N36" s="231">
        <v>1801.4</v>
      </c>
      <c r="O36" s="231">
        <v>1766.4</v>
      </c>
      <c r="P36" s="228">
        <v>35</v>
      </c>
      <c r="Q36" s="229">
        <v>1.9800000000000002E-2</v>
      </c>
      <c r="R36" s="231">
        <v>1777.6</v>
      </c>
      <c r="S36" s="231">
        <v>1745.6</v>
      </c>
      <c r="T36" s="228">
        <v>32</v>
      </c>
      <c r="U36" s="229">
        <v>1.83E-2</v>
      </c>
      <c r="V36" s="228">
        <v>0</v>
      </c>
      <c r="W36" s="228">
        <v>0</v>
      </c>
      <c r="X36" s="228">
        <v>0</v>
      </c>
      <c r="Y36" s="229">
        <v>0</v>
      </c>
      <c r="Z36" s="228">
        <v>-0.8</v>
      </c>
      <c r="AA36" s="228">
        <v>-14.6</v>
      </c>
      <c r="AB36" s="228">
        <v>13.8</v>
      </c>
      <c r="AC36" s="229">
        <v>-4.0000000000000002E-4</v>
      </c>
      <c r="AD36" s="228">
        <v>-0.8</v>
      </c>
      <c r="AE36" s="228">
        <v>-14.6</v>
      </c>
      <c r="AF36" s="228">
        <v>13.8</v>
      </c>
      <c r="AG36" s="229">
        <v>-4.0000000000000002E-4</v>
      </c>
      <c r="AH36" s="228">
        <v>-24.6</v>
      </c>
      <c r="AI36" s="228">
        <v>-35.4</v>
      </c>
      <c r="AJ36" s="228">
        <v>10.8</v>
      </c>
      <c r="AK36" s="229">
        <v>-1.3599999999999999E-2</v>
      </c>
      <c r="AL36" s="228">
        <v>0</v>
      </c>
      <c r="AM36" s="228">
        <v>0</v>
      </c>
      <c r="AN36" s="228">
        <v>0</v>
      </c>
      <c r="AO36" s="229">
        <v>0</v>
      </c>
      <c r="AP36" s="231">
        <v>1797.43</v>
      </c>
      <c r="AQ36" s="231">
        <v>1771.55</v>
      </c>
      <c r="AR36" s="228">
        <v>0</v>
      </c>
      <c r="AS36" s="228">
        <v>119</v>
      </c>
      <c r="AT36" s="228">
        <v>230</v>
      </c>
      <c r="AU36" s="228">
        <v>-111</v>
      </c>
      <c r="AV36" s="229">
        <v>-0.48380000000000001</v>
      </c>
      <c r="AW36" s="228">
        <v>114</v>
      </c>
      <c r="AX36" s="228">
        <v>219</v>
      </c>
      <c r="AY36" s="228">
        <v>-104</v>
      </c>
      <c r="AZ36" s="229">
        <v>-0.47670000000000001</v>
      </c>
      <c r="BA36" s="228">
        <v>4</v>
      </c>
      <c r="BB36" s="228">
        <v>11</v>
      </c>
      <c r="BC36" s="228">
        <v>-7</v>
      </c>
      <c r="BD36" s="229">
        <v>-0.62180000000000002</v>
      </c>
      <c r="BE36" s="228">
        <v>0</v>
      </c>
      <c r="BF36" s="228">
        <v>0</v>
      </c>
      <c r="BG36" s="228">
        <v>0</v>
      </c>
      <c r="BH36" s="229">
        <v>0</v>
      </c>
      <c r="BI36" s="228">
        <v>142</v>
      </c>
      <c r="BJ36" s="228">
        <v>202</v>
      </c>
      <c r="BK36" s="228">
        <v>-59</v>
      </c>
      <c r="BL36" s="229">
        <v>-0.29430000000000001</v>
      </c>
      <c r="BM36" s="228">
        <v>70</v>
      </c>
      <c r="BN36" s="228">
        <v>127</v>
      </c>
      <c r="BO36" s="228">
        <v>-57</v>
      </c>
      <c r="BP36" s="229">
        <v>-0.44879999999999998</v>
      </c>
      <c r="BQ36" s="228">
        <v>331</v>
      </c>
      <c r="BR36" s="228">
        <v>559</v>
      </c>
      <c r="BS36" s="228">
        <v>-228</v>
      </c>
      <c r="BT36" s="229">
        <v>-0.40749999999999997</v>
      </c>
      <c r="BU36" s="230">
        <v>320775</v>
      </c>
      <c r="BV36" s="230">
        <v>767984</v>
      </c>
      <c r="BW36" s="230">
        <v>-447209</v>
      </c>
      <c r="BX36" s="229">
        <v>-0.58230000000000004</v>
      </c>
      <c r="BY36" s="228">
        <v>510</v>
      </c>
      <c r="BZ36" s="228">
        <v>534</v>
      </c>
      <c r="CA36" s="228">
        <v>-24</v>
      </c>
      <c r="CB36" s="229">
        <v>-4.58E-2</v>
      </c>
      <c r="CC36" s="228">
        <v>497</v>
      </c>
      <c r="CD36" s="228">
        <v>522</v>
      </c>
      <c r="CE36" s="228">
        <v>-26</v>
      </c>
      <c r="CF36" s="229">
        <v>-4.9000000000000002E-2</v>
      </c>
      <c r="CG36" s="228">
        <v>13</v>
      </c>
      <c r="CH36" s="228">
        <v>12</v>
      </c>
      <c r="CI36" s="228">
        <v>1</v>
      </c>
      <c r="CJ36" s="229">
        <v>9.5000000000000001E-2</v>
      </c>
      <c r="CK36" s="228">
        <v>0</v>
      </c>
      <c r="CL36" s="228">
        <v>0</v>
      </c>
      <c r="CM36" s="228">
        <v>0</v>
      </c>
      <c r="CN36" s="229">
        <v>0</v>
      </c>
      <c r="CO36" s="228">
        <v>175</v>
      </c>
      <c r="CP36" s="228">
        <v>167</v>
      </c>
      <c r="CQ36" s="228">
        <v>8</v>
      </c>
      <c r="CR36" s="229">
        <v>4.6600000000000003E-2</v>
      </c>
      <c r="CS36" s="228">
        <v>122</v>
      </c>
      <c r="CT36" s="228">
        <v>110</v>
      </c>
      <c r="CU36" s="228">
        <v>11</v>
      </c>
      <c r="CV36" s="229">
        <v>0.1031</v>
      </c>
      <c r="CW36" s="228">
        <v>806</v>
      </c>
      <c r="CX36" s="228">
        <v>811</v>
      </c>
      <c r="CY36" s="228">
        <v>-5</v>
      </c>
      <c r="CZ36" s="229">
        <v>-6.6E-3</v>
      </c>
      <c r="DA36" s="228">
        <v>49.58</v>
      </c>
      <c r="DB36" s="228">
        <v>47.71</v>
      </c>
      <c r="DC36" s="228">
        <v>1.87</v>
      </c>
      <c r="DD36" s="228">
        <v>1.87</v>
      </c>
      <c r="DE36" s="228">
        <v>43.03</v>
      </c>
      <c r="DF36" s="228">
        <v>43.05</v>
      </c>
      <c r="DG36" s="228">
        <v>6.55</v>
      </c>
      <c r="DH36" s="228">
        <v>-0.02</v>
      </c>
      <c r="DI36" s="228">
        <v>48.66</v>
      </c>
      <c r="DJ36" s="228">
        <v>47.37</v>
      </c>
      <c r="DK36" s="228">
        <v>1.29</v>
      </c>
      <c r="DL36" s="228">
        <v>1.29</v>
      </c>
      <c r="DM36" s="228">
        <v>51.42</v>
      </c>
      <c r="DN36" s="228">
        <v>48.25</v>
      </c>
      <c r="DO36" s="228">
        <v>3.17</v>
      </c>
      <c r="DP36" s="228">
        <v>3.17</v>
      </c>
      <c r="DQ36" s="228">
        <v>0.7</v>
      </c>
      <c r="DR36" s="228">
        <v>0.66</v>
      </c>
      <c r="DS36" s="228">
        <v>0.04</v>
      </c>
      <c r="DT36" s="229">
        <v>6.0600000000000001E-2</v>
      </c>
      <c r="DU36" s="231">
        <v>1900</v>
      </c>
      <c r="DV36" s="231">
        <v>1800</v>
      </c>
      <c r="DW36" s="228">
        <v>0.49</v>
      </c>
      <c r="DX36" s="228">
        <v>0.63</v>
      </c>
      <c r="DY36" s="228">
        <v>-0.14000000000000001</v>
      </c>
      <c r="DZ36" s="229">
        <v>-0.22220000000000001</v>
      </c>
      <c r="EA36" s="229">
        <v>2.52E-2</v>
      </c>
      <c r="EB36" s="230">
        <v>65000</v>
      </c>
      <c r="EC36" s="229">
        <v>-1.32E-2</v>
      </c>
      <c r="ED36" s="229">
        <v>2.52E-2</v>
      </c>
      <c r="EE36" s="228">
        <v>-25.88</v>
      </c>
      <c r="EF36" s="229">
        <v>-1.44E-2</v>
      </c>
      <c r="EG36" s="230">
        <v>120387</v>
      </c>
      <c r="EH36" s="230">
        <v>366252</v>
      </c>
      <c r="EI36" s="229">
        <v>-0.67130000000000001</v>
      </c>
      <c r="EJ36" s="229">
        <v>0.37530000000000002</v>
      </c>
      <c r="EK36" s="228">
        <v>155.07</v>
      </c>
      <c r="EL36" s="228">
        <v>66.89</v>
      </c>
      <c r="EM36" s="228">
        <v>118.35</v>
      </c>
      <c r="EN36" s="228">
        <v>53.32</v>
      </c>
      <c r="EO36" s="228">
        <v>340.31</v>
      </c>
      <c r="EP36" s="228">
        <v>576.46</v>
      </c>
      <c r="EQ36" s="228">
        <v>-236.15</v>
      </c>
      <c r="ER36" s="229">
        <v>-0.40970000000000001</v>
      </c>
      <c r="ES36" s="228">
        <v>188.01</v>
      </c>
      <c r="ET36" s="228">
        <v>116.76</v>
      </c>
      <c r="EU36" s="228">
        <v>509.35</v>
      </c>
      <c r="EV36" s="231">
        <v>15745076</v>
      </c>
      <c r="EW36" s="228">
        <v>814.12</v>
      </c>
      <c r="EX36" s="228">
        <v>810.37</v>
      </c>
      <c r="EY36" s="228">
        <v>3.75</v>
      </c>
      <c r="EZ36" s="229">
        <v>4.5999999999999999E-3</v>
      </c>
      <c r="FA36" s="229">
        <v>0.28410000000000002</v>
      </c>
      <c r="FB36" s="227" t="s">
        <v>691</v>
      </c>
      <c r="FC36">
        <f t="shared" si="0"/>
        <v>13</v>
      </c>
    </row>
    <row r="37" spans="1:159" ht="17.25" thickBot="1" x14ac:dyDescent="0.3">
      <c r="A37" s="226">
        <v>46146</v>
      </c>
      <c r="B37" s="227" t="s">
        <v>162</v>
      </c>
      <c r="C37" s="227" t="s">
        <v>192</v>
      </c>
      <c r="D37" s="228">
        <v>25</v>
      </c>
      <c r="E37" s="228">
        <v>22</v>
      </c>
      <c r="F37" s="231">
        <v>35930</v>
      </c>
      <c r="G37" s="231">
        <v>36230</v>
      </c>
      <c r="H37" s="228">
        <v>-300</v>
      </c>
      <c r="I37" s="229">
        <v>-8.3000000000000001E-3</v>
      </c>
      <c r="J37" s="231">
        <v>35850</v>
      </c>
      <c r="K37" s="231">
        <v>35995</v>
      </c>
      <c r="L37" s="228">
        <v>-145</v>
      </c>
      <c r="M37" s="229">
        <v>-4.0000000000000001E-3</v>
      </c>
      <c r="N37" s="231">
        <v>35930</v>
      </c>
      <c r="O37" s="231">
        <v>36230</v>
      </c>
      <c r="P37" s="228">
        <v>-300</v>
      </c>
      <c r="Q37" s="229">
        <v>-8.3000000000000001E-3</v>
      </c>
      <c r="R37" s="231">
        <v>36150</v>
      </c>
      <c r="S37" s="231">
        <v>36480</v>
      </c>
      <c r="T37" s="228">
        <v>-330</v>
      </c>
      <c r="U37" s="229">
        <v>-8.9999999999999993E-3</v>
      </c>
      <c r="V37" s="231">
        <v>35505</v>
      </c>
      <c r="W37" s="231">
        <v>36175</v>
      </c>
      <c r="X37" s="228">
        <v>-670</v>
      </c>
      <c r="Y37" s="229">
        <v>-1.8499999999999999E-2</v>
      </c>
      <c r="Z37" s="228">
        <v>80</v>
      </c>
      <c r="AA37" s="228">
        <v>235</v>
      </c>
      <c r="AB37" s="228">
        <v>-155</v>
      </c>
      <c r="AC37" s="229">
        <v>2.2000000000000001E-3</v>
      </c>
      <c r="AD37" s="228">
        <v>80</v>
      </c>
      <c r="AE37" s="228">
        <v>235</v>
      </c>
      <c r="AF37" s="228">
        <v>-155</v>
      </c>
      <c r="AG37" s="229">
        <v>2.2000000000000001E-3</v>
      </c>
      <c r="AH37" s="228">
        <v>300</v>
      </c>
      <c r="AI37" s="228">
        <v>485</v>
      </c>
      <c r="AJ37" s="228">
        <v>-185</v>
      </c>
      <c r="AK37" s="229">
        <v>8.3999999999999995E-3</v>
      </c>
      <c r="AL37" s="228">
        <v>-345</v>
      </c>
      <c r="AM37" s="228">
        <v>180</v>
      </c>
      <c r="AN37" s="228">
        <v>-525</v>
      </c>
      <c r="AO37" s="229">
        <v>-9.5999999999999992E-3</v>
      </c>
      <c r="AP37" s="231">
        <v>35999.29</v>
      </c>
      <c r="AQ37" s="231">
        <v>36122.400000000001</v>
      </c>
      <c r="AR37" s="228">
        <v>0</v>
      </c>
      <c r="AS37" s="228">
        <v>122</v>
      </c>
      <c r="AT37" s="228">
        <v>90</v>
      </c>
      <c r="AU37" s="228">
        <v>32</v>
      </c>
      <c r="AV37" s="229">
        <v>0.35089999999999999</v>
      </c>
      <c r="AW37" s="228">
        <v>117</v>
      </c>
      <c r="AX37" s="228">
        <v>88</v>
      </c>
      <c r="AY37" s="228">
        <v>29</v>
      </c>
      <c r="AZ37" s="229">
        <v>0.32550000000000001</v>
      </c>
      <c r="BA37" s="228">
        <v>4</v>
      </c>
      <c r="BB37" s="228">
        <v>2</v>
      </c>
      <c r="BC37" s="228">
        <v>3</v>
      </c>
      <c r="BD37" s="229">
        <v>1.2726999999999999</v>
      </c>
      <c r="BE37" s="228">
        <v>1</v>
      </c>
      <c r="BF37" s="228">
        <v>0</v>
      </c>
      <c r="BG37" s="228">
        <v>0</v>
      </c>
      <c r="BH37" s="229">
        <v>5</v>
      </c>
      <c r="BI37" s="228">
        <v>123</v>
      </c>
      <c r="BJ37" s="228">
        <v>115</v>
      </c>
      <c r="BK37" s="228">
        <v>8</v>
      </c>
      <c r="BL37" s="229">
        <v>6.9800000000000001E-2</v>
      </c>
      <c r="BM37" s="228">
        <v>86</v>
      </c>
      <c r="BN37" s="228">
        <v>133</v>
      </c>
      <c r="BO37" s="228">
        <v>-47</v>
      </c>
      <c r="BP37" s="229">
        <v>-0.35310000000000002</v>
      </c>
      <c r="BQ37" s="228">
        <v>330</v>
      </c>
      <c r="BR37" s="228">
        <v>338</v>
      </c>
      <c r="BS37" s="228">
        <v>-7</v>
      </c>
      <c r="BT37" s="229">
        <v>-2.2100000000000002E-2</v>
      </c>
      <c r="BU37" s="230">
        <v>23118</v>
      </c>
      <c r="BV37" s="230">
        <v>34405</v>
      </c>
      <c r="BW37" s="230">
        <v>-11287</v>
      </c>
      <c r="BX37" s="229">
        <v>-0.3281</v>
      </c>
      <c r="BY37" s="228">
        <v>891</v>
      </c>
      <c r="BZ37" s="228">
        <v>890</v>
      </c>
      <c r="CA37" s="228">
        <v>1</v>
      </c>
      <c r="CB37" s="229">
        <v>6.9999999999999999E-4</v>
      </c>
      <c r="CC37" s="228">
        <v>881</v>
      </c>
      <c r="CD37" s="228">
        <v>883</v>
      </c>
      <c r="CE37" s="228">
        <v>-2</v>
      </c>
      <c r="CF37" s="229">
        <v>-1.8E-3</v>
      </c>
      <c r="CG37" s="228">
        <v>8</v>
      </c>
      <c r="CH37" s="228">
        <v>6</v>
      </c>
      <c r="CI37" s="228">
        <v>2</v>
      </c>
      <c r="CJ37" s="229">
        <v>0.31430000000000002</v>
      </c>
      <c r="CK37" s="228">
        <v>2</v>
      </c>
      <c r="CL37" s="228">
        <v>1</v>
      </c>
      <c r="CM37" s="228">
        <v>0</v>
      </c>
      <c r="CN37" s="229">
        <v>0.2</v>
      </c>
      <c r="CO37" s="228">
        <v>156</v>
      </c>
      <c r="CP37" s="228">
        <v>118</v>
      </c>
      <c r="CQ37" s="228">
        <v>38</v>
      </c>
      <c r="CR37" s="229">
        <v>0.32340000000000002</v>
      </c>
      <c r="CS37" s="228">
        <v>124</v>
      </c>
      <c r="CT37" s="228">
        <v>94</v>
      </c>
      <c r="CU37" s="228">
        <v>29</v>
      </c>
      <c r="CV37" s="229">
        <v>0.30830000000000002</v>
      </c>
      <c r="CW37" s="230">
        <v>1170</v>
      </c>
      <c r="CX37" s="230">
        <v>1102</v>
      </c>
      <c r="CY37" s="228">
        <v>68</v>
      </c>
      <c r="CZ37" s="229">
        <v>6.1499999999999999E-2</v>
      </c>
      <c r="DA37" s="228">
        <v>35.15</v>
      </c>
      <c r="DB37" s="228">
        <v>33.950000000000003</v>
      </c>
      <c r="DC37" s="228">
        <v>1.2</v>
      </c>
      <c r="DD37" s="228">
        <v>1.2</v>
      </c>
      <c r="DE37" s="228">
        <v>34.590000000000003</v>
      </c>
      <c r="DF37" s="228">
        <v>34.659999999999997</v>
      </c>
      <c r="DG37" s="228">
        <v>0.56000000000000005</v>
      </c>
      <c r="DH37" s="228">
        <v>-7.0000000000000007E-2</v>
      </c>
      <c r="DI37" s="228">
        <v>35.54</v>
      </c>
      <c r="DJ37" s="228">
        <v>34.44</v>
      </c>
      <c r="DK37" s="228">
        <v>1.1000000000000001</v>
      </c>
      <c r="DL37" s="228">
        <v>1.1000000000000001</v>
      </c>
      <c r="DM37" s="228">
        <v>34.590000000000003</v>
      </c>
      <c r="DN37" s="228">
        <v>33.54</v>
      </c>
      <c r="DO37" s="228">
        <v>1.05</v>
      </c>
      <c r="DP37" s="228">
        <v>1.05</v>
      </c>
      <c r="DQ37" s="228">
        <v>0.79</v>
      </c>
      <c r="DR37" s="228">
        <v>0.8</v>
      </c>
      <c r="DS37" s="228">
        <v>-0.01</v>
      </c>
      <c r="DT37" s="229">
        <v>-1.2500000000000001E-2</v>
      </c>
      <c r="DU37" s="231">
        <v>40000</v>
      </c>
      <c r="DV37" s="231">
        <v>35750</v>
      </c>
      <c r="DW37" s="228">
        <v>0.7</v>
      </c>
      <c r="DX37" s="228">
        <v>1.1599999999999999</v>
      </c>
      <c r="DY37" s="228">
        <v>-0.46</v>
      </c>
      <c r="DZ37" s="229">
        <v>-0.39660000000000001</v>
      </c>
      <c r="EA37" s="229">
        <v>1.11E-2</v>
      </c>
      <c r="EB37" s="230">
        <v>2125</v>
      </c>
      <c r="EC37" s="229">
        <v>6.1000000000000004E-3</v>
      </c>
      <c r="ED37" s="229">
        <v>1.11E-2</v>
      </c>
      <c r="EE37" s="228">
        <v>123.11</v>
      </c>
      <c r="EF37" s="229">
        <v>3.3999999999999998E-3</v>
      </c>
      <c r="EG37" s="230">
        <v>7084</v>
      </c>
      <c r="EH37" s="230">
        <v>15453</v>
      </c>
      <c r="EI37" s="229">
        <v>-0.54159999999999997</v>
      </c>
      <c r="EJ37" s="229">
        <v>0.30640000000000001</v>
      </c>
      <c r="EK37" s="228">
        <v>131.74</v>
      </c>
      <c r="EL37" s="228">
        <v>86.96</v>
      </c>
      <c r="EM37" s="228">
        <v>121.96</v>
      </c>
      <c r="EN37" s="228">
        <v>33.32</v>
      </c>
      <c r="EO37" s="228">
        <v>340.66</v>
      </c>
      <c r="EP37" s="228">
        <v>347.36</v>
      </c>
      <c r="EQ37" s="228">
        <v>-6.7</v>
      </c>
      <c r="ER37" s="229">
        <v>-1.9300000000000001E-2</v>
      </c>
      <c r="ES37" s="228">
        <v>167.29</v>
      </c>
      <c r="ET37" s="228">
        <v>121.92</v>
      </c>
      <c r="EU37" s="228">
        <v>890.83</v>
      </c>
      <c r="EV37" s="231">
        <v>868841</v>
      </c>
      <c r="EW37" s="231">
        <v>1180.04</v>
      </c>
      <c r="EX37" s="231">
        <v>1118.82</v>
      </c>
      <c r="EY37" s="228">
        <v>61.22</v>
      </c>
      <c r="EZ37" s="229">
        <v>5.4699999999999999E-2</v>
      </c>
      <c r="FA37" s="229">
        <v>0.37480000000000002</v>
      </c>
      <c r="FB37" s="227" t="s">
        <v>566</v>
      </c>
      <c r="FC37">
        <f t="shared" si="0"/>
        <v>10</v>
      </c>
    </row>
    <row r="38" spans="1:159" ht="17.25" thickBot="1" x14ac:dyDescent="0.3">
      <c r="A38" s="226">
        <v>46146</v>
      </c>
      <c r="B38" s="227" t="s">
        <v>193</v>
      </c>
      <c r="C38" s="227" t="s">
        <v>194</v>
      </c>
      <c r="D38" s="228">
        <v>1975</v>
      </c>
      <c r="E38" s="228">
        <v>22</v>
      </c>
      <c r="F38" s="228">
        <v>303.55</v>
      </c>
      <c r="G38" s="228">
        <v>302.3</v>
      </c>
      <c r="H38" s="228">
        <v>1.25</v>
      </c>
      <c r="I38" s="229">
        <v>4.1000000000000003E-3</v>
      </c>
      <c r="J38" s="228">
        <v>301.7</v>
      </c>
      <c r="K38" s="228">
        <v>300.45</v>
      </c>
      <c r="L38" s="228">
        <v>1.25</v>
      </c>
      <c r="M38" s="229">
        <v>4.1999999999999997E-3</v>
      </c>
      <c r="N38" s="228">
        <v>303.55</v>
      </c>
      <c r="O38" s="228">
        <v>302.3</v>
      </c>
      <c r="P38" s="228">
        <v>1.25</v>
      </c>
      <c r="Q38" s="229">
        <v>4.1000000000000003E-3</v>
      </c>
      <c r="R38" s="228">
        <v>305.3</v>
      </c>
      <c r="S38" s="228">
        <v>304.2</v>
      </c>
      <c r="T38" s="228">
        <v>1.1000000000000001</v>
      </c>
      <c r="U38" s="229">
        <v>3.5999999999999999E-3</v>
      </c>
      <c r="V38" s="228">
        <v>306.2</v>
      </c>
      <c r="W38" s="228">
        <v>304.75</v>
      </c>
      <c r="X38" s="228">
        <v>1.45</v>
      </c>
      <c r="Y38" s="229">
        <v>4.7999999999999996E-3</v>
      </c>
      <c r="Z38" s="228">
        <v>1.85</v>
      </c>
      <c r="AA38" s="228">
        <v>1.85</v>
      </c>
      <c r="AB38" s="228">
        <v>0</v>
      </c>
      <c r="AC38" s="229">
        <v>6.1000000000000004E-3</v>
      </c>
      <c r="AD38" s="228">
        <v>1.85</v>
      </c>
      <c r="AE38" s="228">
        <v>1.85</v>
      </c>
      <c r="AF38" s="228">
        <v>0</v>
      </c>
      <c r="AG38" s="229">
        <v>6.1000000000000004E-3</v>
      </c>
      <c r="AH38" s="228">
        <v>3.6</v>
      </c>
      <c r="AI38" s="228">
        <v>3.75</v>
      </c>
      <c r="AJ38" s="228">
        <v>-0.15</v>
      </c>
      <c r="AK38" s="229">
        <v>1.1900000000000001E-2</v>
      </c>
      <c r="AL38" s="228">
        <v>4.5</v>
      </c>
      <c r="AM38" s="228">
        <v>4.3</v>
      </c>
      <c r="AN38" s="228">
        <v>0.2</v>
      </c>
      <c r="AO38" s="229">
        <v>1.49E-2</v>
      </c>
      <c r="AP38" s="228">
        <v>304.58999999999997</v>
      </c>
      <c r="AQ38" s="228">
        <v>306.76</v>
      </c>
      <c r="AR38" s="228">
        <v>0</v>
      </c>
      <c r="AS38" s="228">
        <v>148</v>
      </c>
      <c r="AT38" s="228">
        <v>300</v>
      </c>
      <c r="AU38" s="228">
        <v>-152</v>
      </c>
      <c r="AV38" s="229">
        <v>-0.50670000000000004</v>
      </c>
      <c r="AW38" s="228">
        <v>143</v>
      </c>
      <c r="AX38" s="228">
        <v>285</v>
      </c>
      <c r="AY38" s="228">
        <v>-142</v>
      </c>
      <c r="AZ38" s="229">
        <v>-0.49959999999999999</v>
      </c>
      <c r="BA38" s="228">
        <v>5</v>
      </c>
      <c r="BB38" s="228">
        <v>14</v>
      </c>
      <c r="BC38" s="228">
        <v>-10</v>
      </c>
      <c r="BD38" s="229">
        <v>-0.65980000000000005</v>
      </c>
      <c r="BE38" s="228">
        <v>1</v>
      </c>
      <c r="BF38" s="228">
        <v>1</v>
      </c>
      <c r="BG38" s="228">
        <v>0</v>
      </c>
      <c r="BH38" s="229">
        <v>-0.28570000000000001</v>
      </c>
      <c r="BI38" s="228">
        <v>399</v>
      </c>
      <c r="BJ38" s="228">
        <v>458</v>
      </c>
      <c r="BK38" s="228">
        <v>-59</v>
      </c>
      <c r="BL38" s="229">
        <v>-0.12839999999999999</v>
      </c>
      <c r="BM38" s="228">
        <v>299</v>
      </c>
      <c r="BN38" s="228">
        <v>311</v>
      </c>
      <c r="BO38" s="228">
        <v>-12</v>
      </c>
      <c r="BP38" s="229">
        <v>-3.9300000000000002E-2</v>
      </c>
      <c r="BQ38" s="228">
        <v>846</v>
      </c>
      <c r="BR38" s="230">
        <v>1070</v>
      </c>
      <c r="BS38" s="228">
        <v>-223</v>
      </c>
      <c r="BT38" s="229">
        <v>-0.2087</v>
      </c>
      <c r="BU38" s="230">
        <v>9487235</v>
      </c>
      <c r="BV38" s="230">
        <v>13927772</v>
      </c>
      <c r="BW38" s="230">
        <v>-4440537</v>
      </c>
      <c r="BX38" s="229">
        <v>-0.31879999999999997</v>
      </c>
      <c r="BY38" s="230">
        <v>1657</v>
      </c>
      <c r="BZ38" s="230">
        <v>1628</v>
      </c>
      <c r="CA38" s="228">
        <v>29</v>
      </c>
      <c r="CB38" s="229">
        <v>1.78E-2</v>
      </c>
      <c r="CC38" s="230">
        <v>1507</v>
      </c>
      <c r="CD38" s="230">
        <v>1480</v>
      </c>
      <c r="CE38" s="228">
        <v>28</v>
      </c>
      <c r="CF38" s="229">
        <v>1.8700000000000001E-2</v>
      </c>
      <c r="CG38" s="228">
        <v>148</v>
      </c>
      <c r="CH38" s="228">
        <v>147</v>
      </c>
      <c r="CI38" s="228">
        <v>1</v>
      </c>
      <c r="CJ38" s="229">
        <v>7.7000000000000002E-3</v>
      </c>
      <c r="CK38" s="228">
        <v>1</v>
      </c>
      <c r="CL38" s="228">
        <v>1</v>
      </c>
      <c r="CM38" s="228">
        <v>0</v>
      </c>
      <c r="CN38" s="229">
        <v>0.2</v>
      </c>
      <c r="CO38" s="228">
        <v>570</v>
      </c>
      <c r="CP38" s="228">
        <v>506</v>
      </c>
      <c r="CQ38" s="228">
        <v>64</v>
      </c>
      <c r="CR38" s="229">
        <v>0.12720000000000001</v>
      </c>
      <c r="CS38" s="228">
        <v>364</v>
      </c>
      <c r="CT38" s="228">
        <v>298</v>
      </c>
      <c r="CU38" s="228">
        <v>66</v>
      </c>
      <c r="CV38" s="229">
        <v>0.21970000000000001</v>
      </c>
      <c r="CW38" s="230">
        <v>2592</v>
      </c>
      <c r="CX38" s="230">
        <v>2433</v>
      </c>
      <c r="CY38" s="228">
        <v>159</v>
      </c>
      <c r="CZ38" s="229">
        <v>6.54E-2</v>
      </c>
      <c r="DA38" s="228">
        <v>43.52</v>
      </c>
      <c r="DB38" s="228">
        <v>44.93</v>
      </c>
      <c r="DC38" s="228">
        <v>-1.41</v>
      </c>
      <c r="DD38" s="228">
        <v>-1.41</v>
      </c>
      <c r="DE38" s="228">
        <v>36.729999999999997</v>
      </c>
      <c r="DF38" s="228">
        <v>36.82</v>
      </c>
      <c r="DG38" s="228">
        <v>6.79</v>
      </c>
      <c r="DH38" s="228">
        <v>-0.09</v>
      </c>
      <c r="DI38" s="228">
        <v>43.7</v>
      </c>
      <c r="DJ38" s="228">
        <v>44.96</v>
      </c>
      <c r="DK38" s="228">
        <v>-1.26</v>
      </c>
      <c r="DL38" s="228">
        <v>-1.26</v>
      </c>
      <c r="DM38" s="228">
        <v>43.28</v>
      </c>
      <c r="DN38" s="228">
        <v>44.89</v>
      </c>
      <c r="DO38" s="228">
        <v>-1.61</v>
      </c>
      <c r="DP38" s="228">
        <v>-1.61</v>
      </c>
      <c r="DQ38" s="228">
        <v>0.64</v>
      </c>
      <c r="DR38" s="228">
        <v>0.59</v>
      </c>
      <c r="DS38" s="228">
        <v>0.05</v>
      </c>
      <c r="DT38" s="229">
        <v>8.4699999999999998E-2</v>
      </c>
      <c r="DU38" s="228">
        <v>350</v>
      </c>
      <c r="DV38" s="228">
        <v>300</v>
      </c>
      <c r="DW38" s="228">
        <v>0.75</v>
      </c>
      <c r="DX38" s="228">
        <v>0.68</v>
      </c>
      <c r="DY38" s="228">
        <v>7.0000000000000007E-2</v>
      </c>
      <c r="DZ38" s="229">
        <v>0.10290000000000001</v>
      </c>
      <c r="EA38" s="229">
        <v>9.0399999999999994E-2</v>
      </c>
      <c r="EB38" s="230">
        <v>4892075</v>
      </c>
      <c r="EC38" s="229">
        <v>5.7999999999999996E-3</v>
      </c>
      <c r="ED38" s="229">
        <v>9.0399999999999994E-2</v>
      </c>
      <c r="EE38" s="228">
        <v>2.17</v>
      </c>
      <c r="EF38" s="229">
        <v>7.1000000000000004E-3</v>
      </c>
      <c r="EG38" s="230">
        <v>5347931</v>
      </c>
      <c r="EH38" s="230">
        <v>7777229</v>
      </c>
      <c r="EI38" s="229">
        <v>-0.31240000000000001</v>
      </c>
      <c r="EJ38" s="229">
        <v>0.56369999999999998</v>
      </c>
      <c r="EK38" s="228">
        <v>431.59</v>
      </c>
      <c r="EL38" s="228">
        <v>296.45</v>
      </c>
      <c r="EM38" s="228">
        <v>148.68</v>
      </c>
      <c r="EN38" s="228">
        <v>87.98</v>
      </c>
      <c r="EO38" s="228">
        <v>876.73</v>
      </c>
      <c r="EP38" s="231">
        <v>1100.57</v>
      </c>
      <c r="EQ38" s="228">
        <v>-223.84</v>
      </c>
      <c r="ER38" s="229">
        <v>-0.2034</v>
      </c>
      <c r="ES38" s="228">
        <v>617.53</v>
      </c>
      <c r="ET38" s="228">
        <v>352.15</v>
      </c>
      <c r="EU38" s="231">
        <v>1657.98</v>
      </c>
      <c r="EV38" s="231">
        <v>306020745</v>
      </c>
      <c r="EW38" s="231">
        <v>2627.65</v>
      </c>
      <c r="EX38" s="231">
        <v>2462.65</v>
      </c>
      <c r="EY38" s="228">
        <v>165</v>
      </c>
      <c r="EZ38" s="229">
        <v>6.7000000000000004E-2</v>
      </c>
      <c r="FA38" s="229">
        <v>0.27900000000000003</v>
      </c>
      <c r="FB38" s="227" t="s">
        <v>555</v>
      </c>
      <c r="FC38">
        <f t="shared" si="0"/>
        <v>150</v>
      </c>
    </row>
    <row r="39" spans="1:159" ht="17.25" thickBot="1" x14ac:dyDescent="0.3">
      <c r="A39" s="226">
        <v>46146</v>
      </c>
      <c r="B39" s="227" t="s">
        <v>168</v>
      </c>
      <c r="C39" s="227" t="s">
        <v>195</v>
      </c>
      <c r="D39" s="228">
        <v>125</v>
      </c>
      <c r="E39" s="228">
        <v>22</v>
      </c>
      <c r="F39" s="231">
        <v>5807</v>
      </c>
      <c r="G39" s="231">
        <v>5746.5</v>
      </c>
      <c r="H39" s="228">
        <v>60.5</v>
      </c>
      <c r="I39" s="229">
        <v>1.0500000000000001E-2</v>
      </c>
      <c r="J39" s="231">
        <v>5792.5</v>
      </c>
      <c r="K39" s="231">
        <v>5726</v>
      </c>
      <c r="L39" s="228">
        <v>66.5</v>
      </c>
      <c r="M39" s="229">
        <v>1.1599999999999999E-2</v>
      </c>
      <c r="N39" s="231">
        <v>5807</v>
      </c>
      <c r="O39" s="231">
        <v>5746.5</v>
      </c>
      <c r="P39" s="228">
        <v>60.5</v>
      </c>
      <c r="Q39" s="229">
        <v>1.0500000000000001E-2</v>
      </c>
      <c r="R39" s="231">
        <v>5842.5</v>
      </c>
      <c r="S39" s="231">
        <v>5787.5</v>
      </c>
      <c r="T39" s="228">
        <v>55</v>
      </c>
      <c r="U39" s="229">
        <v>9.4999999999999998E-3</v>
      </c>
      <c r="V39" s="231">
        <v>5819.5</v>
      </c>
      <c r="W39" s="231">
        <v>5819.5</v>
      </c>
      <c r="X39" s="228">
        <v>0</v>
      </c>
      <c r="Y39" s="229">
        <v>0</v>
      </c>
      <c r="Z39" s="228">
        <v>14.5</v>
      </c>
      <c r="AA39" s="228">
        <v>20.5</v>
      </c>
      <c r="AB39" s="228">
        <v>-6</v>
      </c>
      <c r="AC39" s="229">
        <v>2.5000000000000001E-3</v>
      </c>
      <c r="AD39" s="228">
        <v>14.5</v>
      </c>
      <c r="AE39" s="228">
        <v>20.5</v>
      </c>
      <c r="AF39" s="228">
        <v>-6</v>
      </c>
      <c r="AG39" s="229">
        <v>2.5000000000000001E-3</v>
      </c>
      <c r="AH39" s="228">
        <v>50</v>
      </c>
      <c r="AI39" s="228">
        <v>61.5</v>
      </c>
      <c r="AJ39" s="228">
        <v>-11.5</v>
      </c>
      <c r="AK39" s="229">
        <v>8.6E-3</v>
      </c>
      <c r="AL39" s="228">
        <v>27</v>
      </c>
      <c r="AM39" s="228">
        <v>93.5</v>
      </c>
      <c r="AN39" s="228">
        <v>-66.5</v>
      </c>
      <c r="AO39" s="229">
        <v>4.7000000000000002E-3</v>
      </c>
      <c r="AP39" s="231">
        <v>5799.87</v>
      </c>
      <c r="AQ39" s="231">
        <v>5827.64</v>
      </c>
      <c r="AR39" s="228">
        <v>0</v>
      </c>
      <c r="AS39" s="228">
        <v>267</v>
      </c>
      <c r="AT39" s="228">
        <v>227</v>
      </c>
      <c r="AU39" s="228">
        <v>39</v>
      </c>
      <c r="AV39" s="229">
        <v>0.17199999999999999</v>
      </c>
      <c r="AW39" s="228">
        <v>264</v>
      </c>
      <c r="AX39" s="228">
        <v>225</v>
      </c>
      <c r="AY39" s="228">
        <v>39</v>
      </c>
      <c r="AZ39" s="229">
        <v>0.17499999999999999</v>
      </c>
      <c r="BA39" s="228">
        <v>2</v>
      </c>
      <c r="BB39" s="228">
        <v>3</v>
      </c>
      <c r="BC39" s="228">
        <v>0</v>
      </c>
      <c r="BD39" s="229">
        <v>-5.7099999999999998E-2</v>
      </c>
      <c r="BE39" s="228">
        <v>0</v>
      </c>
      <c r="BF39" s="228">
        <v>0</v>
      </c>
      <c r="BG39" s="228">
        <v>0</v>
      </c>
      <c r="BH39" s="229">
        <v>-1</v>
      </c>
      <c r="BI39" s="228">
        <v>651</v>
      </c>
      <c r="BJ39" s="228">
        <v>393</v>
      </c>
      <c r="BK39" s="228">
        <v>258</v>
      </c>
      <c r="BL39" s="229">
        <v>0.65649999999999997</v>
      </c>
      <c r="BM39" s="228">
        <v>259</v>
      </c>
      <c r="BN39" s="228">
        <v>209</v>
      </c>
      <c r="BO39" s="228">
        <v>51</v>
      </c>
      <c r="BP39" s="229">
        <v>0.2424</v>
      </c>
      <c r="BQ39" s="230">
        <v>1177</v>
      </c>
      <c r="BR39" s="228">
        <v>829</v>
      </c>
      <c r="BS39" s="228">
        <v>348</v>
      </c>
      <c r="BT39" s="229">
        <v>0.41930000000000001</v>
      </c>
      <c r="BU39" s="230">
        <v>332082</v>
      </c>
      <c r="BV39" s="230">
        <v>286505</v>
      </c>
      <c r="BW39" s="230">
        <v>45577</v>
      </c>
      <c r="BX39" s="229">
        <v>0.15909999999999999</v>
      </c>
      <c r="BY39" s="230">
        <v>1598</v>
      </c>
      <c r="BZ39" s="230">
        <v>1602</v>
      </c>
      <c r="CA39" s="228">
        <v>-3</v>
      </c>
      <c r="CB39" s="229">
        <v>-2.0999999999999999E-3</v>
      </c>
      <c r="CC39" s="230">
        <v>1403</v>
      </c>
      <c r="CD39" s="230">
        <v>1407</v>
      </c>
      <c r="CE39" s="228">
        <v>-3</v>
      </c>
      <c r="CF39" s="229">
        <v>-2.5000000000000001E-3</v>
      </c>
      <c r="CG39" s="228">
        <v>195</v>
      </c>
      <c r="CH39" s="228">
        <v>195</v>
      </c>
      <c r="CI39" s="228">
        <v>0</v>
      </c>
      <c r="CJ39" s="229">
        <v>4.0000000000000002E-4</v>
      </c>
      <c r="CK39" s="228">
        <v>0</v>
      </c>
      <c r="CL39" s="228">
        <v>0</v>
      </c>
      <c r="CM39" s="228">
        <v>0</v>
      </c>
      <c r="CN39" s="229">
        <v>0</v>
      </c>
      <c r="CO39" s="228">
        <v>376</v>
      </c>
      <c r="CP39" s="228">
        <v>312</v>
      </c>
      <c r="CQ39" s="228">
        <v>65</v>
      </c>
      <c r="CR39" s="229">
        <v>0.2072</v>
      </c>
      <c r="CS39" s="228">
        <v>274</v>
      </c>
      <c r="CT39" s="228">
        <v>238</v>
      </c>
      <c r="CU39" s="228">
        <v>36</v>
      </c>
      <c r="CV39" s="229">
        <v>0.15129999999999999</v>
      </c>
      <c r="CW39" s="230">
        <v>2249</v>
      </c>
      <c r="CX39" s="230">
        <v>2151</v>
      </c>
      <c r="CY39" s="228">
        <v>97</v>
      </c>
      <c r="CZ39" s="229">
        <v>4.5199999999999997E-2</v>
      </c>
      <c r="DA39" s="228">
        <v>27.93</v>
      </c>
      <c r="DB39" s="228">
        <v>26.62</v>
      </c>
      <c r="DC39" s="228">
        <v>1.31</v>
      </c>
      <c r="DD39" s="228">
        <v>1.31</v>
      </c>
      <c r="DE39" s="228">
        <v>24.71</v>
      </c>
      <c r="DF39" s="228">
        <v>24.72</v>
      </c>
      <c r="DG39" s="228">
        <v>3.22</v>
      </c>
      <c r="DH39" s="228">
        <v>-0.01</v>
      </c>
      <c r="DI39" s="228">
        <v>27.69</v>
      </c>
      <c r="DJ39" s="228">
        <v>26.76</v>
      </c>
      <c r="DK39" s="228">
        <v>0.93</v>
      </c>
      <c r="DL39" s="228">
        <v>0.93</v>
      </c>
      <c r="DM39" s="228">
        <v>28.55</v>
      </c>
      <c r="DN39" s="228">
        <v>26.34</v>
      </c>
      <c r="DO39" s="228">
        <v>2.21</v>
      </c>
      <c r="DP39" s="228">
        <v>2.21</v>
      </c>
      <c r="DQ39" s="228">
        <v>0.73</v>
      </c>
      <c r="DR39" s="228">
        <v>0.76</v>
      </c>
      <c r="DS39" s="228">
        <v>-0.03</v>
      </c>
      <c r="DT39" s="229">
        <v>-3.95E-2</v>
      </c>
      <c r="DU39" s="231">
        <v>6000</v>
      </c>
      <c r="DV39" s="231">
        <v>5200</v>
      </c>
      <c r="DW39" s="228">
        <v>0.4</v>
      </c>
      <c r="DX39" s="228">
        <v>0.53</v>
      </c>
      <c r="DY39" s="228">
        <v>-0.13</v>
      </c>
      <c r="DZ39" s="229">
        <v>-0.24529999999999999</v>
      </c>
      <c r="EA39" s="229">
        <v>0.12189999999999999</v>
      </c>
      <c r="EB39" s="230">
        <v>335375</v>
      </c>
      <c r="EC39" s="229">
        <v>6.1000000000000004E-3</v>
      </c>
      <c r="ED39" s="229">
        <v>0.12189999999999999</v>
      </c>
      <c r="EE39" s="228">
        <v>27.77</v>
      </c>
      <c r="EF39" s="229">
        <v>4.7999999999999996E-3</v>
      </c>
      <c r="EG39" s="230">
        <v>180065</v>
      </c>
      <c r="EH39" s="230">
        <v>150398</v>
      </c>
      <c r="EI39" s="229">
        <v>0.1973</v>
      </c>
      <c r="EJ39" s="229">
        <v>0.54220000000000002</v>
      </c>
      <c r="EK39" s="228">
        <v>684.97</v>
      </c>
      <c r="EL39" s="228">
        <v>253.83</v>
      </c>
      <c r="EM39" s="228">
        <v>266.3</v>
      </c>
      <c r="EN39" s="228">
        <v>62.6</v>
      </c>
      <c r="EO39" s="231">
        <v>1205.0999999999999</v>
      </c>
      <c r="EP39" s="228">
        <v>833.83</v>
      </c>
      <c r="EQ39" s="228">
        <v>371.27</v>
      </c>
      <c r="ER39" s="229">
        <v>0.44529999999999997</v>
      </c>
      <c r="ES39" s="228">
        <v>389.81</v>
      </c>
      <c r="ET39" s="228">
        <v>259.58999999999997</v>
      </c>
      <c r="EU39" s="231">
        <v>1599.49</v>
      </c>
      <c r="EV39" s="231">
        <v>14553559</v>
      </c>
      <c r="EW39" s="231">
        <v>2248.89</v>
      </c>
      <c r="EX39" s="231">
        <v>2132.79</v>
      </c>
      <c r="EY39" s="228">
        <v>116.1</v>
      </c>
      <c r="EZ39" s="229">
        <v>5.4399999999999997E-2</v>
      </c>
      <c r="FA39" s="229">
        <v>0.2661</v>
      </c>
      <c r="FB39" s="227" t="s">
        <v>691</v>
      </c>
      <c r="FC39">
        <f t="shared" si="0"/>
        <v>195</v>
      </c>
    </row>
    <row r="40" spans="1:159" ht="17.25" thickBot="1" x14ac:dyDescent="0.3">
      <c r="A40" s="226">
        <v>46146</v>
      </c>
      <c r="B40" s="227" t="s">
        <v>175</v>
      </c>
      <c r="C40" s="227" t="s">
        <v>583</v>
      </c>
      <c r="D40" s="228">
        <v>375</v>
      </c>
      <c r="E40" s="228">
        <v>22</v>
      </c>
      <c r="F40" s="231">
        <v>3712.8</v>
      </c>
      <c r="G40" s="231">
        <v>3657.7</v>
      </c>
      <c r="H40" s="228">
        <v>55.1</v>
      </c>
      <c r="I40" s="229">
        <v>1.5100000000000001E-2</v>
      </c>
      <c r="J40" s="231">
        <v>3711.3</v>
      </c>
      <c r="K40" s="231">
        <v>3640.5</v>
      </c>
      <c r="L40" s="228">
        <v>70.8</v>
      </c>
      <c r="M40" s="229">
        <v>1.9400000000000001E-2</v>
      </c>
      <c r="N40" s="231">
        <v>3712.8</v>
      </c>
      <c r="O40" s="231">
        <v>3657.7</v>
      </c>
      <c r="P40" s="228">
        <v>55.1</v>
      </c>
      <c r="Q40" s="229">
        <v>1.5100000000000001E-2</v>
      </c>
      <c r="R40" s="231">
        <v>3726.7</v>
      </c>
      <c r="S40" s="231">
        <v>3672.5</v>
      </c>
      <c r="T40" s="228">
        <v>54.2</v>
      </c>
      <c r="U40" s="229">
        <v>1.4800000000000001E-2</v>
      </c>
      <c r="V40" s="231">
        <v>3753.5</v>
      </c>
      <c r="W40" s="231">
        <v>3694.2</v>
      </c>
      <c r="X40" s="228">
        <v>59.3</v>
      </c>
      <c r="Y40" s="229">
        <v>1.61E-2</v>
      </c>
      <c r="Z40" s="228">
        <v>1.5</v>
      </c>
      <c r="AA40" s="228">
        <v>17.2</v>
      </c>
      <c r="AB40" s="228">
        <v>-15.7</v>
      </c>
      <c r="AC40" s="229">
        <v>4.0000000000000002E-4</v>
      </c>
      <c r="AD40" s="228">
        <v>1.5</v>
      </c>
      <c r="AE40" s="228">
        <v>17.2</v>
      </c>
      <c r="AF40" s="228">
        <v>-15.7</v>
      </c>
      <c r="AG40" s="229">
        <v>4.0000000000000002E-4</v>
      </c>
      <c r="AH40" s="228">
        <v>15.4</v>
      </c>
      <c r="AI40" s="228">
        <v>32</v>
      </c>
      <c r="AJ40" s="228">
        <v>-16.600000000000001</v>
      </c>
      <c r="AK40" s="229">
        <v>4.1000000000000003E-3</v>
      </c>
      <c r="AL40" s="228">
        <v>42.2</v>
      </c>
      <c r="AM40" s="228">
        <v>53.7</v>
      </c>
      <c r="AN40" s="228">
        <v>-11.5</v>
      </c>
      <c r="AO40" s="229">
        <v>1.14E-2</v>
      </c>
      <c r="AP40" s="231">
        <v>3719.86</v>
      </c>
      <c r="AQ40" s="231">
        <v>3738.98</v>
      </c>
      <c r="AR40" s="228">
        <v>0</v>
      </c>
      <c r="AS40" s="230">
        <v>1000</v>
      </c>
      <c r="AT40" s="228">
        <v>814</v>
      </c>
      <c r="AU40" s="228">
        <v>187</v>
      </c>
      <c r="AV40" s="229">
        <v>0.2293</v>
      </c>
      <c r="AW40" s="228">
        <v>919</v>
      </c>
      <c r="AX40" s="228">
        <v>764</v>
      </c>
      <c r="AY40" s="228">
        <v>156</v>
      </c>
      <c r="AZ40" s="229">
        <v>0.20369999999999999</v>
      </c>
      <c r="BA40" s="228">
        <v>67</v>
      </c>
      <c r="BB40" s="228">
        <v>41</v>
      </c>
      <c r="BC40" s="228">
        <v>25</v>
      </c>
      <c r="BD40" s="229">
        <v>0.60399999999999998</v>
      </c>
      <c r="BE40" s="228">
        <v>15</v>
      </c>
      <c r="BF40" s="228">
        <v>9</v>
      </c>
      <c r="BG40" s="228">
        <v>6</v>
      </c>
      <c r="BH40" s="229">
        <v>0.6825</v>
      </c>
      <c r="BI40" s="230">
        <v>4346</v>
      </c>
      <c r="BJ40" s="230">
        <v>2254</v>
      </c>
      <c r="BK40" s="230">
        <v>2092</v>
      </c>
      <c r="BL40" s="229">
        <v>0.92830000000000001</v>
      </c>
      <c r="BM40" s="230">
        <v>2713</v>
      </c>
      <c r="BN40" s="230">
        <v>2206</v>
      </c>
      <c r="BO40" s="228">
        <v>507</v>
      </c>
      <c r="BP40" s="229">
        <v>0.23</v>
      </c>
      <c r="BQ40" s="230">
        <v>8059</v>
      </c>
      <c r="BR40" s="230">
        <v>5273</v>
      </c>
      <c r="BS40" s="230">
        <v>2786</v>
      </c>
      <c r="BT40" s="229">
        <v>0.52829999999999999</v>
      </c>
      <c r="BU40" s="230">
        <v>3764178</v>
      </c>
      <c r="BV40" s="230">
        <v>2381291</v>
      </c>
      <c r="BW40" s="230">
        <v>1382887</v>
      </c>
      <c r="BX40" s="229">
        <v>0.58069999999999999</v>
      </c>
      <c r="BY40" s="230">
        <v>2801</v>
      </c>
      <c r="BZ40" s="230">
        <v>2794</v>
      </c>
      <c r="CA40" s="228">
        <v>7</v>
      </c>
      <c r="CB40" s="229">
        <v>2.7000000000000001E-3</v>
      </c>
      <c r="CC40" s="230">
        <v>2573</v>
      </c>
      <c r="CD40" s="230">
        <v>2578</v>
      </c>
      <c r="CE40" s="228">
        <v>-5</v>
      </c>
      <c r="CF40" s="229">
        <v>-1.8E-3</v>
      </c>
      <c r="CG40" s="228">
        <v>219</v>
      </c>
      <c r="CH40" s="228">
        <v>209</v>
      </c>
      <c r="CI40" s="228">
        <v>9</v>
      </c>
      <c r="CJ40" s="229">
        <v>4.3900000000000002E-2</v>
      </c>
      <c r="CK40" s="228">
        <v>10</v>
      </c>
      <c r="CL40" s="228">
        <v>7</v>
      </c>
      <c r="CM40" s="228">
        <v>3</v>
      </c>
      <c r="CN40" s="229">
        <v>0.43819999999999998</v>
      </c>
      <c r="CO40" s="230">
        <v>1799</v>
      </c>
      <c r="CP40" s="230">
        <v>1556</v>
      </c>
      <c r="CQ40" s="228">
        <v>243</v>
      </c>
      <c r="CR40" s="229">
        <v>0.15629999999999999</v>
      </c>
      <c r="CS40" s="230">
        <v>1492</v>
      </c>
      <c r="CT40" s="230">
        <v>1414</v>
      </c>
      <c r="CU40" s="228">
        <v>78</v>
      </c>
      <c r="CV40" s="229">
        <v>5.5300000000000002E-2</v>
      </c>
      <c r="CW40" s="230">
        <v>6092</v>
      </c>
      <c r="CX40" s="230">
        <v>5763</v>
      </c>
      <c r="CY40" s="228">
        <v>329</v>
      </c>
      <c r="CZ40" s="229">
        <v>5.7099999999999998E-2</v>
      </c>
      <c r="DA40" s="228">
        <v>43.69</v>
      </c>
      <c r="DB40" s="228">
        <v>41.89</v>
      </c>
      <c r="DC40" s="228">
        <v>1.8</v>
      </c>
      <c r="DD40" s="228">
        <v>1.8</v>
      </c>
      <c r="DE40" s="228">
        <v>58.11</v>
      </c>
      <c r="DF40" s="228">
        <v>58.2</v>
      </c>
      <c r="DG40" s="228">
        <v>-14.42</v>
      </c>
      <c r="DH40" s="228">
        <v>-0.09</v>
      </c>
      <c r="DI40" s="228">
        <v>42.84</v>
      </c>
      <c r="DJ40" s="228">
        <v>40.840000000000003</v>
      </c>
      <c r="DK40" s="228">
        <v>2</v>
      </c>
      <c r="DL40" s="228">
        <v>2</v>
      </c>
      <c r="DM40" s="228">
        <v>45.06</v>
      </c>
      <c r="DN40" s="228">
        <v>42.96</v>
      </c>
      <c r="DO40" s="228">
        <v>2.1</v>
      </c>
      <c r="DP40" s="228">
        <v>2.1</v>
      </c>
      <c r="DQ40" s="228">
        <v>0.83</v>
      </c>
      <c r="DR40" s="228">
        <v>0.91</v>
      </c>
      <c r="DS40" s="228">
        <v>-0.08</v>
      </c>
      <c r="DT40" s="229">
        <v>-8.7900000000000006E-2</v>
      </c>
      <c r="DU40" s="231">
        <v>3600</v>
      </c>
      <c r="DV40" s="231">
        <v>3200</v>
      </c>
      <c r="DW40" s="228">
        <v>0.62</v>
      </c>
      <c r="DX40" s="228">
        <v>0.98</v>
      </c>
      <c r="DY40" s="228">
        <v>-0.36</v>
      </c>
      <c r="DZ40" s="229">
        <v>-0.36730000000000002</v>
      </c>
      <c r="EA40" s="229">
        <v>8.14E-2</v>
      </c>
      <c r="EB40" s="230">
        <v>581800</v>
      </c>
      <c r="EC40" s="229">
        <v>3.7000000000000002E-3</v>
      </c>
      <c r="ED40" s="229">
        <v>8.14E-2</v>
      </c>
      <c r="EE40" s="228">
        <v>19.12</v>
      </c>
      <c r="EF40" s="229">
        <v>5.1000000000000004E-3</v>
      </c>
      <c r="EG40" s="230">
        <v>1316182</v>
      </c>
      <c r="EH40" s="230">
        <v>677449</v>
      </c>
      <c r="EI40" s="229">
        <v>0.94289999999999996</v>
      </c>
      <c r="EJ40" s="229">
        <v>0.34970000000000001</v>
      </c>
      <c r="EK40" s="231">
        <v>4592.2</v>
      </c>
      <c r="EL40" s="231">
        <v>2630.6</v>
      </c>
      <c r="EM40" s="228">
        <v>995.8</v>
      </c>
      <c r="EN40" s="228">
        <v>105.79</v>
      </c>
      <c r="EO40" s="231">
        <v>8218.6</v>
      </c>
      <c r="EP40" s="231">
        <v>5223.8599999999997</v>
      </c>
      <c r="EQ40" s="231">
        <v>2994.74</v>
      </c>
      <c r="ER40" s="229">
        <v>0.57330000000000003</v>
      </c>
      <c r="ES40" s="231">
        <v>1769.85</v>
      </c>
      <c r="ET40" s="231">
        <v>1331.93</v>
      </c>
      <c r="EU40" s="231">
        <v>2802.41</v>
      </c>
      <c r="EV40" s="231">
        <v>61182611</v>
      </c>
      <c r="EW40" s="231">
        <v>5904.18</v>
      </c>
      <c r="EX40" s="231">
        <v>5504.48</v>
      </c>
      <c r="EY40" s="228">
        <v>399.7</v>
      </c>
      <c r="EZ40" s="229">
        <v>7.2599999999999998E-2</v>
      </c>
      <c r="FA40" s="229">
        <v>0.26819999999999999</v>
      </c>
      <c r="FB40" s="227" t="s">
        <v>555</v>
      </c>
      <c r="FC40">
        <f t="shared" si="0"/>
        <v>228</v>
      </c>
    </row>
    <row r="41" spans="1:159" ht="17.25" thickBot="1" x14ac:dyDescent="0.3">
      <c r="A41" s="226">
        <v>46146</v>
      </c>
      <c r="B41" s="227" t="s">
        <v>175</v>
      </c>
      <c r="C41" s="227" t="s">
        <v>610</v>
      </c>
      <c r="D41" s="228">
        <v>750</v>
      </c>
      <c r="E41" s="228">
        <v>22</v>
      </c>
      <c r="F41" s="228">
        <v>724.9</v>
      </c>
      <c r="G41" s="228">
        <v>729</v>
      </c>
      <c r="H41" s="228">
        <v>-4.0999999999999996</v>
      </c>
      <c r="I41" s="229">
        <v>-5.5999999999999999E-3</v>
      </c>
      <c r="J41" s="228">
        <v>730.85</v>
      </c>
      <c r="K41" s="228">
        <v>738.6</v>
      </c>
      <c r="L41" s="228">
        <v>-7.75</v>
      </c>
      <c r="M41" s="229">
        <v>-1.0500000000000001E-2</v>
      </c>
      <c r="N41" s="228">
        <v>724.9</v>
      </c>
      <c r="O41" s="228">
        <v>729</v>
      </c>
      <c r="P41" s="228">
        <v>-4.0999999999999996</v>
      </c>
      <c r="Q41" s="229">
        <v>-5.5999999999999999E-3</v>
      </c>
      <c r="R41" s="228">
        <v>716.6</v>
      </c>
      <c r="S41" s="228">
        <v>721.7</v>
      </c>
      <c r="T41" s="228">
        <v>-5.0999999999999996</v>
      </c>
      <c r="U41" s="229">
        <v>-7.1000000000000004E-3</v>
      </c>
      <c r="V41" s="228">
        <v>707.95</v>
      </c>
      <c r="W41" s="228">
        <v>716.1</v>
      </c>
      <c r="X41" s="228">
        <v>-8.15</v>
      </c>
      <c r="Y41" s="229">
        <v>-1.14E-2</v>
      </c>
      <c r="Z41" s="228">
        <v>-5.95</v>
      </c>
      <c r="AA41" s="228">
        <v>-9.6</v>
      </c>
      <c r="AB41" s="228">
        <v>3.65</v>
      </c>
      <c r="AC41" s="229">
        <v>-8.0999999999999996E-3</v>
      </c>
      <c r="AD41" s="228">
        <v>-5.95</v>
      </c>
      <c r="AE41" s="228">
        <v>-9.6</v>
      </c>
      <c r="AF41" s="228">
        <v>3.65</v>
      </c>
      <c r="AG41" s="229">
        <v>-8.0999999999999996E-3</v>
      </c>
      <c r="AH41" s="228">
        <v>-14.25</v>
      </c>
      <c r="AI41" s="228">
        <v>-16.899999999999999</v>
      </c>
      <c r="AJ41" s="228">
        <v>2.65</v>
      </c>
      <c r="AK41" s="229">
        <v>-1.95E-2</v>
      </c>
      <c r="AL41" s="228">
        <v>-22.9</v>
      </c>
      <c r="AM41" s="228">
        <v>-22.5</v>
      </c>
      <c r="AN41" s="228">
        <v>-0.4</v>
      </c>
      <c r="AO41" s="229">
        <v>-3.1300000000000001E-2</v>
      </c>
      <c r="AP41" s="228">
        <v>724.77</v>
      </c>
      <c r="AQ41" s="228">
        <v>713.94</v>
      </c>
      <c r="AR41" s="228">
        <v>0</v>
      </c>
      <c r="AS41" s="228">
        <v>123</v>
      </c>
      <c r="AT41" s="228">
        <v>315</v>
      </c>
      <c r="AU41" s="228">
        <v>-192</v>
      </c>
      <c r="AV41" s="229">
        <v>-0.60880000000000001</v>
      </c>
      <c r="AW41" s="228">
        <v>118</v>
      </c>
      <c r="AX41" s="228">
        <v>282</v>
      </c>
      <c r="AY41" s="228">
        <v>-164</v>
      </c>
      <c r="AZ41" s="229">
        <v>-0.58240000000000003</v>
      </c>
      <c r="BA41" s="228">
        <v>5</v>
      </c>
      <c r="BB41" s="228">
        <v>31</v>
      </c>
      <c r="BC41" s="228">
        <v>-26</v>
      </c>
      <c r="BD41" s="229">
        <v>-0.83589999999999998</v>
      </c>
      <c r="BE41" s="228">
        <v>0</v>
      </c>
      <c r="BF41" s="228">
        <v>2</v>
      </c>
      <c r="BG41" s="228">
        <v>-1</v>
      </c>
      <c r="BH41" s="229">
        <v>-0.78129999999999999</v>
      </c>
      <c r="BI41" s="228">
        <v>375</v>
      </c>
      <c r="BJ41" s="228">
        <v>237</v>
      </c>
      <c r="BK41" s="228">
        <v>138</v>
      </c>
      <c r="BL41" s="229">
        <v>0.58409999999999995</v>
      </c>
      <c r="BM41" s="228">
        <v>291</v>
      </c>
      <c r="BN41" s="228">
        <v>312</v>
      </c>
      <c r="BO41" s="228">
        <v>-21</v>
      </c>
      <c r="BP41" s="229">
        <v>-6.7599999999999993E-2</v>
      </c>
      <c r="BQ41" s="228">
        <v>789</v>
      </c>
      <c r="BR41" s="228">
        <v>864</v>
      </c>
      <c r="BS41" s="228">
        <v>-75</v>
      </c>
      <c r="BT41" s="229">
        <v>-8.6499999999999994E-2</v>
      </c>
      <c r="BU41" s="230">
        <v>1208627</v>
      </c>
      <c r="BV41" s="230">
        <v>2850997</v>
      </c>
      <c r="BW41" s="230">
        <v>-1642370</v>
      </c>
      <c r="BX41" s="229">
        <v>-0.57609999999999995</v>
      </c>
      <c r="BY41" s="228">
        <v>544</v>
      </c>
      <c r="BZ41" s="228">
        <v>542</v>
      </c>
      <c r="CA41" s="228">
        <v>1</v>
      </c>
      <c r="CB41" s="229">
        <v>2.7000000000000001E-3</v>
      </c>
      <c r="CC41" s="228">
        <v>511</v>
      </c>
      <c r="CD41" s="228">
        <v>511</v>
      </c>
      <c r="CE41" s="228">
        <v>0</v>
      </c>
      <c r="CF41" s="229">
        <v>-1E-4</v>
      </c>
      <c r="CG41" s="228">
        <v>30</v>
      </c>
      <c r="CH41" s="228">
        <v>29</v>
      </c>
      <c r="CI41" s="228">
        <v>1</v>
      </c>
      <c r="CJ41" s="229">
        <v>3.95E-2</v>
      </c>
      <c r="CK41" s="228">
        <v>2</v>
      </c>
      <c r="CL41" s="228">
        <v>2</v>
      </c>
      <c r="CM41" s="228">
        <v>0</v>
      </c>
      <c r="CN41" s="229">
        <v>0.17649999999999999</v>
      </c>
      <c r="CO41" s="228">
        <v>199</v>
      </c>
      <c r="CP41" s="228">
        <v>116</v>
      </c>
      <c r="CQ41" s="228">
        <v>83</v>
      </c>
      <c r="CR41" s="229">
        <v>0.71719999999999995</v>
      </c>
      <c r="CS41" s="228">
        <v>168</v>
      </c>
      <c r="CT41" s="228">
        <v>98</v>
      </c>
      <c r="CU41" s="228">
        <v>71</v>
      </c>
      <c r="CV41" s="229">
        <v>0.7198</v>
      </c>
      <c r="CW41" s="228">
        <v>911</v>
      </c>
      <c r="CX41" s="228">
        <v>756</v>
      </c>
      <c r="CY41" s="228">
        <v>155</v>
      </c>
      <c r="CZ41" s="229">
        <v>0.20499999999999999</v>
      </c>
      <c r="DA41" s="228">
        <v>38.08</v>
      </c>
      <c r="DB41" s="228">
        <v>38.409999999999997</v>
      </c>
      <c r="DC41" s="228">
        <v>-0.33</v>
      </c>
      <c r="DD41" s="228">
        <v>-0.33</v>
      </c>
      <c r="DE41" s="228">
        <v>40.44</v>
      </c>
      <c r="DF41" s="228">
        <v>40.54</v>
      </c>
      <c r="DG41" s="228">
        <v>-2.36</v>
      </c>
      <c r="DH41" s="228">
        <v>-0.1</v>
      </c>
      <c r="DI41" s="228">
        <v>38.26</v>
      </c>
      <c r="DJ41" s="228">
        <v>37.799999999999997</v>
      </c>
      <c r="DK41" s="228">
        <v>0.46</v>
      </c>
      <c r="DL41" s="228">
        <v>0.46</v>
      </c>
      <c r="DM41" s="228">
        <v>37.85</v>
      </c>
      <c r="DN41" s="228">
        <v>38.86</v>
      </c>
      <c r="DO41" s="228">
        <v>-1.01</v>
      </c>
      <c r="DP41" s="228">
        <v>-1.01</v>
      </c>
      <c r="DQ41" s="228">
        <v>0.85</v>
      </c>
      <c r="DR41" s="228">
        <v>0.85</v>
      </c>
      <c r="DS41" s="228">
        <v>0</v>
      </c>
      <c r="DT41" s="229">
        <v>0</v>
      </c>
      <c r="DU41" s="228">
        <v>800</v>
      </c>
      <c r="DV41" s="228">
        <v>740</v>
      </c>
      <c r="DW41" s="228">
        <v>0.78</v>
      </c>
      <c r="DX41" s="228">
        <v>1.32</v>
      </c>
      <c r="DY41" s="228">
        <v>-0.54</v>
      </c>
      <c r="DZ41" s="229">
        <v>-0.40910000000000002</v>
      </c>
      <c r="EA41" s="229">
        <v>5.9700000000000003E-2</v>
      </c>
      <c r="EB41" s="230">
        <v>427050</v>
      </c>
      <c r="EC41" s="229">
        <v>-1.14E-2</v>
      </c>
      <c r="ED41" s="229">
        <v>5.9700000000000003E-2</v>
      </c>
      <c r="EE41" s="228">
        <v>-10.83</v>
      </c>
      <c r="EF41" s="229">
        <v>-1.49E-2</v>
      </c>
      <c r="EG41" s="230">
        <v>402864</v>
      </c>
      <c r="EH41" s="230">
        <v>1091144</v>
      </c>
      <c r="EI41" s="229">
        <v>-0.63080000000000003</v>
      </c>
      <c r="EJ41" s="229">
        <v>0.33329999999999999</v>
      </c>
      <c r="EK41" s="228">
        <v>402.31</v>
      </c>
      <c r="EL41" s="228">
        <v>291.22000000000003</v>
      </c>
      <c r="EM41" s="228">
        <v>123.19</v>
      </c>
      <c r="EN41" s="228">
        <v>52.02</v>
      </c>
      <c r="EO41" s="228">
        <v>816.72</v>
      </c>
      <c r="EP41" s="228">
        <v>883.7</v>
      </c>
      <c r="EQ41" s="228">
        <v>-66.98</v>
      </c>
      <c r="ER41" s="229">
        <v>-7.5800000000000006E-2</v>
      </c>
      <c r="ES41" s="228">
        <v>211.76</v>
      </c>
      <c r="ET41" s="228">
        <v>166.72</v>
      </c>
      <c r="EU41" s="228">
        <v>543.27</v>
      </c>
      <c r="EV41" s="231">
        <v>37147595</v>
      </c>
      <c r="EW41" s="228">
        <v>921.75</v>
      </c>
      <c r="EX41" s="228">
        <v>767.59</v>
      </c>
      <c r="EY41" s="228">
        <v>154.16</v>
      </c>
      <c r="EZ41" s="229">
        <v>0.20080000000000001</v>
      </c>
      <c r="FA41" s="229">
        <v>0.33829999999999999</v>
      </c>
      <c r="FB41" s="227" t="s">
        <v>566</v>
      </c>
      <c r="FC41">
        <f t="shared" si="0"/>
        <v>33</v>
      </c>
    </row>
    <row r="42" spans="1:159" ht="17.25" thickBot="1" x14ac:dyDescent="0.3">
      <c r="A42" s="226">
        <v>46146</v>
      </c>
      <c r="B42" s="227" t="s">
        <v>172</v>
      </c>
      <c r="C42" s="227" t="s">
        <v>196</v>
      </c>
      <c r="D42" s="228">
        <v>6750</v>
      </c>
      <c r="E42" s="228">
        <v>22</v>
      </c>
      <c r="F42" s="228">
        <v>135.22999999999999</v>
      </c>
      <c r="G42" s="228">
        <v>135.44999999999999</v>
      </c>
      <c r="H42" s="228">
        <v>-0.22</v>
      </c>
      <c r="I42" s="229">
        <v>-1.6000000000000001E-3</v>
      </c>
      <c r="J42" s="228">
        <v>134.80000000000001</v>
      </c>
      <c r="K42" s="228">
        <v>134.65</v>
      </c>
      <c r="L42" s="228">
        <v>0.15</v>
      </c>
      <c r="M42" s="229">
        <v>1.1000000000000001E-3</v>
      </c>
      <c r="N42" s="228">
        <v>135.22999999999999</v>
      </c>
      <c r="O42" s="228">
        <v>135.44999999999999</v>
      </c>
      <c r="P42" s="228">
        <v>-0.22</v>
      </c>
      <c r="Q42" s="229">
        <v>-1.6000000000000001E-3</v>
      </c>
      <c r="R42" s="228">
        <v>136.16</v>
      </c>
      <c r="S42" s="228">
        <v>136.26</v>
      </c>
      <c r="T42" s="228">
        <v>-0.1</v>
      </c>
      <c r="U42" s="229">
        <v>-6.9999999999999999E-4</v>
      </c>
      <c r="V42" s="228">
        <v>136.69</v>
      </c>
      <c r="W42" s="228">
        <v>136.93</v>
      </c>
      <c r="X42" s="228">
        <v>-0.24</v>
      </c>
      <c r="Y42" s="229">
        <v>-1.8E-3</v>
      </c>
      <c r="Z42" s="228">
        <v>0.43</v>
      </c>
      <c r="AA42" s="228">
        <v>0.8</v>
      </c>
      <c r="AB42" s="228">
        <v>-0.37</v>
      </c>
      <c r="AC42" s="229">
        <v>3.2000000000000002E-3</v>
      </c>
      <c r="AD42" s="228">
        <v>0.43</v>
      </c>
      <c r="AE42" s="228">
        <v>0.8</v>
      </c>
      <c r="AF42" s="228">
        <v>-0.37</v>
      </c>
      <c r="AG42" s="229">
        <v>3.2000000000000002E-3</v>
      </c>
      <c r="AH42" s="228">
        <v>1.36</v>
      </c>
      <c r="AI42" s="228">
        <v>1.61</v>
      </c>
      <c r="AJ42" s="228">
        <v>-0.25</v>
      </c>
      <c r="AK42" s="229">
        <v>1.01E-2</v>
      </c>
      <c r="AL42" s="228">
        <v>1.89</v>
      </c>
      <c r="AM42" s="228">
        <v>2.2799999999999998</v>
      </c>
      <c r="AN42" s="228">
        <v>-0.39</v>
      </c>
      <c r="AO42" s="229">
        <v>1.4E-2</v>
      </c>
      <c r="AP42" s="228">
        <v>136.66999999999999</v>
      </c>
      <c r="AQ42" s="228">
        <v>138.09</v>
      </c>
      <c r="AR42" s="228">
        <v>0</v>
      </c>
      <c r="AS42" s="228">
        <v>329</v>
      </c>
      <c r="AT42" s="228">
        <v>436</v>
      </c>
      <c r="AU42" s="228">
        <v>-107</v>
      </c>
      <c r="AV42" s="229">
        <v>-0.2462</v>
      </c>
      <c r="AW42" s="228">
        <v>299</v>
      </c>
      <c r="AX42" s="228">
        <v>399</v>
      </c>
      <c r="AY42" s="228">
        <v>-100</v>
      </c>
      <c r="AZ42" s="229">
        <v>-0.25009999999999999</v>
      </c>
      <c r="BA42" s="228">
        <v>26</v>
      </c>
      <c r="BB42" s="228">
        <v>31</v>
      </c>
      <c r="BC42" s="228">
        <v>-5</v>
      </c>
      <c r="BD42" s="229">
        <v>-0.1686</v>
      </c>
      <c r="BE42" s="228">
        <v>3</v>
      </c>
      <c r="BF42" s="228">
        <v>5</v>
      </c>
      <c r="BG42" s="228">
        <v>-2</v>
      </c>
      <c r="BH42" s="229">
        <v>-0.40679999999999999</v>
      </c>
      <c r="BI42" s="228">
        <v>772</v>
      </c>
      <c r="BJ42" s="228">
        <v>695</v>
      </c>
      <c r="BK42" s="228">
        <v>76</v>
      </c>
      <c r="BL42" s="229">
        <v>0.11</v>
      </c>
      <c r="BM42" s="228">
        <v>473</v>
      </c>
      <c r="BN42" s="228">
        <v>557</v>
      </c>
      <c r="BO42" s="228">
        <v>-84</v>
      </c>
      <c r="BP42" s="229">
        <v>-0.1507</v>
      </c>
      <c r="BQ42" s="230">
        <v>1574</v>
      </c>
      <c r="BR42" s="230">
        <v>1688</v>
      </c>
      <c r="BS42" s="228">
        <v>-115</v>
      </c>
      <c r="BT42" s="229">
        <v>-6.8000000000000005E-2</v>
      </c>
      <c r="BU42" s="230">
        <v>12032908</v>
      </c>
      <c r="BV42" s="230">
        <v>20640450</v>
      </c>
      <c r="BW42" s="230">
        <v>-8607542</v>
      </c>
      <c r="BX42" s="229">
        <v>-0.41699999999999998</v>
      </c>
      <c r="BY42" s="230">
        <v>2973</v>
      </c>
      <c r="BZ42" s="230">
        <v>2924</v>
      </c>
      <c r="CA42" s="228">
        <v>49</v>
      </c>
      <c r="CB42" s="229">
        <v>1.66E-2</v>
      </c>
      <c r="CC42" s="230">
        <v>2673</v>
      </c>
      <c r="CD42" s="230">
        <v>2638</v>
      </c>
      <c r="CE42" s="228">
        <v>35</v>
      </c>
      <c r="CF42" s="229">
        <v>1.34E-2</v>
      </c>
      <c r="CG42" s="228">
        <v>291</v>
      </c>
      <c r="CH42" s="228">
        <v>279</v>
      </c>
      <c r="CI42" s="228">
        <v>12</v>
      </c>
      <c r="CJ42" s="229">
        <v>4.2099999999999999E-2</v>
      </c>
      <c r="CK42" s="228">
        <v>8</v>
      </c>
      <c r="CL42" s="228">
        <v>7</v>
      </c>
      <c r="CM42" s="228">
        <v>1</v>
      </c>
      <c r="CN42" s="229">
        <v>0.22220000000000001</v>
      </c>
      <c r="CO42" s="228">
        <v>858</v>
      </c>
      <c r="CP42" s="228">
        <v>745</v>
      </c>
      <c r="CQ42" s="228">
        <v>113</v>
      </c>
      <c r="CR42" s="229">
        <v>0.1522</v>
      </c>
      <c r="CS42" s="228">
        <v>841</v>
      </c>
      <c r="CT42" s="228">
        <v>772</v>
      </c>
      <c r="CU42" s="228">
        <v>69</v>
      </c>
      <c r="CV42" s="229">
        <v>8.9899999999999994E-2</v>
      </c>
      <c r="CW42" s="230">
        <v>4672</v>
      </c>
      <c r="CX42" s="230">
        <v>4441</v>
      </c>
      <c r="CY42" s="228">
        <v>231</v>
      </c>
      <c r="CZ42" s="229">
        <v>5.21E-2</v>
      </c>
      <c r="DA42" s="228">
        <v>37.979999999999997</v>
      </c>
      <c r="DB42" s="228">
        <v>37.07</v>
      </c>
      <c r="DC42" s="228">
        <v>0.91</v>
      </c>
      <c r="DD42" s="228">
        <v>0.91</v>
      </c>
      <c r="DE42" s="228">
        <v>38.630000000000003</v>
      </c>
      <c r="DF42" s="228">
        <v>38.72</v>
      </c>
      <c r="DG42" s="228">
        <v>-0.65</v>
      </c>
      <c r="DH42" s="228">
        <v>-0.09</v>
      </c>
      <c r="DI42" s="228">
        <v>37.590000000000003</v>
      </c>
      <c r="DJ42" s="228">
        <v>36.93</v>
      </c>
      <c r="DK42" s="228">
        <v>0.66</v>
      </c>
      <c r="DL42" s="228">
        <v>0.66</v>
      </c>
      <c r="DM42" s="228">
        <v>38.630000000000003</v>
      </c>
      <c r="DN42" s="228">
        <v>37.24</v>
      </c>
      <c r="DO42" s="228">
        <v>1.39</v>
      </c>
      <c r="DP42" s="228">
        <v>1.39</v>
      </c>
      <c r="DQ42" s="228">
        <v>0.98</v>
      </c>
      <c r="DR42" s="228">
        <v>1.04</v>
      </c>
      <c r="DS42" s="228">
        <v>-0.06</v>
      </c>
      <c r="DT42" s="229">
        <v>-5.7700000000000001E-2</v>
      </c>
      <c r="DU42" s="228">
        <v>140</v>
      </c>
      <c r="DV42" s="228">
        <v>120</v>
      </c>
      <c r="DW42" s="228">
        <v>0.61</v>
      </c>
      <c r="DX42" s="228">
        <v>0.8</v>
      </c>
      <c r="DY42" s="228">
        <v>-0.19</v>
      </c>
      <c r="DZ42" s="229">
        <v>-0.23749999999999999</v>
      </c>
      <c r="EA42" s="229">
        <v>0.1007</v>
      </c>
      <c r="EB42" s="230">
        <v>21147750</v>
      </c>
      <c r="EC42" s="229">
        <v>6.8999999999999999E-3</v>
      </c>
      <c r="ED42" s="229">
        <v>0.1007</v>
      </c>
      <c r="EE42" s="228">
        <v>1.42</v>
      </c>
      <c r="EF42" s="229">
        <v>1.04E-2</v>
      </c>
      <c r="EG42" s="230">
        <v>4169382</v>
      </c>
      <c r="EH42" s="230">
        <v>8637901</v>
      </c>
      <c r="EI42" s="229">
        <v>-0.51729999999999998</v>
      </c>
      <c r="EJ42" s="229">
        <v>0.34649999999999997</v>
      </c>
      <c r="EK42" s="228">
        <v>830.21</v>
      </c>
      <c r="EL42" s="228">
        <v>470.97</v>
      </c>
      <c r="EM42" s="228">
        <v>332.51</v>
      </c>
      <c r="EN42" s="228">
        <v>95.54</v>
      </c>
      <c r="EO42" s="231">
        <v>1633.69</v>
      </c>
      <c r="EP42" s="231">
        <v>1743.4</v>
      </c>
      <c r="EQ42" s="228">
        <v>-109.71</v>
      </c>
      <c r="ER42" s="229">
        <v>-6.2899999999999998E-2</v>
      </c>
      <c r="ES42" s="228">
        <v>916.91</v>
      </c>
      <c r="ET42" s="228">
        <v>842.06</v>
      </c>
      <c r="EU42" s="231">
        <v>2974.63</v>
      </c>
      <c r="EV42" s="231">
        <v>504315430</v>
      </c>
      <c r="EW42" s="231">
        <v>4733.59</v>
      </c>
      <c r="EX42" s="231">
        <v>4504.45</v>
      </c>
      <c r="EY42" s="228">
        <v>229.14</v>
      </c>
      <c r="EZ42" s="229">
        <v>5.0900000000000001E-2</v>
      </c>
      <c r="FA42" s="229">
        <v>0.68510000000000004</v>
      </c>
      <c r="FB42" s="227" t="s">
        <v>566</v>
      </c>
      <c r="FC42">
        <f t="shared" si="0"/>
        <v>300</v>
      </c>
    </row>
    <row r="43" spans="1:159" ht="17.25" thickBot="1" x14ac:dyDescent="0.3">
      <c r="A43" s="226">
        <v>46146</v>
      </c>
      <c r="B43" s="227" t="s">
        <v>175</v>
      </c>
      <c r="C43" s="227" t="s">
        <v>596</v>
      </c>
      <c r="D43" s="228">
        <v>475</v>
      </c>
      <c r="E43" s="228">
        <v>22</v>
      </c>
      <c r="F43" s="231">
        <v>1241</v>
      </c>
      <c r="G43" s="231">
        <v>1270.7</v>
      </c>
      <c r="H43" s="228">
        <v>-29.7</v>
      </c>
      <c r="I43" s="229">
        <v>-2.3400000000000001E-2</v>
      </c>
      <c r="J43" s="231">
        <v>1238.3</v>
      </c>
      <c r="K43" s="231">
        <v>1272</v>
      </c>
      <c r="L43" s="228">
        <v>-33.700000000000003</v>
      </c>
      <c r="M43" s="229">
        <v>-2.6499999999999999E-2</v>
      </c>
      <c r="N43" s="231">
        <v>1241</v>
      </c>
      <c r="O43" s="231">
        <v>1270.7</v>
      </c>
      <c r="P43" s="228">
        <v>-29.7</v>
      </c>
      <c r="Q43" s="229">
        <v>-2.3400000000000001E-2</v>
      </c>
      <c r="R43" s="231">
        <v>1236.8</v>
      </c>
      <c r="S43" s="231">
        <v>1263.5999999999999</v>
      </c>
      <c r="T43" s="228">
        <v>-26.8</v>
      </c>
      <c r="U43" s="229">
        <v>-2.12E-2</v>
      </c>
      <c r="V43" s="231">
        <v>1229.5</v>
      </c>
      <c r="W43" s="231">
        <v>1259.8</v>
      </c>
      <c r="X43" s="228">
        <v>-30.3</v>
      </c>
      <c r="Y43" s="229">
        <v>-2.41E-2</v>
      </c>
      <c r="Z43" s="228">
        <v>2.7</v>
      </c>
      <c r="AA43" s="228">
        <v>-1.3</v>
      </c>
      <c r="AB43" s="228">
        <v>4</v>
      </c>
      <c r="AC43" s="229">
        <v>2.2000000000000001E-3</v>
      </c>
      <c r="AD43" s="228">
        <v>2.7</v>
      </c>
      <c r="AE43" s="228">
        <v>-1.3</v>
      </c>
      <c r="AF43" s="228">
        <v>4</v>
      </c>
      <c r="AG43" s="229">
        <v>2.2000000000000001E-3</v>
      </c>
      <c r="AH43" s="228">
        <v>-1.5</v>
      </c>
      <c r="AI43" s="228">
        <v>-8.4</v>
      </c>
      <c r="AJ43" s="228">
        <v>6.9</v>
      </c>
      <c r="AK43" s="229">
        <v>-1.1999999999999999E-3</v>
      </c>
      <c r="AL43" s="228">
        <v>-8.8000000000000007</v>
      </c>
      <c r="AM43" s="228">
        <v>-12.2</v>
      </c>
      <c r="AN43" s="228">
        <v>3.4</v>
      </c>
      <c r="AO43" s="229">
        <v>-7.1000000000000004E-3</v>
      </c>
      <c r="AP43" s="231">
        <v>1242.19</v>
      </c>
      <c r="AQ43" s="231">
        <v>1235.24</v>
      </c>
      <c r="AR43" s="228">
        <v>0</v>
      </c>
      <c r="AS43" s="228">
        <v>629</v>
      </c>
      <c r="AT43" s="228">
        <v>343</v>
      </c>
      <c r="AU43" s="228">
        <v>286</v>
      </c>
      <c r="AV43" s="229">
        <v>0.83450000000000002</v>
      </c>
      <c r="AW43" s="228">
        <v>566</v>
      </c>
      <c r="AX43" s="228">
        <v>297</v>
      </c>
      <c r="AY43" s="228">
        <v>269</v>
      </c>
      <c r="AZ43" s="229">
        <v>0.90339999999999998</v>
      </c>
      <c r="BA43" s="228">
        <v>51</v>
      </c>
      <c r="BB43" s="228">
        <v>37</v>
      </c>
      <c r="BC43" s="228">
        <v>14</v>
      </c>
      <c r="BD43" s="229">
        <v>0.39290000000000003</v>
      </c>
      <c r="BE43" s="228">
        <v>12</v>
      </c>
      <c r="BF43" s="228">
        <v>9</v>
      </c>
      <c r="BG43" s="228">
        <v>3</v>
      </c>
      <c r="BH43" s="229">
        <v>0.34670000000000001</v>
      </c>
      <c r="BI43" s="230">
        <v>1596</v>
      </c>
      <c r="BJ43" s="228">
        <v>734</v>
      </c>
      <c r="BK43" s="228">
        <v>863</v>
      </c>
      <c r="BL43" s="229">
        <v>1.1760999999999999</v>
      </c>
      <c r="BM43" s="230">
        <v>1408</v>
      </c>
      <c r="BN43" s="228">
        <v>578</v>
      </c>
      <c r="BO43" s="228">
        <v>830</v>
      </c>
      <c r="BP43" s="229">
        <v>1.4359999999999999</v>
      </c>
      <c r="BQ43" s="230">
        <v>3633</v>
      </c>
      <c r="BR43" s="230">
        <v>1654</v>
      </c>
      <c r="BS43" s="230">
        <v>1979</v>
      </c>
      <c r="BT43" s="229">
        <v>1.1961999999999999</v>
      </c>
      <c r="BU43" s="230">
        <v>4740623</v>
      </c>
      <c r="BV43" s="230">
        <v>2429730</v>
      </c>
      <c r="BW43" s="230">
        <v>2310893</v>
      </c>
      <c r="BX43" s="229">
        <v>0.95109999999999995</v>
      </c>
      <c r="BY43" s="230">
        <v>1539</v>
      </c>
      <c r="BZ43" s="230">
        <v>1450</v>
      </c>
      <c r="CA43" s="228">
        <v>88</v>
      </c>
      <c r="CB43" s="229">
        <v>6.0999999999999999E-2</v>
      </c>
      <c r="CC43" s="230">
        <v>1363</v>
      </c>
      <c r="CD43" s="230">
        <v>1297</v>
      </c>
      <c r="CE43" s="228">
        <v>66</v>
      </c>
      <c r="CF43" s="229">
        <v>5.0799999999999998E-2</v>
      </c>
      <c r="CG43" s="228">
        <v>153</v>
      </c>
      <c r="CH43" s="228">
        <v>137</v>
      </c>
      <c r="CI43" s="228">
        <v>15</v>
      </c>
      <c r="CJ43" s="229">
        <v>0.1111</v>
      </c>
      <c r="CK43" s="228">
        <v>23</v>
      </c>
      <c r="CL43" s="228">
        <v>16</v>
      </c>
      <c r="CM43" s="228">
        <v>7</v>
      </c>
      <c r="CN43" s="229">
        <v>0.4572</v>
      </c>
      <c r="CO43" s="228">
        <v>752</v>
      </c>
      <c r="CP43" s="228">
        <v>557</v>
      </c>
      <c r="CQ43" s="228">
        <v>195</v>
      </c>
      <c r="CR43" s="229">
        <v>0.35110000000000002</v>
      </c>
      <c r="CS43" s="228">
        <v>557</v>
      </c>
      <c r="CT43" s="228">
        <v>514</v>
      </c>
      <c r="CU43" s="228">
        <v>43</v>
      </c>
      <c r="CV43" s="229">
        <v>8.2699999999999996E-2</v>
      </c>
      <c r="CW43" s="230">
        <v>2848</v>
      </c>
      <c r="CX43" s="230">
        <v>2521</v>
      </c>
      <c r="CY43" s="228">
        <v>326</v>
      </c>
      <c r="CZ43" s="229">
        <v>0.1295</v>
      </c>
      <c r="DA43" s="228">
        <v>36.89</v>
      </c>
      <c r="DB43" s="228">
        <v>38.909999999999997</v>
      </c>
      <c r="DC43" s="228">
        <v>-2.02</v>
      </c>
      <c r="DD43" s="228">
        <v>-2.02</v>
      </c>
      <c r="DE43" s="228">
        <v>46.21</v>
      </c>
      <c r="DF43" s="228">
        <v>46.21</v>
      </c>
      <c r="DG43" s="228">
        <v>-9.32</v>
      </c>
      <c r="DH43" s="228">
        <v>0</v>
      </c>
      <c r="DI43" s="228">
        <v>36.99</v>
      </c>
      <c r="DJ43" s="228">
        <v>38.36</v>
      </c>
      <c r="DK43" s="228">
        <v>-1.37</v>
      </c>
      <c r="DL43" s="228">
        <v>-1.37</v>
      </c>
      <c r="DM43" s="228">
        <v>36.770000000000003</v>
      </c>
      <c r="DN43" s="228">
        <v>39.61</v>
      </c>
      <c r="DO43" s="228">
        <v>-2.84</v>
      </c>
      <c r="DP43" s="228">
        <v>-2.84</v>
      </c>
      <c r="DQ43" s="228">
        <v>0.74</v>
      </c>
      <c r="DR43" s="228">
        <v>0.92</v>
      </c>
      <c r="DS43" s="228">
        <v>-0.18</v>
      </c>
      <c r="DT43" s="229">
        <v>-0.19570000000000001</v>
      </c>
      <c r="DU43" s="231">
        <v>1400</v>
      </c>
      <c r="DV43" s="231">
        <v>1300</v>
      </c>
      <c r="DW43" s="228">
        <v>0.88</v>
      </c>
      <c r="DX43" s="228">
        <v>0.79</v>
      </c>
      <c r="DY43" s="228">
        <v>0.09</v>
      </c>
      <c r="DZ43" s="229">
        <v>0.1139</v>
      </c>
      <c r="EA43" s="229">
        <v>0.1143</v>
      </c>
      <c r="EB43" s="230">
        <v>1235475</v>
      </c>
      <c r="EC43" s="229">
        <v>-3.3999999999999998E-3</v>
      </c>
      <c r="ED43" s="229">
        <v>0.1143</v>
      </c>
      <c r="EE43" s="228">
        <v>-6.95</v>
      </c>
      <c r="EF43" s="229">
        <v>-5.5999999999999999E-3</v>
      </c>
      <c r="EG43" s="230">
        <v>1506864</v>
      </c>
      <c r="EH43" s="230">
        <v>1012214</v>
      </c>
      <c r="EI43" s="229">
        <v>0.48870000000000002</v>
      </c>
      <c r="EJ43" s="229">
        <v>0.31790000000000002</v>
      </c>
      <c r="EK43" s="231">
        <v>1728.63</v>
      </c>
      <c r="EL43" s="231">
        <v>1405.34</v>
      </c>
      <c r="EM43" s="228">
        <v>628.80999999999995</v>
      </c>
      <c r="EN43" s="228">
        <v>84.44</v>
      </c>
      <c r="EO43" s="231">
        <v>3762.77</v>
      </c>
      <c r="EP43" s="231">
        <v>1757.01</v>
      </c>
      <c r="EQ43" s="231">
        <v>2005.77</v>
      </c>
      <c r="ER43" s="229">
        <v>1.1415999999999999</v>
      </c>
      <c r="ES43" s="228">
        <v>821.53</v>
      </c>
      <c r="ET43" s="228">
        <v>570.77</v>
      </c>
      <c r="EU43" s="231">
        <v>1537.98</v>
      </c>
      <c r="EV43" s="231">
        <v>26647500</v>
      </c>
      <c r="EW43" s="231">
        <v>2930.27</v>
      </c>
      <c r="EX43" s="231">
        <v>2627.51</v>
      </c>
      <c r="EY43" s="228">
        <v>302.76</v>
      </c>
      <c r="EZ43" s="229">
        <v>0.1152</v>
      </c>
      <c r="FA43" s="229">
        <v>0.86109999999999998</v>
      </c>
      <c r="FB43" s="227" t="s">
        <v>566</v>
      </c>
      <c r="FC43">
        <f t="shared" si="0"/>
        <v>176</v>
      </c>
    </row>
    <row r="44" spans="1:159" ht="17.25" thickBot="1" x14ac:dyDescent="0.3">
      <c r="A44" s="226">
        <v>46146</v>
      </c>
      <c r="B44" s="227" t="s">
        <v>161</v>
      </c>
      <c r="C44" s="227" t="s">
        <v>611</v>
      </c>
      <c r="D44" s="228">
        <v>850</v>
      </c>
      <c r="E44" s="228">
        <v>22</v>
      </c>
      <c r="F44" s="228">
        <v>807</v>
      </c>
      <c r="G44" s="228">
        <v>818.45</v>
      </c>
      <c r="H44" s="228">
        <v>-11.45</v>
      </c>
      <c r="I44" s="229">
        <v>-1.4E-2</v>
      </c>
      <c r="J44" s="228">
        <v>802.3</v>
      </c>
      <c r="K44" s="228">
        <v>813.35</v>
      </c>
      <c r="L44" s="228">
        <v>-11.05</v>
      </c>
      <c r="M44" s="229">
        <v>-1.3599999999999999E-2</v>
      </c>
      <c r="N44" s="228">
        <v>807</v>
      </c>
      <c r="O44" s="228">
        <v>818.45</v>
      </c>
      <c r="P44" s="228">
        <v>-11.45</v>
      </c>
      <c r="Q44" s="229">
        <v>-1.4E-2</v>
      </c>
      <c r="R44" s="228">
        <v>812.05</v>
      </c>
      <c r="S44" s="228">
        <v>823.25</v>
      </c>
      <c r="T44" s="228">
        <v>-11.2</v>
      </c>
      <c r="U44" s="229">
        <v>-1.3599999999999999E-2</v>
      </c>
      <c r="V44" s="228">
        <v>819</v>
      </c>
      <c r="W44" s="228">
        <v>827.35</v>
      </c>
      <c r="X44" s="228">
        <v>-8.35</v>
      </c>
      <c r="Y44" s="229">
        <v>-1.01E-2</v>
      </c>
      <c r="Z44" s="228">
        <v>4.7</v>
      </c>
      <c r="AA44" s="228">
        <v>5.0999999999999996</v>
      </c>
      <c r="AB44" s="228">
        <v>-0.4</v>
      </c>
      <c r="AC44" s="229">
        <v>5.8999999999999999E-3</v>
      </c>
      <c r="AD44" s="228">
        <v>4.7</v>
      </c>
      <c r="AE44" s="228">
        <v>5.0999999999999996</v>
      </c>
      <c r="AF44" s="228">
        <v>-0.4</v>
      </c>
      <c r="AG44" s="229">
        <v>5.8999999999999999E-3</v>
      </c>
      <c r="AH44" s="228">
        <v>9.75</v>
      </c>
      <c r="AI44" s="228">
        <v>9.9</v>
      </c>
      <c r="AJ44" s="228">
        <v>-0.15</v>
      </c>
      <c r="AK44" s="229">
        <v>1.2200000000000001E-2</v>
      </c>
      <c r="AL44" s="228">
        <v>16.7</v>
      </c>
      <c r="AM44" s="228">
        <v>14</v>
      </c>
      <c r="AN44" s="228">
        <v>2.7</v>
      </c>
      <c r="AO44" s="229">
        <v>2.0799999999999999E-2</v>
      </c>
      <c r="AP44" s="228">
        <v>818.99</v>
      </c>
      <c r="AQ44" s="228">
        <v>826.5</v>
      </c>
      <c r="AR44" s="228">
        <v>0</v>
      </c>
      <c r="AS44" s="228">
        <v>260</v>
      </c>
      <c r="AT44" s="228">
        <v>270</v>
      </c>
      <c r="AU44" s="228">
        <v>-10</v>
      </c>
      <c r="AV44" s="229">
        <v>-3.7600000000000001E-2</v>
      </c>
      <c r="AW44" s="228">
        <v>252</v>
      </c>
      <c r="AX44" s="228">
        <v>264</v>
      </c>
      <c r="AY44" s="228">
        <v>-12</v>
      </c>
      <c r="AZ44" s="229">
        <v>-4.65E-2</v>
      </c>
      <c r="BA44" s="228">
        <v>7</v>
      </c>
      <c r="BB44" s="228">
        <v>5</v>
      </c>
      <c r="BC44" s="228">
        <v>2</v>
      </c>
      <c r="BD44" s="229">
        <v>0.37969999999999998</v>
      </c>
      <c r="BE44" s="228">
        <v>0</v>
      </c>
      <c r="BF44" s="228">
        <v>0</v>
      </c>
      <c r="BG44" s="228">
        <v>0</v>
      </c>
      <c r="BH44" s="229">
        <v>0.33329999999999999</v>
      </c>
      <c r="BI44" s="228">
        <v>429</v>
      </c>
      <c r="BJ44" s="228">
        <v>256</v>
      </c>
      <c r="BK44" s="228">
        <v>173</v>
      </c>
      <c r="BL44" s="229">
        <v>0.67820000000000003</v>
      </c>
      <c r="BM44" s="228">
        <v>178</v>
      </c>
      <c r="BN44" s="228">
        <v>179</v>
      </c>
      <c r="BO44" s="228">
        <v>-1</v>
      </c>
      <c r="BP44" s="229">
        <v>-3.3999999999999998E-3</v>
      </c>
      <c r="BQ44" s="228">
        <v>867</v>
      </c>
      <c r="BR44" s="228">
        <v>705</v>
      </c>
      <c r="BS44" s="228">
        <v>163</v>
      </c>
      <c r="BT44" s="229">
        <v>0.23089999999999999</v>
      </c>
      <c r="BU44" s="230">
        <v>2665844</v>
      </c>
      <c r="BV44" s="230">
        <v>3726147</v>
      </c>
      <c r="BW44" s="230">
        <v>-1060303</v>
      </c>
      <c r="BX44" s="229">
        <v>-0.28460000000000002</v>
      </c>
      <c r="BY44" s="230">
        <v>1785</v>
      </c>
      <c r="BZ44" s="230">
        <v>1756</v>
      </c>
      <c r="CA44" s="228">
        <v>29</v>
      </c>
      <c r="CB44" s="229">
        <v>1.6799999999999999E-2</v>
      </c>
      <c r="CC44" s="230">
        <v>1562</v>
      </c>
      <c r="CD44" s="230">
        <v>1536</v>
      </c>
      <c r="CE44" s="228">
        <v>26</v>
      </c>
      <c r="CF44" s="229">
        <v>1.66E-2</v>
      </c>
      <c r="CG44" s="228">
        <v>223</v>
      </c>
      <c r="CH44" s="228">
        <v>219</v>
      </c>
      <c r="CI44" s="228">
        <v>4</v>
      </c>
      <c r="CJ44" s="229">
        <v>1.6899999999999998E-2</v>
      </c>
      <c r="CK44" s="228">
        <v>0</v>
      </c>
      <c r="CL44" s="228">
        <v>0</v>
      </c>
      <c r="CM44" s="228">
        <v>0</v>
      </c>
      <c r="CN44" s="229">
        <v>2</v>
      </c>
      <c r="CO44" s="228">
        <v>267</v>
      </c>
      <c r="CP44" s="228">
        <v>183</v>
      </c>
      <c r="CQ44" s="228">
        <v>84</v>
      </c>
      <c r="CR44" s="229">
        <v>0.4587</v>
      </c>
      <c r="CS44" s="228">
        <v>170</v>
      </c>
      <c r="CT44" s="228">
        <v>151</v>
      </c>
      <c r="CU44" s="228">
        <v>19</v>
      </c>
      <c r="CV44" s="229">
        <v>0.1245</v>
      </c>
      <c r="CW44" s="230">
        <v>2222</v>
      </c>
      <c r="CX44" s="230">
        <v>2090</v>
      </c>
      <c r="CY44" s="228">
        <v>132</v>
      </c>
      <c r="CZ44" s="229">
        <v>6.3299999999999995E-2</v>
      </c>
      <c r="DA44" s="228">
        <v>42.81</v>
      </c>
      <c r="DB44" s="228">
        <v>41.08</v>
      </c>
      <c r="DC44" s="228">
        <v>1.73</v>
      </c>
      <c r="DD44" s="228">
        <v>1.73</v>
      </c>
      <c r="DE44" s="228">
        <v>41.92</v>
      </c>
      <c r="DF44" s="228">
        <v>41.98</v>
      </c>
      <c r="DG44" s="228">
        <v>0.89</v>
      </c>
      <c r="DH44" s="228">
        <v>-0.06</v>
      </c>
      <c r="DI44" s="228">
        <v>42.73</v>
      </c>
      <c r="DJ44" s="228">
        <v>41.44</v>
      </c>
      <c r="DK44" s="228">
        <v>1.29</v>
      </c>
      <c r="DL44" s="228">
        <v>1.29</v>
      </c>
      <c r="DM44" s="228">
        <v>43.02</v>
      </c>
      <c r="DN44" s="228">
        <v>40.549999999999997</v>
      </c>
      <c r="DO44" s="228">
        <v>2.4700000000000002</v>
      </c>
      <c r="DP44" s="228">
        <v>2.4700000000000002</v>
      </c>
      <c r="DQ44" s="228">
        <v>0.64</v>
      </c>
      <c r="DR44" s="228">
        <v>0.83</v>
      </c>
      <c r="DS44" s="228">
        <v>-0.19</v>
      </c>
      <c r="DT44" s="229">
        <v>-0.22889999999999999</v>
      </c>
      <c r="DU44" s="228">
        <v>850</v>
      </c>
      <c r="DV44" s="228">
        <v>800</v>
      </c>
      <c r="DW44" s="228">
        <v>0.42</v>
      </c>
      <c r="DX44" s="228">
        <v>0.7</v>
      </c>
      <c r="DY44" s="228">
        <v>-0.28000000000000003</v>
      </c>
      <c r="DZ44" s="229">
        <v>-0.4</v>
      </c>
      <c r="EA44" s="229">
        <v>0.12509999999999999</v>
      </c>
      <c r="EB44" s="230">
        <v>2717450</v>
      </c>
      <c r="EC44" s="229">
        <v>6.3E-3</v>
      </c>
      <c r="ED44" s="229">
        <v>0.12509999999999999</v>
      </c>
      <c r="EE44" s="228">
        <v>7.51</v>
      </c>
      <c r="EF44" s="229">
        <v>9.1999999999999998E-3</v>
      </c>
      <c r="EG44" s="230">
        <v>1410234</v>
      </c>
      <c r="EH44" s="230">
        <v>2215923</v>
      </c>
      <c r="EI44" s="229">
        <v>-0.36359999999999998</v>
      </c>
      <c r="EJ44" s="229">
        <v>0.52900000000000003</v>
      </c>
      <c r="EK44" s="228">
        <v>464.83</v>
      </c>
      <c r="EL44" s="228">
        <v>180.45</v>
      </c>
      <c r="EM44" s="228">
        <v>263.56</v>
      </c>
      <c r="EN44" s="228">
        <v>65.430000000000007</v>
      </c>
      <c r="EO44" s="228">
        <v>908.84</v>
      </c>
      <c r="EP44" s="228">
        <v>729.35</v>
      </c>
      <c r="EQ44" s="228">
        <v>179.49</v>
      </c>
      <c r="ER44" s="229">
        <v>0.24610000000000001</v>
      </c>
      <c r="ES44" s="228">
        <v>279.52999999999997</v>
      </c>
      <c r="ET44" s="228">
        <v>165.01</v>
      </c>
      <c r="EU44" s="231">
        <v>1786.65</v>
      </c>
      <c r="EV44" s="231">
        <v>103080397</v>
      </c>
      <c r="EW44" s="231">
        <v>2231.19</v>
      </c>
      <c r="EX44" s="231">
        <v>2119.38</v>
      </c>
      <c r="EY44" s="228">
        <v>111.81</v>
      </c>
      <c r="EZ44" s="229">
        <v>5.28E-2</v>
      </c>
      <c r="FA44" s="229">
        <v>0.2671</v>
      </c>
      <c r="FB44" s="227" t="s">
        <v>566</v>
      </c>
      <c r="FC44">
        <f t="shared" si="0"/>
        <v>223</v>
      </c>
    </row>
    <row r="45" spans="1:159" ht="17.25" thickBot="1" x14ac:dyDescent="0.3">
      <c r="A45" s="226">
        <v>46146</v>
      </c>
      <c r="B45" s="227" t="s">
        <v>175</v>
      </c>
      <c r="C45" s="227" t="s">
        <v>198</v>
      </c>
      <c r="D45" s="228">
        <v>625</v>
      </c>
      <c r="E45" s="228">
        <v>22</v>
      </c>
      <c r="F45" s="231">
        <v>1644.2</v>
      </c>
      <c r="G45" s="231">
        <v>1573</v>
      </c>
      <c r="H45" s="228">
        <v>71.2</v>
      </c>
      <c r="I45" s="229">
        <v>4.53E-2</v>
      </c>
      <c r="J45" s="231">
        <v>1639.5</v>
      </c>
      <c r="K45" s="231">
        <v>1562.9</v>
      </c>
      <c r="L45" s="228">
        <v>76.599999999999994</v>
      </c>
      <c r="M45" s="229">
        <v>4.9000000000000002E-2</v>
      </c>
      <c r="N45" s="231">
        <v>1644.2</v>
      </c>
      <c r="O45" s="231">
        <v>1573</v>
      </c>
      <c r="P45" s="228">
        <v>71.2</v>
      </c>
      <c r="Q45" s="229">
        <v>4.53E-2</v>
      </c>
      <c r="R45" s="231">
        <v>1651.9</v>
      </c>
      <c r="S45" s="231">
        <v>1585.2</v>
      </c>
      <c r="T45" s="228">
        <v>66.7</v>
      </c>
      <c r="U45" s="229">
        <v>4.2099999999999999E-2</v>
      </c>
      <c r="V45" s="231">
        <v>1656.8</v>
      </c>
      <c r="W45" s="231">
        <v>1587.6</v>
      </c>
      <c r="X45" s="228">
        <v>69.2</v>
      </c>
      <c r="Y45" s="229">
        <v>4.36E-2</v>
      </c>
      <c r="Z45" s="228">
        <v>4.7</v>
      </c>
      <c r="AA45" s="228">
        <v>10.1</v>
      </c>
      <c r="AB45" s="228">
        <v>-5.4</v>
      </c>
      <c r="AC45" s="229">
        <v>2.8999999999999998E-3</v>
      </c>
      <c r="AD45" s="228">
        <v>4.7</v>
      </c>
      <c r="AE45" s="228">
        <v>10.1</v>
      </c>
      <c r="AF45" s="228">
        <v>-5.4</v>
      </c>
      <c r="AG45" s="229">
        <v>2.8999999999999998E-3</v>
      </c>
      <c r="AH45" s="228">
        <v>12.4</v>
      </c>
      <c r="AI45" s="228">
        <v>22.3</v>
      </c>
      <c r="AJ45" s="228">
        <v>-9.9</v>
      </c>
      <c r="AK45" s="229">
        <v>7.6E-3</v>
      </c>
      <c r="AL45" s="228">
        <v>17.3</v>
      </c>
      <c r="AM45" s="228">
        <v>24.7</v>
      </c>
      <c r="AN45" s="228">
        <v>-7.4</v>
      </c>
      <c r="AO45" s="229">
        <v>1.06E-2</v>
      </c>
      <c r="AP45" s="231">
        <v>1631.88</v>
      </c>
      <c r="AQ45" s="231">
        <v>1639.17</v>
      </c>
      <c r="AR45" s="228">
        <v>0</v>
      </c>
      <c r="AS45" s="228">
        <v>976</v>
      </c>
      <c r="AT45" s="230">
        <v>1524</v>
      </c>
      <c r="AU45" s="228">
        <v>-548</v>
      </c>
      <c r="AV45" s="229">
        <v>-0.35959999999999998</v>
      </c>
      <c r="AW45" s="228">
        <v>956</v>
      </c>
      <c r="AX45" s="230">
        <v>1498</v>
      </c>
      <c r="AY45" s="228">
        <v>-542</v>
      </c>
      <c r="AZ45" s="229">
        <v>-0.36159999999999998</v>
      </c>
      <c r="BA45" s="228">
        <v>19</v>
      </c>
      <c r="BB45" s="228">
        <v>24</v>
      </c>
      <c r="BC45" s="228">
        <v>-5</v>
      </c>
      <c r="BD45" s="229">
        <v>-0.2165</v>
      </c>
      <c r="BE45" s="228">
        <v>1</v>
      </c>
      <c r="BF45" s="228">
        <v>2</v>
      </c>
      <c r="BG45" s="228">
        <v>-1</v>
      </c>
      <c r="BH45" s="229">
        <v>-0.57140000000000002</v>
      </c>
      <c r="BI45" s="230">
        <v>2340</v>
      </c>
      <c r="BJ45" s="230">
        <v>2985</v>
      </c>
      <c r="BK45" s="228">
        <v>-645</v>
      </c>
      <c r="BL45" s="229">
        <v>-0.216</v>
      </c>
      <c r="BM45" s="230">
        <v>1122</v>
      </c>
      <c r="BN45" s="230">
        <v>1699</v>
      </c>
      <c r="BO45" s="228">
        <v>-577</v>
      </c>
      <c r="BP45" s="229">
        <v>-0.33950000000000002</v>
      </c>
      <c r="BQ45" s="230">
        <v>4438</v>
      </c>
      <c r="BR45" s="230">
        <v>6208</v>
      </c>
      <c r="BS45" s="230">
        <v>-1769</v>
      </c>
      <c r="BT45" s="229">
        <v>-0.28499999999999998</v>
      </c>
      <c r="BU45" s="230">
        <v>5988366</v>
      </c>
      <c r="BV45" s="230">
        <v>8020143</v>
      </c>
      <c r="BW45" s="230">
        <v>-2031777</v>
      </c>
      <c r="BX45" s="229">
        <v>-0.25330000000000003</v>
      </c>
      <c r="BY45" s="230">
        <v>3202</v>
      </c>
      <c r="BZ45" s="230">
        <v>3273</v>
      </c>
      <c r="CA45" s="228">
        <v>-70</v>
      </c>
      <c r="CB45" s="229">
        <v>-2.1399999999999999E-2</v>
      </c>
      <c r="CC45" s="230">
        <v>3038</v>
      </c>
      <c r="CD45" s="230">
        <v>3107</v>
      </c>
      <c r="CE45" s="228">
        <v>-69</v>
      </c>
      <c r="CF45" s="229">
        <v>-2.2200000000000001E-2</v>
      </c>
      <c r="CG45" s="228">
        <v>164</v>
      </c>
      <c r="CH45" s="228">
        <v>165</v>
      </c>
      <c r="CI45" s="228">
        <v>-1</v>
      </c>
      <c r="CJ45" s="229">
        <v>-6.7999999999999996E-3</v>
      </c>
      <c r="CK45" s="228">
        <v>1</v>
      </c>
      <c r="CL45" s="228">
        <v>1</v>
      </c>
      <c r="CM45" s="228">
        <v>0</v>
      </c>
      <c r="CN45" s="229">
        <v>0.1429</v>
      </c>
      <c r="CO45" s="228">
        <v>425</v>
      </c>
      <c r="CP45" s="228">
        <v>430</v>
      </c>
      <c r="CQ45" s="228">
        <v>-6</v>
      </c>
      <c r="CR45" s="229">
        <v>-1.29E-2</v>
      </c>
      <c r="CS45" s="228">
        <v>365</v>
      </c>
      <c r="CT45" s="228">
        <v>308</v>
      </c>
      <c r="CU45" s="228">
        <v>57</v>
      </c>
      <c r="CV45" s="229">
        <v>0.185</v>
      </c>
      <c r="CW45" s="230">
        <v>3992</v>
      </c>
      <c r="CX45" s="230">
        <v>4011</v>
      </c>
      <c r="CY45" s="228">
        <v>-19</v>
      </c>
      <c r="CZ45" s="229">
        <v>-4.5999999999999999E-3</v>
      </c>
      <c r="DA45" s="228">
        <v>34.42</v>
      </c>
      <c r="DB45" s="228">
        <v>35.24</v>
      </c>
      <c r="DC45" s="228">
        <v>-0.82</v>
      </c>
      <c r="DD45" s="228">
        <v>-0.82</v>
      </c>
      <c r="DE45" s="228">
        <v>40.81</v>
      </c>
      <c r="DF45" s="228">
        <v>40.39</v>
      </c>
      <c r="DG45" s="228">
        <v>-6.39</v>
      </c>
      <c r="DH45" s="228">
        <v>0.42</v>
      </c>
      <c r="DI45" s="228">
        <v>33.700000000000003</v>
      </c>
      <c r="DJ45" s="228">
        <v>34.880000000000003</v>
      </c>
      <c r="DK45" s="228">
        <v>-1.18</v>
      </c>
      <c r="DL45" s="228">
        <v>-1.18</v>
      </c>
      <c r="DM45" s="228">
        <v>35.93</v>
      </c>
      <c r="DN45" s="228">
        <v>35.869999999999997</v>
      </c>
      <c r="DO45" s="228">
        <v>0.06</v>
      </c>
      <c r="DP45" s="228">
        <v>0.06</v>
      </c>
      <c r="DQ45" s="228">
        <v>0.86</v>
      </c>
      <c r="DR45" s="228">
        <v>0.72</v>
      </c>
      <c r="DS45" s="228">
        <v>0.14000000000000001</v>
      </c>
      <c r="DT45" s="229">
        <v>0.19439999999999999</v>
      </c>
      <c r="DU45" s="231">
        <v>1600</v>
      </c>
      <c r="DV45" s="231">
        <v>1400</v>
      </c>
      <c r="DW45" s="228">
        <v>0.48</v>
      </c>
      <c r="DX45" s="228">
        <v>0.56999999999999995</v>
      </c>
      <c r="DY45" s="228">
        <v>-0.09</v>
      </c>
      <c r="DZ45" s="229">
        <v>-0.15790000000000001</v>
      </c>
      <c r="EA45" s="229">
        <v>5.1400000000000001E-2</v>
      </c>
      <c r="EB45" s="230">
        <v>1008125</v>
      </c>
      <c r="EC45" s="229">
        <v>4.7000000000000002E-3</v>
      </c>
      <c r="ED45" s="229">
        <v>5.1400000000000001E-2</v>
      </c>
      <c r="EE45" s="228">
        <v>7.29</v>
      </c>
      <c r="EF45" s="229">
        <v>4.4999999999999997E-3</v>
      </c>
      <c r="EG45" s="230">
        <v>3304729</v>
      </c>
      <c r="EH45" s="230">
        <v>4241255</v>
      </c>
      <c r="EI45" s="229">
        <v>-0.2208</v>
      </c>
      <c r="EJ45" s="229">
        <v>0.55189999999999995</v>
      </c>
      <c r="EK45" s="231">
        <v>2440.5300000000002</v>
      </c>
      <c r="EL45" s="231">
        <v>1079.55</v>
      </c>
      <c r="EM45" s="228">
        <v>968.6</v>
      </c>
      <c r="EN45" s="228">
        <v>116.73</v>
      </c>
      <c r="EO45" s="231">
        <v>4488.6899999999996</v>
      </c>
      <c r="EP45" s="231">
        <v>5995.33</v>
      </c>
      <c r="EQ45" s="231">
        <v>-1506.64</v>
      </c>
      <c r="ER45" s="229">
        <v>-0.25130000000000002</v>
      </c>
      <c r="ES45" s="228">
        <v>419.94</v>
      </c>
      <c r="ET45" s="228">
        <v>335.5</v>
      </c>
      <c r="EU45" s="231">
        <v>3203.26</v>
      </c>
      <c r="EV45" s="231">
        <v>63646863</v>
      </c>
      <c r="EW45" s="231">
        <v>3958.71</v>
      </c>
      <c r="EX45" s="231">
        <v>3828.87</v>
      </c>
      <c r="EY45" s="228">
        <v>129.84</v>
      </c>
      <c r="EZ45" s="229">
        <v>3.39E-2</v>
      </c>
      <c r="FA45" s="229">
        <v>0.38150000000000001</v>
      </c>
      <c r="FB45" s="227" t="s">
        <v>691</v>
      </c>
      <c r="FC45">
        <f t="shared" si="0"/>
        <v>164</v>
      </c>
    </row>
    <row r="46" spans="1:159" ht="17.25" thickBot="1" x14ac:dyDescent="0.3">
      <c r="A46" s="226">
        <v>46146</v>
      </c>
      <c r="B46" s="227" t="s">
        <v>170</v>
      </c>
      <c r="C46" s="227" t="s">
        <v>199</v>
      </c>
      <c r="D46" s="228">
        <v>375</v>
      </c>
      <c r="E46" s="228">
        <v>22</v>
      </c>
      <c r="F46" s="231">
        <v>1338.8</v>
      </c>
      <c r="G46" s="231">
        <v>1315.2</v>
      </c>
      <c r="H46" s="228">
        <v>23.6</v>
      </c>
      <c r="I46" s="229">
        <v>1.7899999999999999E-2</v>
      </c>
      <c r="J46" s="231">
        <v>1335</v>
      </c>
      <c r="K46" s="231">
        <v>1309.5999999999999</v>
      </c>
      <c r="L46" s="228">
        <v>25.4</v>
      </c>
      <c r="M46" s="229">
        <v>1.9400000000000001E-2</v>
      </c>
      <c r="N46" s="231">
        <v>1338.8</v>
      </c>
      <c r="O46" s="231">
        <v>1315.2</v>
      </c>
      <c r="P46" s="228">
        <v>23.6</v>
      </c>
      <c r="Q46" s="229">
        <v>1.7899999999999999E-2</v>
      </c>
      <c r="R46" s="231">
        <v>1342.5</v>
      </c>
      <c r="S46" s="231">
        <v>1314.7</v>
      </c>
      <c r="T46" s="228">
        <v>27.8</v>
      </c>
      <c r="U46" s="229">
        <v>2.1100000000000001E-2</v>
      </c>
      <c r="V46" s="231">
        <v>1341.7</v>
      </c>
      <c r="W46" s="231">
        <v>1320.2</v>
      </c>
      <c r="X46" s="228">
        <v>21.5</v>
      </c>
      <c r="Y46" s="229">
        <v>1.6299999999999999E-2</v>
      </c>
      <c r="Z46" s="228">
        <v>3.8</v>
      </c>
      <c r="AA46" s="228">
        <v>5.6</v>
      </c>
      <c r="AB46" s="228">
        <v>-1.8</v>
      </c>
      <c r="AC46" s="229">
        <v>2.8E-3</v>
      </c>
      <c r="AD46" s="228">
        <v>3.8</v>
      </c>
      <c r="AE46" s="228">
        <v>5.6</v>
      </c>
      <c r="AF46" s="228">
        <v>-1.8</v>
      </c>
      <c r="AG46" s="229">
        <v>2.8E-3</v>
      </c>
      <c r="AH46" s="228">
        <v>7.5</v>
      </c>
      <c r="AI46" s="228">
        <v>5.0999999999999996</v>
      </c>
      <c r="AJ46" s="228">
        <v>2.4</v>
      </c>
      <c r="AK46" s="229">
        <v>5.5999999999999999E-3</v>
      </c>
      <c r="AL46" s="228">
        <v>6.7</v>
      </c>
      <c r="AM46" s="228">
        <v>10.6</v>
      </c>
      <c r="AN46" s="228">
        <v>-3.9</v>
      </c>
      <c r="AO46" s="229">
        <v>5.0000000000000001E-3</v>
      </c>
      <c r="AP46" s="231">
        <v>1332.74</v>
      </c>
      <c r="AQ46" s="231">
        <v>1335.73</v>
      </c>
      <c r="AR46" s="228">
        <v>0</v>
      </c>
      <c r="AS46" s="228">
        <v>173</v>
      </c>
      <c r="AT46" s="228">
        <v>188</v>
      </c>
      <c r="AU46" s="228">
        <v>-15</v>
      </c>
      <c r="AV46" s="229">
        <v>-8.0500000000000002E-2</v>
      </c>
      <c r="AW46" s="228">
        <v>161</v>
      </c>
      <c r="AX46" s="228">
        <v>168</v>
      </c>
      <c r="AY46" s="228">
        <v>-7</v>
      </c>
      <c r="AZ46" s="229">
        <v>-4.1599999999999998E-2</v>
      </c>
      <c r="BA46" s="228">
        <v>11</v>
      </c>
      <c r="BB46" s="228">
        <v>19</v>
      </c>
      <c r="BC46" s="228">
        <v>-8</v>
      </c>
      <c r="BD46" s="229">
        <v>-0.41839999999999999</v>
      </c>
      <c r="BE46" s="228">
        <v>1</v>
      </c>
      <c r="BF46" s="228">
        <v>1</v>
      </c>
      <c r="BG46" s="228">
        <v>0</v>
      </c>
      <c r="BH46" s="229">
        <v>-0.2</v>
      </c>
      <c r="BI46" s="228">
        <v>646</v>
      </c>
      <c r="BJ46" s="228">
        <v>667</v>
      </c>
      <c r="BK46" s="228">
        <v>-21</v>
      </c>
      <c r="BL46" s="229">
        <v>-3.1099999999999999E-2</v>
      </c>
      <c r="BM46" s="228">
        <v>242</v>
      </c>
      <c r="BN46" s="228">
        <v>230</v>
      </c>
      <c r="BO46" s="228">
        <v>12</v>
      </c>
      <c r="BP46" s="229">
        <v>5.0200000000000002E-2</v>
      </c>
      <c r="BQ46" s="230">
        <v>1061</v>
      </c>
      <c r="BR46" s="230">
        <v>1085</v>
      </c>
      <c r="BS46" s="228">
        <v>-24</v>
      </c>
      <c r="BT46" s="229">
        <v>-2.24E-2</v>
      </c>
      <c r="BU46" s="230">
        <v>1140074</v>
      </c>
      <c r="BV46" s="230">
        <v>1447981</v>
      </c>
      <c r="BW46" s="230">
        <v>-307907</v>
      </c>
      <c r="BX46" s="229">
        <v>-0.21260000000000001</v>
      </c>
      <c r="BY46" s="230">
        <v>1837</v>
      </c>
      <c r="BZ46" s="230">
        <v>1869</v>
      </c>
      <c r="CA46" s="228">
        <v>-32</v>
      </c>
      <c r="CB46" s="229">
        <v>-1.72E-2</v>
      </c>
      <c r="CC46" s="230">
        <v>1791</v>
      </c>
      <c r="CD46" s="230">
        <v>1828</v>
      </c>
      <c r="CE46" s="228">
        <v>-36</v>
      </c>
      <c r="CF46" s="229">
        <v>-1.9900000000000001E-2</v>
      </c>
      <c r="CG46" s="228">
        <v>44</v>
      </c>
      <c r="CH46" s="228">
        <v>40</v>
      </c>
      <c r="CI46" s="228">
        <v>4</v>
      </c>
      <c r="CJ46" s="229">
        <v>9.7299999999999998E-2</v>
      </c>
      <c r="CK46" s="228">
        <v>2</v>
      </c>
      <c r="CL46" s="228">
        <v>1</v>
      </c>
      <c r="CM46" s="228">
        <v>0</v>
      </c>
      <c r="CN46" s="229">
        <v>0.21740000000000001</v>
      </c>
      <c r="CO46" s="228">
        <v>535</v>
      </c>
      <c r="CP46" s="228">
        <v>474</v>
      </c>
      <c r="CQ46" s="228">
        <v>61</v>
      </c>
      <c r="CR46" s="229">
        <v>0.12920000000000001</v>
      </c>
      <c r="CS46" s="228">
        <v>370</v>
      </c>
      <c r="CT46" s="228">
        <v>327</v>
      </c>
      <c r="CU46" s="228">
        <v>43</v>
      </c>
      <c r="CV46" s="229">
        <v>0.1318</v>
      </c>
      <c r="CW46" s="230">
        <v>2742</v>
      </c>
      <c r="CX46" s="230">
        <v>2670</v>
      </c>
      <c r="CY46" s="228">
        <v>72</v>
      </c>
      <c r="CZ46" s="229">
        <v>2.7E-2</v>
      </c>
      <c r="DA46" s="228">
        <v>27.32</v>
      </c>
      <c r="DB46" s="228">
        <v>27.92</v>
      </c>
      <c r="DC46" s="228">
        <v>-0.6</v>
      </c>
      <c r="DD46" s="228">
        <v>-0.6</v>
      </c>
      <c r="DE46" s="228">
        <v>25.78</v>
      </c>
      <c r="DF46" s="228">
        <v>25.72</v>
      </c>
      <c r="DG46" s="228">
        <v>1.54</v>
      </c>
      <c r="DH46" s="228">
        <v>0.06</v>
      </c>
      <c r="DI46" s="228">
        <v>26.88</v>
      </c>
      <c r="DJ46" s="228">
        <v>27.8</v>
      </c>
      <c r="DK46" s="228">
        <v>-0.92</v>
      </c>
      <c r="DL46" s="228">
        <v>-0.92</v>
      </c>
      <c r="DM46" s="228">
        <v>28.5</v>
      </c>
      <c r="DN46" s="228">
        <v>28.25</v>
      </c>
      <c r="DO46" s="228">
        <v>0.25</v>
      </c>
      <c r="DP46" s="228">
        <v>0.25</v>
      </c>
      <c r="DQ46" s="228">
        <v>0.69</v>
      </c>
      <c r="DR46" s="228">
        <v>0.69</v>
      </c>
      <c r="DS46" s="228">
        <v>0</v>
      </c>
      <c r="DT46" s="229">
        <v>0</v>
      </c>
      <c r="DU46" s="231">
        <v>1360</v>
      </c>
      <c r="DV46" s="231">
        <v>1250</v>
      </c>
      <c r="DW46" s="228">
        <v>0.37</v>
      </c>
      <c r="DX46" s="228">
        <v>0.34</v>
      </c>
      <c r="DY46" s="228">
        <v>0.03</v>
      </c>
      <c r="DZ46" s="229">
        <v>8.8200000000000001E-2</v>
      </c>
      <c r="EA46" s="229">
        <v>2.4899999999999999E-2</v>
      </c>
      <c r="EB46" s="230">
        <v>310525</v>
      </c>
      <c r="EC46" s="229">
        <v>2.8E-3</v>
      </c>
      <c r="ED46" s="229">
        <v>2.4899999999999999E-2</v>
      </c>
      <c r="EE46" s="228">
        <v>2.99</v>
      </c>
      <c r="EF46" s="229">
        <v>2.2000000000000001E-3</v>
      </c>
      <c r="EG46" s="230">
        <v>640886</v>
      </c>
      <c r="EH46" s="230">
        <v>859951</v>
      </c>
      <c r="EI46" s="229">
        <v>-0.25469999999999998</v>
      </c>
      <c r="EJ46" s="229">
        <v>0.56210000000000004</v>
      </c>
      <c r="EK46" s="228">
        <v>672.42</v>
      </c>
      <c r="EL46" s="228">
        <v>233.52</v>
      </c>
      <c r="EM46" s="228">
        <v>171.98</v>
      </c>
      <c r="EN46" s="228">
        <v>93</v>
      </c>
      <c r="EO46" s="231">
        <v>1077.93</v>
      </c>
      <c r="EP46" s="231">
        <v>1097.45</v>
      </c>
      <c r="EQ46" s="228">
        <v>-19.52</v>
      </c>
      <c r="ER46" s="229">
        <v>-1.78E-2</v>
      </c>
      <c r="ES46" s="228">
        <v>548.87</v>
      </c>
      <c r="ET46" s="228">
        <v>349.39</v>
      </c>
      <c r="EU46" s="231">
        <v>1837.36</v>
      </c>
      <c r="EV46" s="231">
        <v>76385219</v>
      </c>
      <c r="EW46" s="231">
        <v>2735.62</v>
      </c>
      <c r="EX46" s="231">
        <v>2627.46</v>
      </c>
      <c r="EY46" s="228">
        <v>108.16</v>
      </c>
      <c r="EZ46" s="229">
        <v>4.1200000000000001E-2</v>
      </c>
      <c r="FA46" s="229">
        <v>0.26819999999999999</v>
      </c>
      <c r="FB46" s="227" t="s">
        <v>691</v>
      </c>
      <c r="FC46">
        <f t="shared" si="0"/>
        <v>46</v>
      </c>
    </row>
    <row r="47" spans="1:159" ht="17.25" thickBot="1" x14ac:dyDescent="0.3">
      <c r="A47" s="226">
        <v>46146</v>
      </c>
      <c r="B47" s="227" t="s">
        <v>227</v>
      </c>
      <c r="C47" s="227" t="s">
        <v>200</v>
      </c>
      <c r="D47" s="228">
        <v>1350</v>
      </c>
      <c r="E47" s="228">
        <v>22</v>
      </c>
      <c r="F47" s="228">
        <v>481.2</v>
      </c>
      <c r="G47" s="228">
        <v>483.75</v>
      </c>
      <c r="H47" s="228">
        <v>-2.5499999999999998</v>
      </c>
      <c r="I47" s="229">
        <v>-5.3E-3</v>
      </c>
      <c r="J47" s="228">
        <v>479.95</v>
      </c>
      <c r="K47" s="228">
        <v>481.45</v>
      </c>
      <c r="L47" s="228">
        <v>-1.5</v>
      </c>
      <c r="M47" s="229">
        <v>-3.0999999999999999E-3</v>
      </c>
      <c r="N47" s="228">
        <v>481.2</v>
      </c>
      <c r="O47" s="228">
        <v>483.75</v>
      </c>
      <c r="P47" s="228">
        <v>-2.5499999999999998</v>
      </c>
      <c r="Q47" s="229">
        <v>-5.3E-3</v>
      </c>
      <c r="R47" s="228">
        <v>480.55</v>
      </c>
      <c r="S47" s="228">
        <v>481.65</v>
      </c>
      <c r="T47" s="228">
        <v>-1.1000000000000001</v>
      </c>
      <c r="U47" s="229">
        <v>-2.3E-3</v>
      </c>
      <c r="V47" s="228">
        <v>481.05</v>
      </c>
      <c r="W47" s="228">
        <v>482</v>
      </c>
      <c r="X47" s="228">
        <v>-0.95</v>
      </c>
      <c r="Y47" s="229">
        <v>-2E-3</v>
      </c>
      <c r="Z47" s="228">
        <v>1.25</v>
      </c>
      <c r="AA47" s="228">
        <v>2.2999999999999998</v>
      </c>
      <c r="AB47" s="228">
        <v>-1.05</v>
      </c>
      <c r="AC47" s="229">
        <v>2.5999999999999999E-3</v>
      </c>
      <c r="AD47" s="228">
        <v>1.25</v>
      </c>
      <c r="AE47" s="228">
        <v>2.2999999999999998</v>
      </c>
      <c r="AF47" s="228">
        <v>-1.05</v>
      </c>
      <c r="AG47" s="229">
        <v>2.5999999999999999E-3</v>
      </c>
      <c r="AH47" s="228">
        <v>0.6</v>
      </c>
      <c r="AI47" s="228">
        <v>0.2</v>
      </c>
      <c r="AJ47" s="228">
        <v>0.4</v>
      </c>
      <c r="AK47" s="229">
        <v>1.2999999999999999E-3</v>
      </c>
      <c r="AL47" s="228">
        <v>1.1000000000000001</v>
      </c>
      <c r="AM47" s="228">
        <v>0.55000000000000004</v>
      </c>
      <c r="AN47" s="228">
        <v>0.55000000000000004</v>
      </c>
      <c r="AO47" s="229">
        <v>2.3E-3</v>
      </c>
      <c r="AP47" s="228">
        <v>482.64</v>
      </c>
      <c r="AQ47" s="228">
        <v>481.07</v>
      </c>
      <c r="AR47" s="228">
        <v>0</v>
      </c>
      <c r="AS47" s="228">
        <v>375</v>
      </c>
      <c r="AT47" s="228">
        <v>659</v>
      </c>
      <c r="AU47" s="228">
        <v>-284</v>
      </c>
      <c r="AV47" s="229">
        <v>-0.43130000000000002</v>
      </c>
      <c r="AW47" s="228">
        <v>344</v>
      </c>
      <c r="AX47" s="228">
        <v>626</v>
      </c>
      <c r="AY47" s="228">
        <v>-282</v>
      </c>
      <c r="AZ47" s="229">
        <v>-0.45090000000000002</v>
      </c>
      <c r="BA47" s="228">
        <v>28</v>
      </c>
      <c r="BB47" s="228">
        <v>28</v>
      </c>
      <c r="BC47" s="228">
        <v>0</v>
      </c>
      <c r="BD47" s="229">
        <v>-1.15E-2</v>
      </c>
      <c r="BE47" s="228">
        <v>3</v>
      </c>
      <c r="BF47" s="228">
        <v>5</v>
      </c>
      <c r="BG47" s="228">
        <v>-2</v>
      </c>
      <c r="BH47" s="229">
        <v>-0.34289999999999998</v>
      </c>
      <c r="BI47" s="230">
        <v>1353</v>
      </c>
      <c r="BJ47" s="230">
        <v>3317</v>
      </c>
      <c r="BK47" s="230">
        <v>-1964</v>
      </c>
      <c r="BL47" s="229">
        <v>-0.59209999999999996</v>
      </c>
      <c r="BM47" s="228">
        <v>966</v>
      </c>
      <c r="BN47" s="230">
        <v>1511</v>
      </c>
      <c r="BO47" s="228">
        <v>-545</v>
      </c>
      <c r="BP47" s="229">
        <v>-0.3604</v>
      </c>
      <c r="BQ47" s="230">
        <v>2694</v>
      </c>
      <c r="BR47" s="230">
        <v>5487</v>
      </c>
      <c r="BS47" s="230">
        <v>-2792</v>
      </c>
      <c r="BT47" s="229">
        <v>-0.50900000000000001</v>
      </c>
      <c r="BU47" s="230">
        <v>8046334</v>
      </c>
      <c r="BV47" s="230">
        <v>18123375</v>
      </c>
      <c r="BW47" s="230">
        <v>-10077041</v>
      </c>
      <c r="BX47" s="229">
        <v>-0.55600000000000005</v>
      </c>
      <c r="BY47" s="230">
        <v>2523</v>
      </c>
      <c r="BZ47" s="230">
        <v>2540</v>
      </c>
      <c r="CA47" s="228">
        <v>-17</v>
      </c>
      <c r="CB47" s="229">
        <v>-6.6E-3</v>
      </c>
      <c r="CC47" s="230">
        <v>2432</v>
      </c>
      <c r="CD47" s="230">
        <v>2458</v>
      </c>
      <c r="CE47" s="228">
        <v>-26</v>
      </c>
      <c r="CF47" s="229">
        <v>-1.0500000000000001E-2</v>
      </c>
      <c r="CG47" s="228">
        <v>87</v>
      </c>
      <c r="CH47" s="228">
        <v>78</v>
      </c>
      <c r="CI47" s="228">
        <v>8</v>
      </c>
      <c r="CJ47" s="229">
        <v>0.10630000000000001</v>
      </c>
      <c r="CK47" s="228">
        <v>4</v>
      </c>
      <c r="CL47" s="228">
        <v>3</v>
      </c>
      <c r="CM47" s="228">
        <v>1</v>
      </c>
      <c r="CN47" s="229">
        <v>0.24529999999999999</v>
      </c>
      <c r="CO47" s="230">
        <v>1252</v>
      </c>
      <c r="CP47" s="230">
        <v>1218</v>
      </c>
      <c r="CQ47" s="228">
        <v>34</v>
      </c>
      <c r="CR47" s="229">
        <v>2.8000000000000001E-2</v>
      </c>
      <c r="CS47" s="228">
        <v>854</v>
      </c>
      <c r="CT47" s="228">
        <v>869</v>
      </c>
      <c r="CU47" s="228">
        <v>-14</v>
      </c>
      <c r="CV47" s="229">
        <v>-1.6500000000000001E-2</v>
      </c>
      <c r="CW47" s="230">
        <v>4629</v>
      </c>
      <c r="CX47" s="230">
        <v>4626</v>
      </c>
      <c r="CY47" s="228">
        <v>3</v>
      </c>
      <c r="CZ47" s="229">
        <v>6.9999999999999999E-4</v>
      </c>
      <c r="DA47" s="228">
        <v>27.44</v>
      </c>
      <c r="DB47" s="228">
        <v>26.14</v>
      </c>
      <c r="DC47" s="228">
        <v>1.3</v>
      </c>
      <c r="DD47" s="228">
        <v>1.3</v>
      </c>
      <c r="DE47" s="228">
        <v>31.12</v>
      </c>
      <c r="DF47" s="228">
        <v>31.19</v>
      </c>
      <c r="DG47" s="228">
        <v>-3.68</v>
      </c>
      <c r="DH47" s="228">
        <v>-7.0000000000000007E-2</v>
      </c>
      <c r="DI47" s="228">
        <v>27.03</v>
      </c>
      <c r="DJ47" s="228">
        <v>26.05</v>
      </c>
      <c r="DK47" s="228">
        <v>0.98</v>
      </c>
      <c r="DL47" s="228">
        <v>0.98</v>
      </c>
      <c r="DM47" s="228">
        <v>28.03</v>
      </c>
      <c r="DN47" s="228">
        <v>26.35</v>
      </c>
      <c r="DO47" s="228">
        <v>1.68</v>
      </c>
      <c r="DP47" s="228">
        <v>1.68</v>
      </c>
      <c r="DQ47" s="228">
        <v>0.68</v>
      </c>
      <c r="DR47" s="228">
        <v>0.71</v>
      </c>
      <c r="DS47" s="228">
        <v>-0.03</v>
      </c>
      <c r="DT47" s="229">
        <v>-4.2299999999999997E-2</v>
      </c>
      <c r="DU47" s="228">
        <v>500</v>
      </c>
      <c r="DV47" s="228">
        <v>450</v>
      </c>
      <c r="DW47" s="228">
        <v>0.71</v>
      </c>
      <c r="DX47" s="228">
        <v>0.46</v>
      </c>
      <c r="DY47" s="228">
        <v>0.25</v>
      </c>
      <c r="DZ47" s="229">
        <v>0.54349999999999998</v>
      </c>
      <c r="EA47" s="229">
        <v>3.5999999999999997E-2</v>
      </c>
      <c r="EB47" s="230">
        <v>1696950</v>
      </c>
      <c r="EC47" s="229">
        <v>-1.4E-3</v>
      </c>
      <c r="ED47" s="229">
        <v>3.5999999999999997E-2</v>
      </c>
      <c r="EE47" s="228">
        <v>-1.57</v>
      </c>
      <c r="EF47" s="229">
        <v>-3.3E-3</v>
      </c>
      <c r="EG47" s="230">
        <v>4566111</v>
      </c>
      <c r="EH47" s="230">
        <v>7429338</v>
      </c>
      <c r="EI47" s="229">
        <v>-0.38540000000000002</v>
      </c>
      <c r="EJ47" s="229">
        <v>0.5675</v>
      </c>
      <c r="EK47" s="231">
        <v>1422.13</v>
      </c>
      <c r="EL47" s="228">
        <v>943.5</v>
      </c>
      <c r="EM47" s="228">
        <v>375.79</v>
      </c>
      <c r="EN47" s="228">
        <v>215.51</v>
      </c>
      <c r="EO47" s="231">
        <v>2741.42</v>
      </c>
      <c r="EP47" s="231">
        <v>5660.03</v>
      </c>
      <c r="EQ47" s="231">
        <v>-2918.61</v>
      </c>
      <c r="ER47" s="229">
        <v>-0.51570000000000005</v>
      </c>
      <c r="ES47" s="231">
        <v>1277.25</v>
      </c>
      <c r="ET47" s="228">
        <v>803.28</v>
      </c>
      <c r="EU47" s="231">
        <v>2523.14</v>
      </c>
      <c r="EV47" s="231">
        <v>320531323</v>
      </c>
      <c r="EW47" s="231">
        <v>4603.66</v>
      </c>
      <c r="EX47" s="231">
        <v>4607.67</v>
      </c>
      <c r="EY47" s="228">
        <v>-4.01</v>
      </c>
      <c r="EZ47" s="229">
        <v>-8.9999999999999998E-4</v>
      </c>
      <c r="FA47" s="229">
        <v>0.30009999999999998</v>
      </c>
      <c r="FB47" s="227" t="s">
        <v>567</v>
      </c>
      <c r="FC47">
        <f t="shared" si="0"/>
        <v>91</v>
      </c>
    </row>
    <row r="48" spans="1:159" ht="17.25" thickBot="1" x14ac:dyDescent="0.3">
      <c r="A48" s="226">
        <v>46146</v>
      </c>
      <c r="B48" s="227" t="s">
        <v>215</v>
      </c>
      <c r="C48" s="227" t="s">
        <v>694</v>
      </c>
      <c r="D48" s="228">
        <v>400</v>
      </c>
      <c r="E48" s="228">
        <v>22</v>
      </c>
      <c r="F48" s="231">
        <v>1729.2</v>
      </c>
      <c r="G48" s="231">
        <v>1739.8</v>
      </c>
      <c r="H48" s="228">
        <v>-10.6</v>
      </c>
      <c r="I48" s="229">
        <v>-6.1000000000000004E-3</v>
      </c>
      <c r="J48" s="231">
        <v>1719.3</v>
      </c>
      <c r="K48" s="231">
        <v>1733.4</v>
      </c>
      <c r="L48" s="228">
        <v>-14.1</v>
      </c>
      <c r="M48" s="229">
        <v>-8.0999999999999996E-3</v>
      </c>
      <c r="N48" s="231">
        <v>1729.2</v>
      </c>
      <c r="O48" s="231">
        <v>1739.8</v>
      </c>
      <c r="P48" s="228">
        <v>-10.6</v>
      </c>
      <c r="Q48" s="229">
        <v>-6.1000000000000004E-3</v>
      </c>
      <c r="R48" s="231">
        <v>1734</v>
      </c>
      <c r="S48" s="231">
        <v>1745.4</v>
      </c>
      <c r="T48" s="228">
        <v>-11.4</v>
      </c>
      <c r="U48" s="229">
        <v>-6.4999999999999997E-3</v>
      </c>
      <c r="V48" s="231">
        <v>1756.3</v>
      </c>
      <c r="W48" s="231">
        <v>1750.3</v>
      </c>
      <c r="X48" s="228">
        <v>6</v>
      </c>
      <c r="Y48" s="229">
        <v>3.3999999999999998E-3</v>
      </c>
      <c r="Z48" s="228">
        <v>9.9</v>
      </c>
      <c r="AA48" s="228">
        <v>6.4</v>
      </c>
      <c r="AB48" s="228">
        <v>3.5</v>
      </c>
      <c r="AC48" s="229">
        <v>5.7999999999999996E-3</v>
      </c>
      <c r="AD48" s="228">
        <v>9.9</v>
      </c>
      <c r="AE48" s="228">
        <v>6.4</v>
      </c>
      <c r="AF48" s="228">
        <v>3.5</v>
      </c>
      <c r="AG48" s="229">
        <v>5.7999999999999996E-3</v>
      </c>
      <c r="AH48" s="228">
        <v>14.7</v>
      </c>
      <c r="AI48" s="228">
        <v>12</v>
      </c>
      <c r="AJ48" s="228">
        <v>2.7</v>
      </c>
      <c r="AK48" s="229">
        <v>8.5000000000000006E-3</v>
      </c>
      <c r="AL48" s="228">
        <v>37</v>
      </c>
      <c r="AM48" s="228">
        <v>16.899999999999999</v>
      </c>
      <c r="AN48" s="228">
        <v>20.100000000000001</v>
      </c>
      <c r="AO48" s="229">
        <v>2.1499999999999998E-2</v>
      </c>
      <c r="AP48" s="231">
        <v>1721.3</v>
      </c>
      <c r="AQ48" s="231">
        <v>1723.35</v>
      </c>
      <c r="AR48" s="228">
        <v>0</v>
      </c>
      <c r="AS48" s="228">
        <v>157</v>
      </c>
      <c r="AT48" s="228">
        <v>142</v>
      </c>
      <c r="AU48" s="228">
        <v>14</v>
      </c>
      <c r="AV48" s="229">
        <v>9.8500000000000004E-2</v>
      </c>
      <c r="AW48" s="228">
        <v>152</v>
      </c>
      <c r="AX48" s="228">
        <v>136</v>
      </c>
      <c r="AY48" s="228">
        <v>17</v>
      </c>
      <c r="AZ48" s="229">
        <v>0.124</v>
      </c>
      <c r="BA48" s="228">
        <v>4</v>
      </c>
      <c r="BB48" s="228">
        <v>6</v>
      </c>
      <c r="BC48" s="228">
        <v>-2</v>
      </c>
      <c r="BD48" s="229">
        <v>-0.3977</v>
      </c>
      <c r="BE48" s="228">
        <v>0</v>
      </c>
      <c r="BF48" s="228">
        <v>1</v>
      </c>
      <c r="BG48" s="228">
        <v>0</v>
      </c>
      <c r="BH48" s="229">
        <v>-0.41670000000000001</v>
      </c>
      <c r="BI48" s="228">
        <v>211</v>
      </c>
      <c r="BJ48" s="228">
        <v>198</v>
      </c>
      <c r="BK48" s="228">
        <v>13</v>
      </c>
      <c r="BL48" s="229">
        <v>6.5000000000000002E-2</v>
      </c>
      <c r="BM48" s="228">
        <v>81</v>
      </c>
      <c r="BN48" s="228">
        <v>117</v>
      </c>
      <c r="BO48" s="228">
        <v>-36</v>
      </c>
      <c r="BP48" s="229">
        <v>-0.30809999999999998</v>
      </c>
      <c r="BQ48" s="228">
        <v>448</v>
      </c>
      <c r="BR48" s="228">
        <v>457</v>
      </c>
      <c r="BS48" s="228">
        <v>-9</v>
      </c>
      <c r="BT48" s="229">
        <v>-0.02</v>
      </c>
      <c r="BU48" s="230">
        <v>2188924</v>
      </c>
      <c r="BV48" s="230">
        <v>2185274</v>
      </c>
      <c r="BW48" s="230">
        <v>3650</v>
      </c>
      <c r="BX48" s="229">
        <v>1.6999999999999999E-3</v>
      </c>
      <c r="BY48" s="228">
        <v>432</v>
      </c>
      <c r="BZ48" s="228">
        <v>433</v>
      </c>
      <c r="CA48" s="228">
        <v>-1</v>
      </c>
      <c r="CB48" s="229">
        <v>-2.3999999999999998E-3</v>
      </c>
      <c r="CC48" s="228">
        <v>416</v>
      </c>
      <c r="CD48" s="228">
        <v>418</v>
      </c>
      <c r="CE48" s="228">
        <v>-2</v>
      </c>
      <c r="CF48" s="229">
        <v>-4.0000000000000001E-3</v>
      </c>
      <c r="CG48" s="228">
        <v>15</v>
      </c>
      <c r="CH48" s="228">
        <v>14</v>
      </c>
      <c r="CI48" s="228">
        <v>0</v>
      </c>
      <c r="CJ48" s="229">
        <v>2.3900000000000001E-2</v>
      </c>
      <c r="CK48" s="228">
        <v>1</v>
      </c>
      <c r="CL48" s="228">
        <v>1</v>
      </c>
      <c r="CM48" s="228">
        <v>0</v>
      </c>
      <c r="CN48" s="229">
        <v>0.30769999999999997</v>
      </c>
      <c r="CO48" s="228">
        <v>204</v>
      </c>
      <c r="CP48" s="228">
        <v>192</v>
      </c>
      <c r="CQ48" s="228">
        <v>12</v>
      </c>
      <c r="CR48" s="229">
        <v>6.2300000000000001E-2</v>
      </c>
      <c r="CS48" s="228">
        <v>136</v>
      </c>
      <c r="CT48" s="228">
        <v>132</v>
      </c>
      <c r="CU48" s="228">
        <v>5</v>
      </c>
      <c r="CV48" s="229">
        <v>3.5799999999999998E-2</v>
      </c>
      <c r="CW48" s="228">
        <v>772</v>
      </c>
      <c r="CX48" s="228">
        <v>757</v>
      </c>
      <c r="CY48" s="228">
        <v>16</v>
      </c>
      <c r="CZ48" s="229">
        <v>2.07E-2</v>
      </c>
      <c r="DA48" s="228">
        <v>51.76</v>
      </c>
      <c r="DB48" s="228">
        <v>49.89</v>
      </c>
      <c r="DC48" s="228">
        <v>1.87</v>
      </c>
      <c r="DD48" s="228">
        <v>1.87</v>
      </c>
      <c r="DE48" s="228">
        <v>54.43</v>
      </c>
      <c r="DF48" s="228">
        <v>54.55</v>
      </c>
      <c r="DG48" s="228">
        <v>-2.67</v>
      </c>
      <c r="DH48" s="228">
        <v>-0.12</v>
      </c>
      <c r="DI48" s="228">
        <v>51.75</v>
      </c>
      <c r="DJ48" s="228">
        <v>49.82</v>
      </c>
      <c r="DK48" s="228">
        <v>1.93</v>
      </c>
      <c r="DL48" s="228">
        <v>1.93</v>
      </c>
      <c r="DM48" s="228">
        <v>51.8</v>
      </c>
      <c r="DN48" s="228">
        <v>50</v>
      </c>
      <c r="DO48" s="228">
        <v>1.8</v>
      </c>
      <c r="DP48" s="228">
        <v>1.8</v>
      </c>
      <c r="DQ48" s="228">
        <v>0.67</v>
      </c>
      <c r="DR48" s="228">
        <v>0.69</v>
      </c>
      <c r="DS48" s="228">
        <v>-0.02</v>
      </c>
      <c r="DT48" s="229">
        <v>-2.9000000000000001E-2</v>
      </c>
      <c r="DU48" s="231">
        <v>1900</v>
      </c>
      <c r="DV48" s="231">
        <v>1600</v>
      </c>
      <c r="DW48" s="228">
        <v>0.38</v>
      </c>
      <c r="DX48" s="228">
        <v>0.59</v>
      </c>
      <c r="DY48" s="228">
        <v>-0.21</v>
      </c>
      <c r="DZ48" s="229">
        <v>-0.35589999999999999</v>
      </c>
      <c r="EA48" s="229">
        <v>3.6999999999999998E-2</v>
      </c>
      <c r="EB48" s="230">
        <v>88800</v>
      </c>
      <c r="EC48" s="229">
        <v>2.8E-3</v>
      </c>
      <c r="ED48" s="229">
        <v>3.6999999999999998E-2</v>
      </c>
      <c r="EE48" s="228">
        <v>2.0499999999999998</v>
      </c>
      <c r="EF48" s="229">
        <v>1.1999999999999999E-3</v>
      </c>
      <c r="EG48" s="230">
        <v>544357</v>
      </c>
      <c r="EH48" s="230">
        <v>574745</v>
      </c>
      <c r="EI48" s="229">
        <v>-5.2900000000000003E-2</v>
      </c>
      <c r="EJ48" s="229">
        <v>0.2487</v>
      </c>
      <c r="EK48" s="228">
        <v>225.65</v>
      </c>
      <c r="EL48" s="228">
        <v>78.790000000000006</v>
      </c>
      <c r="EM48" s="228">
        <v>155.82</v>
      </c>
      <c r="EN48" s="228">
        <v>43.37</v>
      </c>
      <c r="EO48" s="228">
        <v>460.26</v>
      </c>
      <c r="EP48" s="228">
        <v>470.96</v>
      </c>
      <c r="EQ48" s="228">
        <v>-10.7</v>
      </c>
      <c r="ER48" s="229">
        <v>-2.2700000000000001E-2</v>
      </c>
      <c r="ES48" s="228">
        <v>210.1</v>
      </c>
      <c r="ET48" s="228">
        <v>126.16</v>
      </c>
      <c r="EU48" s="228">
        <v>432.22</v>
      </c>
      <c r="EV48" s="231">
        <v>12661431</v>
      </c>
      <c r="EW48" s="228">
        <v>768.48</v>
      </c>
      <c r="EX48" s="228">
        <v>755.71</v>
      </c>
      <c r="EY48" s="228">
        <v>12.77</v>
      </c>
      <c r="EZ48" s="229">
        <v>1.6899999999999998E-2</v>
      </c>
      <c r="FA48" s="229">
        <v>0.3528</v>
      </c>
      <c r="FB48" s="227" t="s">
        <v>567</v>
      </c>
      <c r="FC48">
        <f t="shared" si="0"/>
        <v>16</v>
      </c>
    </row>
    <row r="49" spans="1:159" ht="17.25" thickBot="1" x14ac:dyDescent="0.3">
      <c r="A49" s="226">
        <v>46146</v>
      </c>
      <c r="B49" s="227" t="s">
        <v>221</v>
      </c>
      <c r="C49" s="227" t="s">
        <v>470</v>
      </c>
      <c r="D49" s="228">
        <v>375</v>
      </c>
      <c r="E49" s="228">
        <v>22</v>
      </c>
      <c r="F49" s="231">
        <v>1154.8</v>
      </c>
      <c r="G49" s="231">
        <v>1194.4000000000001</v>
      </c>
      <c r="H49" s="228">
        <v>-39.6</v>
      </c>
      <c r="I49" s="229">
        <v>-3.32E-2</v>
      </c>
      <c r="J49" s="231">
        <v>1151.5999999999999</v>
      </c>
      <c r="K49" s="231">
        <v>1195.9000000000001</v>
      </c>
      <c r="L49" s="228">
        <v>-44.3</v>
      </c>
      <c r="M49" s="229">
        <v>-3.6999999999999998E-2</v>
      </c>
      <c r="N49" s="231">
        <v>1154.8</v>
      </c>
      <c r="O49" s="231">
        <v>1194.4000000000001</v>
      </c>
      <c r="P49" s="228">
        <v>-39.6</v>
      </c>
      <c r="Q49" s="229">
        <v>-3.32E-2</v>
      </c>
      <c r="R49" s="231">
        <v>1159.0999999999999</v>
      </c>
      <c r="S49" s="231">
        <v>1199.5999999999999</v>
      </c>
      <c r="T49" s="228">
        <v>-40.5</v>
      </c>
      <c r="U49" s="229">
        <v>-3.3799999999999997E-2</v>
      </c>
      <c r="V49" s="231">
        <v>1167</v>
      </c>
      <c r="W49" s="231">
        <v>1207</v>
      </c>
      <c r="X49" s="228">
        <v>-40</v>
      </c>
      <c r="Y49" s="229">
        <v>-3.3099999999999997E-2</v>
      </c>
      <c r="Z49" s="228">
        <v>3.2</v>
      </c>
      <c r="AA49" s="228">
        <v>-1.5</v>
      </c>
      <c r="AB49" s="228">
        <v>4.7</v>
      </c>
      <c r="AC49" s="229">
        <v>2.8E-3</v>
      </c>
      <c r="AD49" s="228">
        <v>3.2</v>
      </c>
      <c r="AE49" s="228">
        <v>-1.5</v>
      </c>
      <c r="AF49" s="228">
        <v>4.7</v>
      </c>
      <c r="AG49" s="229">
        <v>2.8E-3</v>
      </c>
      <c r="AH49" s="228">
        <v>7.5</v>
      </c>
      <c r="AI49" s="228">
        <v>3.7</v>
      </c>
      <c r="AJ49" s="228">
        <v>3.8</v>
      </c>
      <c r="AK49" s="229">
        <v>6.4999999999999997E-3</v>
      </c>
      <c r="AL49" s="228">
        <v>15.4</v>
      </c>
      <c r="AM49" s="228">
        <v>11.1</v>
      </c>
      <c r="AN49" s="228">
        <v>4.3</v>
      </c>
      <c r="AO49" s="229">
        <v>1.34E-2</v>
      </c>
      <c r="AP49" s="231">
        <v>1165.5999999999999</v>
      </c>
      <c r="AQ49" s="231">
        <v>1169.81</v>
      </c>
      <c r="AR49" s="228">
        <v>0</v>
      </c>
      <c r="AS49" s="228">
        <v>284</v>
      </c>
      <c r="AT49" s="228">
        <v>247</v>
      </c>
      <c r="AU49" s="228">
        <v>38</v>
      </c>
      <c r="AV49" s="229">
        <v>0.1525</v>
      </c>
      <c r="AW49" s="228">
        <v>268</v>
      </c>
      <c r="AX49" s="228">
        <v>226</v>
      </c>
      <c r="AY49" s="228">
        <v>42</v>
      </c>
      <c r="AZ49" s="229">
        <v>0.184</v>
      </c>
      <c r="BA49" s="228">
        <v>15</v>
      </c>
      <c r="BB49" s="228">
        <v>20</v>
      </c>
      <c r="BC49" s="228">
        <v>-6</v>
      </c>
      <c r="BD49" s="229">
        <v>-0.28089999999999998</v>
      </c>
      <c r="BE49" s="228">
        <v>2</v>
      </c>
      <c r="BF49" s="228">
        <v>0</v>
      </c>
      <c r="BG49" s="228">
        <v>2</v>
      </c>
      <c r="BH49" s="229">
        <v>8</v>
      </c>
      <c r="BI49" s="230">
        <v>1087</v>
      </c>
      <c r="BJ49" s="228">
        <v>311</v>
      </c>
      <c r="BK49" s="228">
        <v>776</v>
      </c>
      <c r="BL49" s="229">
        <v>2.4992999999999999</v>
      </c>
      <c r="BM49" s="228">
        <v>629</v>
      </c>
      <c r="BN49" s="228">
        <v>262</v>
      </c>
      <c r="BO49" s="228">
        <v>366</v>
      </c>
      <c r="BP49" s="229">
        <v>1.3972</v>
      </c>
      <c r="BQ49" s="230">
        <v>2000</v>
      </c>
      <c r="BR49" s="228">
        <v>820</v>
      </c>
      <c r="BS49" s="230">
        <v>1180</v>
      </c>
      <c r="BT49" s="229">
        <v>1.4400999999999999</v>
      </c>
      <c r="BU49" s="230">
        <v>2264328</v>
      </c>
      <c r="BV49" s="230">
        <v>1464606</v>
      </c>
      <c r="BW49" s="230">
        <v>799722</v>
      </c>
      <c r="BX49" s="229">
        <v>0.54600000000000004</v>
      </c>
      <c r="BY49" s="230">
        <v>2180</v>
      </c>
      <c r="BZ49" s="230">
        <v>2197</v>
      </c>
      <c r="CA49" s="228">
        <v>-17</v>
      </c>
      <c r="CB49" s="229">
        <v>-7.7000000000000002E-3</v>
      </c>
      <c r="CC49" s="230">
        <v>2117</v>
      </c>
      <c r="CD49" s="230">
        <v>2141</v>
      </c>
      <c r="CE49" s="228">
        <v>-24</v>
      </c>
      <c r="CF49" s="229">
        <v>-1.0999999999999999E-2</v>
      </c>
      <c r="CG49" s="228">
        <v>60</v>
      </c>
      <c r="CH49" s="228">
        <v>55</v>
      </c>
      <c r="CI49" s="228">
        <v>5</v>
      </c>
      <c r="CJ49" s="229">
        <v>9.2600000000000002E-2</v>
      </c>
      <c r="CK49" s="228">
        <v>2</v>
      </c>
      <c r="CL49" s="228">
        <v>0</v>
      </c>
      <c r="CM49" s="228">
        <v>1</v>
      </c>
      <c r="CN49" s="229">
        <v>3</v>
      </c>
      <c r="CO49" s="228">
        <v>727</v>
      </c>
      <c r="CP49" s="228">
        <v>633</v>
      </c>
      <c r="CQ49" s="228">
        <v>94</v>
      </c>
      <c r="CR49" s="229">
        <v>0.14810000000000001</v>
      </c>
      <c r="CS49" s="228">
        <v>444</v>
      </c>
      <c r="CT49" s="228">
        <v>402</v>
      </c>
      <c r="CU49" s="228">
        <v>42</v>
      </c>
      <c r="CV49" s="229">
        <v>0.105</v>
      </c>
      <c r="CW49" s="230">
        <v>3351</v>
      </c>
      <c r="CX49" s="230">
        <v>3232</v>
      </c>
      <c r="CY49" s="228">
        <v>119</v>
      </c>
      <c r="CZ49" s="229">
        <v>3.6799999999999999E-2</v>
      </c>
      <c r="DA49" s="228">
        <v>49.06</v>
      </c>
      <c r="DB49" s="228">
        <v>45.55</v>
      </c>
      <c r="DC49" s="228">
        <v>3.51</v>
      </c>
      <c r="DD49" s="228">
        <v>3.51</v>
      </c>
      <c r="DE49" s="228">
        <v>44.1</v>
      </c>
      <c r="DF49" s="228">
        <v>43.92</v>
      </c>
      <c r="DG49" s="228">
        <v>4.96</v>
      </c>
      <c r="DH49" s="228">
        <v>0.18</v>
      </c>
      <c r="DI49" s="228">
        <v>48.86</v>
      </c>
      <c r="DJ49" s="228">
        <v>45.06</v>
      </c>
      <c r="DK49" s="228">
        <v>3.8</v>
      </c>
      <c r="DL49" s="228">
        <v>3.8</v>
      </c>
      <c r="DM49" s="228">
        <v>49.41</v>
      </c>
      <c r="DN49" s="228">
        <v>46.13</v>
      </c>
      <c r="DO49" s="228">
        <v>3.28</v>
      </c>
      <c r="DP49" s="228">
        <v>3.28</v>
      </c>
      <c r="DQ49" s="228">
        <v>0.61</v>
      </c>
      <c r="DR49" s="228">
        <v>0.63</v>
      </c>
      <c r="DS49" s="228">
        <v>-0.02</v>
      </c>
      <c r="DT49" s="229">
        <v>-3.1699999999999999E-2</v>
      </c>
      <c r="DU49" s="231">
        <v>1200</v>
      </c>
      <c r="DV49" s="231">
        <v>1100</v>
      </c>
      <c r="DW49" s="228">
        <v>0.57999999999999996</v>
      </c>
      <c r="DX49" s="228">
        <v>0.84</v>
      </c>
      <c r="DY49" s="228">
        <v>-0.26</v>
      </c>
      <c r="DZ49" s="229">
        <v>-0.3095</v>
      </c>
      <c r="EA49" s="229">
        <v>2.86E-2</v>
      </c>
      <c r="EB49" s="230">
        <v>482025</v>
      </c>
      <c r="EC49" s="229">
        <v>3.7000000000000002E-3</v>
      </c>
      <c r="ED49" s="229">
        <v>2.86E-2</v>
      </c>
      <c r="EE49" s="228">
        <v>4.21</v>
      </c>
      <c r="EF49" s="229">
        <v>3.5999999999999999E-3</v>
      </c>
      <c r="EG49" s="230">
        <v>1110505</v>
      </c>
      <c r="EH49" s="230">
        <v>583023</v>
      </c>
      <c r="EI49" s="229">
        <v>0.90469999999999995</v>
      </c>
      <c r="EJ49" s="229">
        <v>0.4904</v>
      </c>
      <c r="EK49" s="231">
        <v>1211</v>
      </c>
      <c r="EL49" s="228">
        <v>631.9</v>
      </c>
      <c r="EM49" s="228">
        <v>287.64</v>
      </c>
      <c r="EN49" s="228">
        <v>161.97</v>
      </c>
      <c r="EO49" s="231">
        <v>2130.54</v>
      </c>
      <c r="EP49" s="228">
        <v>871.11</v>
      </c>
      <c r="EQ49" s="231">
        <v>1259.43</v>
      </c>
      <c r="ER49" s="229">
        <v>1.4458</v>
      </c>
      <c r="ES49" s="228">
        <v>793.77</v>
      </c>
      <c r="ET49" s="228">
        <v>454.02</v>
      </c>
      <c r="EU49" s="231">
        <v>2179.86</v>
      </c>
      <c r="EV49" s="231">
        <v>50256271</v>
      </c>
      <c r="EW49" s="231">
        <v>3427.64</v>
      </c>
      <c r="EX49" s="231">
        <v>3380.58</v>
      </c>
      <c r="EY49" s="228">
        <v>47.06</v>
      </c>
      <c r="EZ49" s="229">
        <v>1.3899999999999999E-2</v>
      </c>
      <c r="FA49" s="229">
        <v>0.57730000000000004</v>
      </c>
      <c r="FB49" s="227" t="s">
        <v>567</v>
      </c>
      <c r="FC49">
        <f t="shared" si="0"/>
        <v>63</v>
      </c>
    </row>
    <row r="50" spans="1:159" ht="17.25" thickBot="1" x14ac:dyDescent="0.3">
      <c r="A50" s="226">
        <v>46146</v>
      </c>
      <c r="B50" s="227" t="s">
        <v>168</v>
      </c>
      <c r="C50" s="227" t="s">
        <v>201</v>
      </c>
      <c r="D50" s="228">
        <v>225</v>
      </c>
      <c r="E50" s="228">
        <v>22</v>
      </c>
      <c r="F50" s="231">
        <v>2169.3000000000002</v>
      </c>
      <c r="G50" s="231">
        <v>2091.6</v>
      </c>
      <c r="H50" s="228">
        <v>77.7</v>
      </c>
      <c r="I50" s="229">
        <v>3.7100000000000001E-2</v>
      </c>
      <c r="J50" s="231">
        <v>2172.9</v>
      </c>
      <c r="K50" s="231">
        <v>2096.1999999999998</v>
      </c>
      <c r="L50" s="228">
        <v>76.7</v>
      </c>
      <c r="M50" s="229">
        <v>3.6600000000000001E-2</v>
      </c>
      <c r="N50" s="231">
        <v>2169.3000000000002</v>
      </c>
      <c r="O50" s="231">
        <v>2091.6</v>
      </c>
      <c r="P50" s="228">
        <v>77.7</v>
      </c>
      <c r="Q50" s="229">
        <v>3.7100000000000001E-2</v>
      </c>
      <c r="R50" s="231">
        <v>2163.6</v>
      </c>
      <c r="S50" s="231">
        <v>2085.5</v>
      </c>
      <c r="T50" s="228">
        <v>78.099999999999994</v>
      </c>
      <c r="U50" s="229">
        <v>3.7400000000000003E-2</v>
      </c>
      <c r="V50" s="231">
        <v>2166.8000000000002</v>
      </c>
      <c r="W50" s="231">
        <v>2087</v>
      </c>
      <c r="X50" s="228">
        <v>79.8</v>
      </c>
      <c r="Y50" s="229">
        <v>3.8199999999999998E-2</v>
      </c>
      <c r="Z50" s="228">
        <v>-3.6</v>
      </c>
      <c r="AA50" s="228">
        <v>-4.5999999999999996</v>
      </c>
      <c r="AB50" s="228">
        <v>1</v>
      </c>
      <c r="AC50" s="229">
        <v>-1.6999999999999999E-3</v>
      </c>
      <c r="AD50" s="228">
        <v>-3.6</v>
      </c>
      <c r="AE50" s="228">
        <v>-4.5999999999999996</v>
      </c>
      <c r="AF50" s="228">
        <v>1</v>
      </c>
      <c r="AG50" s="229">
        <v>-1.6999999999999999E-3</v>
      </c>
      <c r="AH50" s="228">
        <v>-9.3000000000000007</v>
      </c>
      <c r="AI50" s="228">
        <v>-10.7</v>
      </c>
      <c r="AJ50" s="228">
        <v>1.4</v>
      </c>
      <c r="AK50" s="229">
        <v>-4.3E-3</v>
      </c>
      <c r="AL50" s="228">
        <v>-6.1</v>
      </c>
      <c r="AM50" s="228">
        <v>-9.1999999999999993</v>
      </c>
      <c r="AN50" s="228">
        <v>3.1</v>
      </c>
      <c r="AO50" s="229">
        <v>-2.8E-3</v>
      </c>
      <c r="AP50" s="231">
        <v>2160.98</v>
      </c>
      <c r="AQ50" s="231">
        <v>2157.73</v>
      </c>
      <c r="AR50" s="228">
        <v>0</v>
      </c>
      <c r="AS50" s="228">
        <v>265</v>
      </c>
      <c r="AT50" s="228">
        <v>183</v>
      </c>
      <c r="AU50" s="228">
        <v>82</v>
      </c>
      <c r="AV50" s="229">
        <v>0.4501</v>
      </c>
      <c r="AW50" s="228">
        <v>249</v>
      </c>
      <c r="AX50" s="228">
        <v>174</v>
      </c>
      <c r="AY50" s="228">
        <v>74</v>
      </c>
      <c r="AZ50" s="229">
        <v>0.4264</v>
      </c>
      <c r="BA50" s="228">
        <v>15</v>
      </c>
      <c r="BB50" s="228">
        <v>8</v>
      </c>
      <c r="BC50" s="228">
        <v>7</v>
      </c>
      <c r="BD50" s="229">
        <v>0.9304</v>
      </c>
      <c r="BE50" s="228">
        <v>1</v>
      </c>
      <c r="BF50" s="228">
        <v>1</v>
      </c>
      <c r="BG50" s="228">
        <v>1</v>
      </c>
      <c r="BH50" s="229">
        <v>1.1667000000000001</v>
      </c>
      <c r="BI50" s="228">
        <v>575</v>
      </c>
      <c r="BJ50" s="228">
        <v>279</v>
      </c>
      <c r="BK50" s="228">
        <v>296</v>
      </c>
      <c r="BL50" s="229">
        <v>1.0599000000000001</v>
      </c>
      <c r="BM50" s="228">
        <v>179</v>
      </c>
      <c r="BN50" s="228">
        <v>234</v>
      </c>
      <c r="BO50" s="228">
        <v>-55</v>
      </c>
      <c r="BP50" s="229">
        <v>-0.2359</v>
      </c>
      <c r="BQ50" s="230">
        <v>1019</v>
      </c>
      <c r="BR50" s="228">
        <v>696</v>
      </c>
      <c r="BS50" s="228">
        <v>323</v>
      </c>
      <c r="BT50" s="229">
        <v>0.46439999999999998</v>
      </c>
      <c r="BU50" s="230">
        <v>530094</v>
      </c>
      <c r="BV50" s="230">
        <v>374839</v>
      </c>
      <c r="BW50" s="230">
        <v>155255</v>
      </c>
      <c r="BX50" s="229">
        <v>0.41420000000000001</v>
      </c>
      <c r="BY50" s="230">
        <v>1112</v>
      </c>
      <c r="BZ50" s="230">
        <v>1083</v>
      </c>
      <c r="CA50" s="228">
        <v>29</v>
      </c>
      <c r="CB50" s="229">
        <v>2.7199999999999998E-2</v>
      </c>
      <c r="CC50" s="230">
        <v>1077</v>
      </c>
      <c r="CD50" s="230">
        <v>1051</v>
      </c>
      <c r="CE50" s="228">
        <v>27</v>
      </c>
      <c r="CF50" s="229">
        <v>2.5399999999999999E-2</v>
      </c>
      <c r="CG50" s="228">
        <v>33</v>
      </c>
      <c r="CH50" s="228">
        <v>32</v>
      </c>
      <c r="CI50" s="228">
        <v>2</v>
      </c>
      <c r="CJ50" s="229">
        <v>6.0299999999999999E-2</v>
      </c>
      <c r="CK50" s="228">
        <v>1</v>
      </c>
      <c r="CL50" s="228">
        <v>1</v>
      </c>
      <c r="CM50" s="228">
        <v>1</v>
      </c>
      <c r="CN50" s="229">
        <v>1.2726999999999999</v>
      </c>
      <c r="CO50" s="228">
        <v>262</v>
      </c>
      <c r="CP50" s="228">
        <v>240</v>
      </c>
      <c r="CQ50" s="228">
        <v>22</v>
      </c>
      <c r="CR50" s="229">
        <v>9.2600000000000002E-2</v>
      </c>
      <c r="CS50" s="228">
        <v>172</v>
      </c>
      <c r="CT50" s="228">
        <v>166</v>
      </c>
      <c r="CU50" s="228">
        <v>6</v>
      </c>
      <c r="CV50" s="229">
        <v>3.6999999999999998E-2</v>
      </c>
      <c r="CW50" s="230">
        <v>1547</v>
      </c>
      <c r="CX50" s="230">
        <v>1489</v>
      </c>
      <c r="CY50" s="228">
        <v>58</v>
      </c>
      <c r="CZ50" s="229">
        <v>3.8800000000000001E-2</v>
      </c>
      <c r="DA50" s="228">
        <v>31.39</v>
      </c>
      <c r="DB50" s="228">
        <v>31.37</v>
      </c>
      <c r="DC50" s="228">
        <v>0.02</v>
      </c>
      <c r="DD50" s="228">
        <v>0.02</v>
      </c>
      <c r="DE50" s="228">
        <v>30.67</v>
      </c>
      <c r="DF50" s="228">
        <v>30.35</v>
      </c>
      <c r="DG50" s="228">
        <v>0.72</v>
      </c>
      <c r="DH50" s="228">
        <v>0.32</v>
      </c>
      <c r="DI50" s="228">
        <v>31.18</v>
      </c>
      <c r="DJ50" s="228">
        <v>31.44</v>
      </c>
      <c r="DK50" s="228">
        <v>-0.26</v>
      </c>
      <c r="DL50" s="228">
        <v>-0.26</v>
      </c>
      <c r="DM50" s="228">
        <v>32.049999999999997</v>
      </c>
      <c r="DN50" s="228">
        <v>31.27</v>
      </c>
      <c r="DO50" s="228">
        <v>0.78</v>
      </c>
      <c r="DP50" s="228">
        <v>0.78</v>
      </c>
      <c r="DQ50" s="228">
        <v>0.66</v>
      </c>
      <c r="DR50" s="228">
        <v>0.69</v>
      </c>
      <c r="DS50" s="228">
        <v>-0.03</v>
      </c>
      <c r="DT50" s="229">
        <v>-4.3499999999999997E-2</v>
      </c>
      <c r="DU50" s="231">
        <v>2200</v>
      </c>
      <c r="DV50" s="231">
        <v>2100</v>
      </c>
      <c r="DW50" s="228">
        <v>0.31</v>
      </c>
      <c r="DX50" s="228">
        <v>0.84</v>
      </c>
      <c r="DY50" s="228">
        <v>-0.53</v>
      </c>
      <c r="DZ50" s="229">
        <v>-0.63100000000000001</v>
      </c>
      <c r="EA50" s="229">
        <v>3.1399999999999997E-2</v>
      </c>
      <c r="EB50" s="230">
        <v>148600</v>
      </c>
      <c r="EC50" s="229">
        <v>-2.5999999999999999E-3</v>
      </c>
      <c r="ED50" s="229">
        <v>3.1399999999999997E-2</v>
      </c>
      <c r="EE50" s="228">
        <v>-3.25</v>
      </c>
      <c r="EF50" s="229">
        <v>-1.5E-3</v>
      </c>
      <c r="EG50" s="230">
        <v>254394</v>
      </c>
      <c r="EH50" s="230">
        <v>157463</v>
      </c>
      <c r="EI50" s="229">
        <v>0.61560000000000004</v>
      </c>
      <c r="EJ50" s="229">
        <v>0.47989999999999999</v>
      </c>
      <c r="EK50" s="228">
        <v>603.42999999999995</v>
      </c>
      <c r="EL50" s="228">
        <v>175.14</v>
      </c>
      <c r="EM50" s="228">
        <v>264.23</v>
      </c>
      <c r="EN50" s="228">
        <v>80.47</v>
      </c>
      <c r="EO50" s="231">
        <v>1042.81</v>
      </c>
      <c r="EP50" s="228">
        <v>685.66</v>
      </c>
      <c r="EQ50" s="228">
        <v>357.15</v>
      </c>
      <c r="ER50" s="229">
        <v>0.52090000000000003</v>
      </c>
      <c r="ES50" s="228">
        <v>268.10000000000002</v>
      </c>
      <c r="ET50" s="228">
        <v>164.55</v>
      </c>
      <c r="EU50" s="231">
        <v>1112.1500000000001</v>
      </c>
      <c r="EV50" s="231">
        <v>19054573</v>
      </c>
      <c r="EW50" s="231">
        <v>1544.8</v>
      </c>
      <c r="EX50" s="231">
        <v>1447.32</v>
      </c>
      <c r="EY50" s="228">
        <v>97.48</v>
      </c>
      <c r="EZ50" s="229">
        <v>6.7400000000000002E-2</v>
      </c>
      <c r="FA50" s="229">
        <v>0.37430000000000002</v>
      </c>
      <c r="FB50" s="227" t="s">
        <v>555</v>
      </c>
      <c r="FC50">
        <f t="shared" si="0"/>
        <v>35</v>
      </c>
    </row>
    <row r="51" spans="1:159" ht="17.25" thickBot="1" x14ac:dyDescent="0.3">
      <c r="A51" s="226">
        <v>46146</v>
      </c>
      <c r="B51" s="227" t="s">
        <v>215</v>
      </c>
      <c r="C51" s="227" t="s">
        <v>202</v>
      </c>
      <c r="D51" s="228">
        <v>1250</v>
      </c>
      <c r="E51" s="228">
        <v>22</v>
      </c>
      <c r="F51" s="228">
        <v>519.45000000000005</v>
      </c>
      <c r="G51" s="228">
        <v>511.3</v>
      </c>
      <c r="H51" s="228">
        <v>8.15</v>
      </c>
      <c r="I51" s="229">
        <v>1.5900000000000001E-2</v>
      </c>
      <c r="J51" s="228">
        <v>516.35</v>
      </c>
      <c r="K51" s="228">
        <v>508.85</v>
      </c>
      <c r="L51" s="228">
        <v>7.5</v>
      </c>
      <c r="M51" s="229">
        <v>1.47E-2</v>
      </c>
      <c r="N51" s="228">
        <v>519.45000000000005</v>
      </c>
      <c r="O51" s="228">
        <v>511.3</v>
      </c>
      <c r="P51" s="228">
        <v>8.15</v>
      </c>
      <c r="Q51" s="229">
        <v>1.5900000000000001E-2</v>
      </c>
      <c r="R51" s="228">
        <v>521.65</v>
      </c>
      <c r="S51" s="228">
        <v>514.20000000000005</v>
      </c>
      <c r="T51" s="228">
        <v>7.45</v>
      </c>
      <c r="U51" s="229">
        <v>1.4500000000000001E-2</v>
      </c>
      <c r="V51" s="228">
        <v>526</v>
      </c>
      <c r="W51" s="228">
        <v>515.70000000000005</v>
      </c>
      <c r="X51" s="228">
        <v>10.3</v>
      </c>
      <c r="Y51" s="229">
        <v>0.02</v>
      </c>
      <c r="Z51" s="228">
        <v>3.1</v>
      </c>
      <c r="AA51" s="228">
        <v>2.4500000000000002</v>
      </c>
      <c r="AB51" s="228">
        <v>0.65</v>
      </c>
      <c r="AC51" s="229">
        <v>6.0000000000000001E-3</v>
      </c>
      <c r="AD51" s="228">
        <v>3.1</v>
      </c>
      <c r="AE51" s="228">
        <v>2.4500000000000002</v>
      </c>
      <c r="AF51" s="228">
        <v>0.65</v>
      </c>
      <c r="AG51" s="229">
        <v>6.0000000000000001E-3</v>
      </c>
      <c r="AH51" s="228">
        <v>5.3</v>
      </c>
      <c r="AI51" s="228">
        <v>5.35</v>
      </c>
      <c r="AJ51" s="228">
        <v>-0.05</v>
      </c>
      <c r="AK51" s="229">
        <v>1.03E-2</v>
      </c>
      <c r="AL51" s="228">
        <v>9.65</v>
      </c>
      <c r="AM51" s="228">
        <v>6.85</v>
      </c>
      <c r="AN51" s="228">
        <v>2.8</v>
      </c>
      <c r="AO51" s="229">
        <v>1.8700000000000001E-2</v>
      </c>
      <c r="AP51" s="228">
        <v>518.95000000000005</v>
      </c>
      <c r="AQ51" s="228">
        <v>522</v>
      </c>
      <c r="AR51" s="228">
        <v>0</v>
      </c>
      <c r="AS51" s="228">
        <v>65</v>
      </c>
      <c r="AT51" s="228">
        <v>64</v>
      </c>
      <c r="AU51" s="228">
        <v>1</v>
      </c>
      <c r="AV51" s="229">
        <v>1.2200000000000001E-2</v>
      </c>
      <c r="AW51" s="228">
        <v>63</v>
      </c>
      <c r="AX51" s="228">
        <v>59</v>
      </c>
      <c r="AY51" s="228">
        <v>3</v>
      </c>
      <c r="AZ51" s="229">
        <v>5.3499999999999999E-2</v>
      </c>
      <c r="BA51" s="228">
        <v>2</v>
      </c>
      <c r="BB51" s="228">
        <v>4</v>
      </c>
      <c r="BC51" s="228">
        <v>-3</v>
      </c>
      <c r="BD51" s="229">
        <v>-0.6</v>
      </c>
      <c r="BE51" s="228">
        <v>0</v>
      </c>
      <c r="BF51" s="228">
        <v>0</v>
      </c>
      <c r="BG51" s="228">
        <v>0</v>
      </c>
      <c r="BH51" s="229">
        <v>1</v>
      </c>
      <c r="BI51" s="228">
        <v>157</v>
      </c>
      <c r="BJ51" s="228">
        <v>117</v>
      </c>
      <c r="BK51" s="228">
        <v>40</v>
      </c>
      <c r="BL51" s="229">
        <v>0.34239999999999998</v>
      </c>
      <c r="BM51" s="228">
        <v>52</v>
      </c>
      <c r="BN51" s="228">
        <v>50</v>
      </c>
      <c r="BO51" s="228">
        <v>3</v>
      </c>
      <c r="BP51" s="229">
        <v>5.21E-2</v>
      </c>
      <c r="BQ51" s="228">
        <v>274</v>
      </c>
      <c r="BR51" s="228">
        <v>231</v>
      </c>
      <c r="BS51" s="228">
        <v>43</v>
      </c>
      <c r="BT51" s="229">
        <v>0.1883</v>
      </c>
      <c r="BU51" s="230">
        <v>618370</v>
      </c>
      <c r="BV51" s="230">
        <v>1760075</v>
      </c>
      <c r="BW51" s="230">
        <v>-1141705</v>
      </c>
      <c r="BX51" s="229">
        <v>-0.64870000000000005</v>
      </c>
      <c r="BY51" s="230">
        <v>1193</v>
      </c>
      <c r="BZ51" s="230">
        <v>1194</v>
      </c>
      <c r="CA51" s="228">
        <v>-2</v>
      </c>
      <c r="CB51" s="229">
        <v>-1.2999999999999999E-3</v>
      </c>
      <c r="CC51" s="230">
        <v>1167</v>
      </c>
      <c r="CD51" s="230">
        <v>1169</v>
      </c>
      <c r="CE51" s="228">
        <v>-2</v>
      </c>
      <c r="CF51" s="229">
        <v>-1.6999999999999999E-3</v>
      </c>
      <c r="CG51" s="228">
        <v>25</v>
      </c>
      <c r="CH51" s="228">
        <v>25</v>
      </c>
      <c r="CI51" s="228">
        <v>0</v>
      </c>
      <c r="CJ51" s="229">
        <v>1.0500000000000001E-2</v>
      </c>
      <c r="CK51" s="228">
        <v>0</v>
      </c>
      <c r="CL51" s="228">
        <v>0</v>
      </c>
      <c r="CM51" s="228">
        <v>0</v>
      </c>
      <c r="CN51" s="229">
        <v>1.5</v>
      </c>
      <c r="CO51" s="228">
        <v>253</v>
      </c>
      <c r="CP51" s="228">
        <v>238</v>
      </c>
      <c r="CQ51" s="228">
        <v>15</v>
      </c>
      <c r="CR51" s="229">
        <v>6.2E-2</v>
      </c>
      <c r="CS51" s="228">
        <v>179</v>
      </c>
      <c r="CT51" s="228">
        <v>179</v>
      </c>
      <c r="CU51" s="228">
        <v>0</v>
      </c>
      <c r="CV51" s="229">
        <v>-1.5E-3</v>
      </c>
      <c r="CW51" s="230">
        <v>1624</v>
      </c>
      <c r="CX51" s="230">
        <v>1611</v>
      </c>
      <c r="CY51" s="228">
        <v>13</v>
      </c>
      <c r="CZ51" s="229">
        <v>8.0000000000000002E-3</v>
      </c>
      <c r="DA51" s="228">
        <v>33.57</v>
      </c>
      <c r="DB51" s="228">
        <v>33.36</v>
      </c>
      <c r="DC51" s="228">
        <v>0.21</v>
      </c>
      <c r="DD51" s="228">
        <v>0.21</v>
      </c>
      <c r="DE51" s="228">
        <v>34.659999999999997</v>
      </c>
      <c r="DF51" s="228">
        <v>34.68</v>
      </c>
      <c r="DG51" s="228">
        <v>-1.0900000000000001</v>
      </c>
      <c r="DH51" s="228">
        <v>-0.02</v>
      </c>
      <c r="DI51" s="228">
        <v>33.01</v>
      </c>
      <c r="DJ51" s="228">
        <v>33.450000000000003</v>
      </c>
      <c r="DK51" s="228">
        <v>-0.44</v>
      </c>
      <c r="DL51" s="228">
        <v>-0.44</v>
      </c>
      <c r="DM51" s="228">
        <v>35.22</v>
      </c>
      <c r="DN51" s="228">
        <v>33.159999999999997</v>
      </c>
      <c r="DO51" s="228">
        <v>2.06</v>
      </c>
      <c r="DP51" s="228">
        <v>2.06</v>
      </c>
      <c r="DQ51" s="228">
        <v>0.71</v>
      </c>
      <c r="DR51" s="228">
        <v>0.75</v>
      </c>
      <c r="DS51" s="228">
        <v>-0.04</v>
      </c>
      <c r="DT51" s="229">
        <v>-5.33E-2</v>
      </c>
      <c r="DU51" s="228">
        <v>550</v>
      </c>
      <c r="DV51" s="228">
        <v>500</v>
      </c>
      <c r="DW51" s="228">
        <v>0.33</v>
      </c>
      <c r="DX51" s="228">
        <v>0.43</v>
      </c>
      <c r="DY51" s="228">
        <v>-0.1</v>
      </c>
      <c r="DZ51" s="229">
        <v>-0.2326</v>
      </c>
      <c r="EA51" s="229">
        <v>2.12E-2</v>
      </c>
      <c r="EB51" s="230">
        <v>478750</v>
      </c>
      <c r="EC51" s="229">
        <v>4.1999999999999997E-3</v>
      </c>
      <c r="ED51" s="229">
        <v>2.12E-2</v>
      </c>
      <c r="EE51" s="228">
        <v>3.05</v>
      </c>
      <c r="EF51" s="229">
        <v>5.8999999999999999E-3</v>
      </c>
      <c r="EG51" s="230">
        <v>222047</v>
      </c>
      <c r="EH51" s="230">
        <v>960792</v>
      </c>
      <c r="EI51" s="229">
        <v>-0.76890000000000003</v>
      </c>
      <c r="EJ51" s="229">
        <v>0.35909999999999997</v>
      </c>
      <c r="EK51" s="228">
        <v>167.38</v>
      </c>
      <c r="EL51" s="228">
        <v>51.43</v>
      </c>
      <c r="EM51" s="228">
        <v>64.56</v>
      </c>
      <c r="EN51" s="228">
        <v>54.34</v>
      </c>
      <c r="EO51" s="228">
        <v>283.37</v>
      </c>
      <c r="EP51" s="228">
        <v>236.24</v>
      </c>
      <c r="EQ51" s="228">
        <v>47.13</v>
      </c>
      <c r="ER51" s="229">
        <v>0.19950000000000001</v>
      </c>
      <c r="ES51" s="228">
        <v>263.42</v>
      </c>
      <c r="ET51" s="228">
        <v>176.41</v>
      </c>
      <c r="EU51" s="231">
        <v>1192.6400000000001</v>
      </c>
      <c r="EV51" s="231">
        <v>51639257</v>
      </c>
      <c r="EW51" s="231">
        <v>1632.47</v>
      </c>
      <c r="EX51" s="231">
        <v>1599.77</v>
      </c>
      <c r="EY51" s="228">
        <v>32.700000000000003</v>
      </c>
      <c r="EZ51" s="229">
        <v>2.0400000000000001E-2</v>
      </c>
      <c r="FA51" s="229">
        <v>0.60529999999999995</v>
      </c>
      <c r="FB51" s="227" t="s">
        <v>691</v>
      </c>
      <c r="FC51">
        <f t="shared" si="0"/>
        <v>26</v>
      </c>
    </row>
    <row r="52" spans="1:159" ht="17.25" thickBot="1" x14ac:dyDescent="0.3">
      <c r="A52" s="226">
        <v>46146</v>
      </c>
      <c r="B52" s="227" t="s">
        <v>184</v>
      </c>
      <c r="C52" s="227" t="s">
        <v>523</v>
      </c>
      <c r="D52" s="228">
        <v>1800</v>
      </c>
      <c r="E52" s="228">
        <v>22</v>
      </c>
      <c r="F52" s="228">
        <v>278.7</v>
      </c>
      <c r="G52" s="228">
        <v>273.17</v>
      </c>
      <c r="H52" s="228">
        <v>5.53</v>
      </c>
      <c r="I52" s="229">
        <v>2.0199999999999999E-2</v>
      </c>
      <c r="J52" s="228">
        <v>277.95</v>
      </c>
      <c r="K52" s="228">
        <v>272.36</v>
      </c>
      <c r="L52" s="228">
        <v>5.59</v>
      </c>
      <c r="M52" s="229">
        <v>2.0500000000000001E-2</v>
      </c>
      <c r="N52" s="228">
        <v>278.7</v>
      </c>
      <c r="O52" s="228">
        <v>273.17</v>
      </c>
      <c r="P52" s="228">
        <v>5.53</v>
      </c>
      <c r="Q52" s="229">
        <v>2.0199999999999999E-2</v>
      </c>
      <c r="R52" s="228">
        <v>279.95</v>
      </c>
      <c r="S52" s="228">
        <v>275.45999999999998</v>
      </c>
      <c r="T52" s="228">
        <v>4.49</v>
      </c>
      <c r="U52" s="229">
        <v>1.6299999999999999E-2</v>
      </c>
      <c r="V52" s="228">
        <v>280</v>
      </c>
      <c r="W52" s="228">
        <v>274.75</v>
      </c>
      <c r="X52" s="228">
        <v>5.25</v>
      </c>
      <c r="Y52" s="229">
        <v>1.9099999999999999E-2</v>
      </c>
      <c r="Z52" s="228">
        <v>0.75</v>
      </c>
      <c r="AA52" s="228">
        <v>0.81</v>
      </c>
      <c r="AB52" s="228">
        <v>-0.06</v>
      </c>
      <c r="AC52" s="229">
        <v>2.7000000000000001E-3</v>
      </c>
      <c r="AD52" s="228">
        <v>0.75</v>
      </c>
      <c r="AE52" s="228">
        <v>0.81</v>
      </c>
      <c r="AF52" s="228">
        <v>-0.06</v>
      </c>
      <c r="AG52" s="229">
        <v>2.7000000000000001E-3</v>
      </c>
      <c r="AH52" s="228">
        <v>2</v>
      </c>
      <c r="AI52" s="228">
        <v>3.1</v>
      </c>
      <c r="AJ52" s="228">
        <v>-1.1000000000000001</v>
      </c>
      <c r="AK52" s="229">
        <v>7.1999999999999998E-3</v>
      </c>
      <c r="AL52" s="228">
        <v>2.0499999999999998</v>
      </c>
      <c r="AM52" s="228">
        <v>2.39</v>
      </c>
      <c r="AN52" s="228">
        <v>-0.34</v>
      </c>
      <c r="AO52" s="229">
        <v>7.4000000000000003E-3</v>
      </c>
      <c r="AP52" s="228">
        <v>276.13</v>
      </c>
      <c r="AQ52" s="228">
        <v>278.27</v>
      </c>
      <c r="AR52" s="228">
        <v>0</v>
      </c>
      <c r="AS52" s="228">
        <v>292</v>
      </c>
      <c r="AT52" s="228">
        <v>315</v>
      </c>
      <c r="AU52" s="228">
        <v>-23</v>
      </c>
      <c r="AV52" s="229">
        <v>-7.3599999999999999E-2</v>
      </c>
      <c r="AW52" s="228">
        <v>284</v>
      </c>
      <c r="AX52" s="228">
        <v>306</v>
      </c>
      <c r="AY52" s="228">
        <v>-22</v>
      </c>
      <c r="AZ52" s="229">
        <v>-7.1999999999999995E-2</v>
      </c>
      <c r="BA52" s="228">
        <v>7</v>
      </c>
      <c r="BB52" s="228">
        <v>8</v>
      </c>
      <c r="BC52" s="228">
        <v>-1</v>
      </c>
      <c r="BD52" s="229">
        <v>-0.14380000000000001</v>
      </c>
      <c r="BE52" s="228">
        <v>2</v>
      </c>
      <c r="BF52" s="228">
        <v>2</v>
      </c>
      <c r="BG52" s="228">
        <v>0</v>
      </c>
      <c r="BH52" s="229">
        <v>-2.86E-2</v>
      </c>
      <c r="BI52" s="228">
        <v>414</v>
      </c>
      <c r="BJ52" s="228">
        <v>446</v>
      </c>
      <c r="BK52" s="228">
        <v>-31</v>
      </c>
      <c r="BL52" s="229">
        <v>-6.9900000000000004E-2</v>
      </c>
      <c r="BM52" s="228">
        <v>185</v>
      </c>
      <c r="BN52" s="228">
        <v>217</v>
      </c>
      <c r="BO52" s="228">
        <v>-33</v>
      </c>
      <c r="BP52" s="229">
        <v>-0.15029999999999999</v>
      </c>
      <c r="BQ52" s="228">
        <v>891</v>
      </c>
      <c r="BR52" s="228">
        <v>978</v>
      </c>
      <c r="BS52" s="228">
        <v>-87</v>
      </c>
      <c r="BT52" s="229">
        <v>-8.8999999999999996E-2</v>
      </c>
      <c r="BU52" s="230">
        <v>5409149</v>
      </c>
      <c r="BV52" s="230">
        <v>7637855</v>
      </c>
      <c r="BW52" s="230">
        <v>-2228706</v>
      </c>
      <c r="BX52" s="229">
        <v>-0.2918</v>
      </c>
      <c r="BY52" s="230">
        <v>1482</v>
      </c>
      <c r="BZ52" s="230">
        <v>1431</v>
      </c>
      <c r="CA52" s="228">
        <v>51</v>
      </c>
      <c r="CB52" s="229">
        <v>3.5400000000000001E-2</v>
      </c>
      <c r="CC52" s="230">
        <v>1461</v>
      </c>
      <c r="CD52" s="230">
        <v>1412</v>
      </c>
      <c r="CE52" s="228">
        <v>49</v>
      </c>
      <c r="CF52" s="229">
        <v>3.5000000000000003E-2</v>
      </c>
      <c r="CG52" s="228">
        <v>17</v>
      </c>
      <c r="CH52" s="228">
        <v>17</v>
      </c>
      <c r="CI52" s="228">
        <v>0</v>
      </c>
      <c r="CJ52" s="229">
        <v>5.7999999999999996E-3</v>
      </c>
      <c r="CK52" s="228">
        <v>3</v>
      </c>
      <c r="CL52" s="228">
        <v>2</v>
      </c>
      <c r="CM52" s="228">
        <v>1</v>
      </c>
      <c r="CN52" s="229">
        <v>0.56759999999999999</v>
      </c>
      <c r="CO52" s="228">
        <v>391</v>
      </c>
      <c r="CP52" s="228">
        <v>354</v>
      </c>
      <c r="CQ52" s="228">
        <v>37</v>
      </c>
      <c r="CR52" s="229">
        <v>0.104</v>
      </c>
      <c r="CS52" s="228">
        <v>181</v>
      </c>
      <c r="CT52" s="228">
        <v>162</v>
      </c>
      <c r="CU52" s="228">
        <v>19</v>
      </c>
      <c r="CV52" s="229">
        <v>0.1182</v>
      </c>
      <c r="CW52" s="230">
        <v>2054</v>
      </c>
      <c r="CX52" s="230">
        <v>1948</v>
      </c>
      <c r="CY52" s="228">
        <v>107</v>
      </c>
      <c r="CZ52" s="229">
        <v>5.4800000000000001E-2</v>
      </c>
      <c r="DA52" s="228">
        <v>43.06</v>
      </c>
      <c r="DB52" s="228">
        <v>43.75</v>
      </c>
      <c r="DC52" s="228">
        <v>-0.69</v>
      </c>
      <c r="DD52" s="228">
        <v>-0.69</v>
      </c>
      <c r="DE52" s="228">
        <v>35.86</v>
      </c>
      <c r="DF52" s="228">
        <v>35.85</v>
      </c>
      <c r="DG52" s="228">
        <v>7.2</v>
      </c>
      <c r="DH52" s="228">
        <v>0.01</v>
      </c>
      <c r="DI52" s="228">
        <v>42.9</v>
      </c>
      <c r="DJ52" s="228">
        <v>44.08</v>
      </c>
      <c r="DK52" s="228">
        <v>-1.18</v>
      </c>
      <c r="DL52" s="228">
        <v>-1.18</v>
      </c>
      <c r="DM52" s="228">
        <v>43.44</v>
      </c>
      <c r="DN52" s="228">
        <v>43.07</v>
      </c>
      <c r="DO52" s="228">
        <v>0.37</v>
      </c>
      <c r="DP52" s="228">
        <v>0.37</v>
      </c>
      <c r="DQ52" s="228">
        <v>0.46</v>
      </c>
      <c r="DR52" s="228">
        <v>0.46</v>
      </c>
      <c r="DS52" s="228">
        <v>0</v>
      </c>
      <c r="DT52" s="229">
        <v>0</v>
      </c>
      <c r="DU52" s="228">
        <v>290</v>
      </c>
      <c r="DV52" s="228">
        <v>250</v>
      </c>
      <c r="DW52" s="228">
        <v>0.45</v>
      </c>
      <c r="DX52" s="228">
        <v>0.49</v>
      </c>
      <c r="DY52" s="228">
        <v>-0.04</v>
      </c>
      <c r="DZ52" s="229">
        <v>-8.1600000000000006E-2</v>
      </c>
      <c r="EA52" s="229">
        <v>1.41E-2</v>
      </c>
      <c r="EB52" s="230">
        <v>702350</v>
      </c>
      <c r="EC52" s="229">
        <v>4.4999999999999997E-3</v>
      </c>
      <c r="ED52" s="229">
        <v>1.41E-2</v>
      </c>
      <c r="EE52" s="228">
        <v>2.14</v>
      </c>
      <c r="EF52" s="229">
        <v>7.7000000000000002E-3</v>
      </c>
      <c r="EG52" s="230">
        <v>2531729</v>
      </c>
      <c r="EH52" s="230">
        <v>3583269</v>
      </c>
      <c r="EI52" s="229">
        <v>-0.29349999999999998</v>
      </c>
      <c r="EJ52" s="229">
        <v>0.46800000000000003</v>
      </c>
      <c r="EK52" s="228">
        <v>436.7</v>
      </c>
      <c r="EL52" s="228">
        <v>185.3</v>
      </c>
      <c r="EM52" s="228">
        <v>289.91000000000003</v>
      </c>
      <c r="EN52" s="228">
        <v>126.07</v>
      </c>
      <c r="EO52" s="228">
        <v>911.9</v>
      </c>
      <c r="EP52" s="228">
        <v>989.93</v>
      </c>
      <c r="EQ52" s="228">
        <v>-78.03</v>
      </c>
      <c r="ER52" s="229">
        <v>-7.8799999999999995E-2</v>
      </c>
      <c r="ES52" s="228">
        <v>399.69</v>
      </c>
      <c r="ET52" s="228">
        <v>172.28</v>
      </c>
      <c r="EU52" s="231">
        <v>1482.31</v>
      </c>
      <c r="EV52" s="231">
        <v>96587231</v>
      </c>
      <c r="EW52" s="231">
        <v>2054.29</v>
      </c>
      <c r="EX52" s="231">
        <v>1918.15</v>
      </c>
      <c r="EY52" s="228">
        <v>136.13999999999999</v>
      </c>
      <c r="EZ52" s="229">
        <v>7.0999999999999994E-2</v>
      </c>
      <c r="FA52" s="229">
        <v>0.76319999999999999</v>
      </c>
      <c r="FB52" s="227" t="s">
        <v>555</v>
      </c>
      <c r="FC52">
        <f t="shared" si="0"/>
        <v>21</v>
      </c>
    </row>
    <row r="53" spans="1:159" ht="17.25" thickBot="1" x14ac:dyDescent="0.3">
      <c r="A53" s="226">
        <v>46146</v>
      </c>
      <c r="B53" s="227" t="s">
        <v>184</v>
      </c>
      <c r="C53" s="227" t="s">
        <v>203</v>
      </c>
      <c r="D53" s="228">
        <v>200</v>
      </c>
      <c r="E53" s="228">
        <v>22</v>
      </c>
      <c r="F53" s="231">
        <v>5293.5</v>
      </c>
      <c r="G53" s="231">
        <v>5299.8</v>
      </c>
      <c r="H53" s="228">
        <v>-6.3</v>
      </c>
      <c r="I53" s="229">
        <v>-1.1999999999999999E-3</v>
      </c>
      <c r="J53" s="231">
        <v>5289</v>
      </c>
      <c r="K53" s="231">
        <v>5266.4</v>
      </c>
      <c r="L53" s="228">
        <v>22.6</v>
      </c>
      <c r="M53" s="229">
        <v>4.3E-3</v>
      </c>
      <c r="N53" s="231">
        <v>5293.5</v>
      </c>
      <c r="O53" s="231">
        <v>5299.8</v>
      </c>
      <c r="P53" s="228">
        <v>-6.3</v>
      </c>
      <c r="Q53" s="229">
        <v>-1.1999999999999999E-3</v>
      </c>
      <c r="R53" s="231">
        <v>5320</v>
      </c>
      <c r="S53" s="231">
        <v>5351.8</v>
      </c>
      <c r="T53" s="228">
        <v>-31.8</v>
      </c>
      <c r="U53" s="229">
        <v>-5.8999999999999999E-3</v>
      </c>
      <c r="V53" s="231">
        <v>5325</v>
      </c>
      <c r="W53" s="231">
        <v>5361</v>
      </c>
      <c r="X53" s="228">
        <v>-36</v>
      </c>
      <c r="Y53" s="229">
        <v>-6.7000000000000002E-3</v>
      </c>
      <c r="Z53" s="228">
        <v>4.5</v>
      </c>
      <c r="AA53" s="228">
        <v>33.4</v>
      </c>
      <c r="AB53" s="228">
        <v>-28.9</v>
      </c>
      <c r="AC53" s="229">
        <v>8.9999999999999998E-4</v>
      </c>
      <c r="AD53" s="228">
        <v>4.5</v>
      </c>
      <c r="AE53" s="228">
        <v>33.4</v>
      </c>
      <c r="AF53" s="228">
        <v>-28.9</v>
      </c>
      <c r="AG53" s="229">
        <v>8.9999999999999998E-4</v>
      </c>
      <c r="AH53" s="228">
        <v>31</v>
      </c>
      <c r="AI53" s="228">
        <v>85.4</v>
      </c>
      <c r="AJ53" s="228">
        <v>-54.4</v>
      </c>
      <c r="AK53" s="229">
        <v>5.8999999999999999E-3</v>
      </c>
      <c r="AL53" s="228">
        <v>36</v>
      </c>
      <c r="AM53" s="228">
        <v>94.6</v>
      </c>
      <c r="AN53" s="228">
        <v>-58.6</v>
      </c>
      <c r="AO53" s="229">
        <v>6.7999999999999996E-3</v>
      </c>
      <c r="AP53" s="231">
        <v>5312.17</v>
      </c>
      <c r="AQ53" s="231">
        <v>5343.25</v>
      </c>
      <c r="AR53" s="228">
        <v>0</v>
      </c>
      <c r="AS53" s="228">
        <v>320</v>
      </c>
      <c r="AT53" s="228">
        <v>270</v>
      </c>
      <c r="AU53" s="228">
        <v>50</v>
      </c>
      <c r="AV53" s="229">
        <v>0.18740000000000001</v>
      </c>
      <c r="AW53" s="228">
        <v>309</v>
      </c>
      <c r="AX53" s="228">
        <v>260</v>
      </c>
      <c r="AY53" s="228">
        <v>49</v>
      </c>
      <c r="AZ53" s="229">
        <v>0.18690000000000001</v>
      </c>
      <c r="BA53" s="228">
        <v>11</v>
      </c>
      <c r="BB53" s="228">
        <v>9</v>
      </c>
      <c r="BC53" s="228">
        <v>2</v>
      </c>
      <c r="BD53" s="229">
        <v>0.24099999999999999</v>
      </c>
      <c r="BE53" s="228">
        <v>1</v>
      </c>
      <c r="BF53" s="228">
        <v>1</v>
      </c>
      <c r="BG53" s="228">
        <v>0</v>
      </c>
      <c r="BH53" s="229">
        <v>-0.28570000000000001</v>
      </c>
      <c r="BI53" s="228">
        <v>437</v>
      </c>
      <c r="BJ53" s="228">
        <v>322</v>
      </c>
      <c r="BK53" s="228">
        <v>115</v>
      </c>
      <c r="BL53" s="229">
        <v>0.35759999999999997</v>
      </c>
      <c r="BM53" s="228">
        <v>165</v>
      </c>
      <c r="BN53" s="228">
        <v>265</v>
      </c>
      <c r="BO53" s="228">
        <v>-100</v>
      </c>
      <c r="BP53" s="229">
        <v>-0.3755</v>
      </c>
      <c r="BQ53" s="228">
        <v>922</v>
      </c>
      <c r="BR53" s="228">
        <v>856</v>
      </c>
      <c r="BS53" s="228">
        <v>66</v>
      </c>
      <c r="BT53" s="229">
        <v>7.7100000000000002E-2</v>
      </c>
      <c r="BU53" s="230">
        <v>401947</v>
      </c>
      <c r="BV53" s="230">
        <v>458759</v>
      </c>
      <c r="BW53" s="230">
        <v>-56812</v>
      </c>
      <c r="BX53" s="229">
        <v>-0.12379999999999999</v>
      </c>
      <c r="BY53" s="230">
        <v>2108</v>
      </c>
      <c r="BZ53" s="230">
        <v>2099</v>
      </c>
      <c r="CA53" s="228">
        <v>9</v>
      </c>
      <c r="CB53" s="229">
        <v>4.4000000000000003E-3</v>
      </c>
      <c r="CC53" s="230">
        <v>1949</v>
      </c>
      <c r="CD53" s="230">
        <v>1943</v>
      </c>
      <c r="CE53" s="228">
        <v>7</v>
      </c>
      <c r="CF53" s="229">
        <v>3.3999999999999998E-3</v>
      </c>
      <c r="CG53" s="228">
        <v>158</v>
      </c>
      <c r="CH53" s="228">
        <v>155</v>
      </c>
      <c r="CI53" s="228">
        <v>2</v>
      </c>
      <c r="CJ53" s="229">
        <v>1.43E-2</v>
      </c>
      <c r="CK53" s="228">
        <v>1</v>
      </c>
      <c r="CL53" s="228">
        <v>1</v>
      </c>
      <c r="CM53" s="228">
        <v>0</v>
      </c>
      <c r="CN53" s="229">
        <v>0.5</v>
      </c>
      <c r="CO53" s="228">
        <v>301</v>
      </c>
      <c r="CP53" s="228">
        <v>244</v>
      </c>
      <c r="CQ53" s="228">
        <v>57</v>
      </c>
      <c r="CR53" s="229">
        <v>0.2341</v>
      </c>
      <c r="CS53" s="228">
        <v>214</v>
      </c>
      <c r="CT53" s="228">
        <v>211</v>
      </c>
      <c r="CU53" s="228">
        <v>2</v>
      </c>
      <c r="CV53" s="229">
        <v>1.0999999999999999E-2</v>
      </c>
      <c r="CW53" s="230">
        <v>2623</v>
      </c>
      <c r="CX53" s="230">
        <v>2555</v>
      </c>
      <c r="CY53" s="228">
        <v>69</v>
      </c>
      <c r="CZ53" s="229">
        <v>2.69E-2</v>
      </c>
      <c r="DA53" s="228">
        <v>33.1</v>
      </c>
      <c r="DB53" s="228">
        <v>34.07</v>
      </c>
      <c r="DC53" s="228">
        <v>-0.97</v>
      </c>
      <c r="DD53" s="228">
        <v>-0.97</v>
      </c>
      <c r="DE53" s="228">
        <v>35.549999999999997</v>
      </c>
      <c r="DF53" s="228">
        <v>35.630000000000003</v>
      </c>
      <c r="DG53" s="228">
        <v>-2.4500000000000002</v>
      </c>
      <c r="DH53" s="228">
        <v>-0.08</v>
      </c>
      <c r="DI53" s="228">
        <v>32.72</v>
      </c>
      <c r="DJ53" s="228">
        <v>33.119999999999997</v>
      </c>
      <c r="DK53" s="228">
        <v>-0.4</v>
      </c>
      <c r="DL53" s="228">
        <v>-0.4</v>
      </c>
      <c r="DM53" s="228">
        <v>34.130000000000003</v>
      </c>
      <c r="DN53" s="228">
        <v>35.22</v>
      </c>
      <c r="DO53" s="228">
        <v>-1.0900000000000001</v>
      </c>
      <c r="DP53" s="228">
        <v>-1.0900000000000001</v>
      </c>
      <c r="DQ53" s="228">
        <v>0.71</v>
      </c>
      <c r="DR53" s="228">
        <v>0.87</v>
      </c>
      <c r="DS53" s="228">
        <v>-0.16</v>
      </c>
      <c r="DT53" s="229">
        <v>-0.18390000000000001</v>
      </c>
      <c r="DU53" s="231">
        <v>5500</v>
      </c>
      <c r="DV53" s="231">
        <v>5000</v>
      </c>
      <c r="DW53" s="228">
        <v>0.38</v>
      </c>
      <c r="DX53" s="228">
        <v>0.82</v>
      </c>
      <c r="DY53" s="228">
        <v>-0.44</v>
      </c>
      <c r="DZ53" s="229">
        <v>-0.53659999999999997</v>
      </c>
      <c r="EA53" s="229">
        <v>7.5399999999999995E-2</v>
      </c>
      <c r="EB53" s="230">
        <v>295200</v>
      </c>
      <c r="EC53" s="229">
        <v>5.0000000000000001E-3</v>
      </c>
      <c r="ED53" s="229">
        <v>7.5399999999999995E-2</v>
      </c>
      <c r="EE53" s="228">
        <v>31.08</v>
      </c>
      <c r="EF53" s="229">
        <v>5.8999999999999999E-3</v>
      </c>
      <c r="EG53" s="230">
        <v>233529</v>
      </c>
      <c r="EH53" s="230">
        <v>263084</v>
      </c>
      <c r="EI53" s="229">
        <v>-0.1123</v>
      </c>
      <c r="EJ53" s="229">
        <v>0.58099999999999996</v>
      </c>
      <c r="EK53" s="228">
        <v>460.52</v>
      </c>
      <c r="EL53" s="228">
        <v>161.91</v>
      </c>
      <c r="EM53" s="228">
        <v>321.24</v>
      </c>
      <c r="EN53" s="228">
        <v>62.37</v>
      </c>
      <c r="EO53" s="228">
        <v>943.68</v>
      </c>
      <c r="EP53" s="228">
        <v>860.89</v>
      </c>
      <c r="EQ53" s="228">
        <v>82.79</v>
      </c>
      <c r="ER53" s="229">
        <v>9.6199999999999994E-2</v>
      </c>
      <c r="ES53" s="228">
        <v>309.05</v>
      </c>
      <c r="ET53" s="228">
        <v>203.83</v>
      </c>
      <c r="EU53" s="231">
        <v>2108.9899999999998</v>
      </c>
      <c r="EV53" s="231">
        <v>20374200</v>
      </c>
      <c r="EW53" s="231">
        <v>2621.87</v>
      </c>
      <c r="EX53" s="231">
        <v>2552.52</v>
      </c>
      <c r="EY53" s="228">
        <v>69.349999999999994</v>
      </c>
      <c r="EZ53" s="229">
        <v>2.7199999999999998E-2</v>
      </c>
      <c r="FA53" s="229">
        <v>0.2432</v>
      </c>
      <c r="FB53" s="227" t="s">
        <v>566</v>
      </c>
      <c r="FC53">
        <f t="shared" si="0"/>
        <v>159</v>
      </c>
    </row>
    <row r="54" spans="1:159" ht="17.25" thickBot="1" x14ac:dyDescent="0.3">
      <c r="A54" s="226">
        <v>46146</v>
      </c>
      <c r="B54" s="227" t="s">
        <v>168</v>
      </c>
      <c r="C54" s="227" t="s">
        <v>204</v>
      </c>
      <c r="D54" s="228">
        <v>1250</v>
      </c>
      <c r="E54" s="228">
        <v>22</v>
      </c>
      <c r="F54" s="228">
        <v>447.2</v>
      </c>
      <c r="G54" s="228">
        <v>444.1</v>
      </c>
      <c r="H54" s="228">
        <v>3.1</v>
      </c>
      <c r="I54" s="229">
        <v>7.0000000000000001E-3</v>
      </c>
      <c r="J54" s="228">
        <v>445.65</v>
      </c>
      <c r="K54" s="228">
        <v>441.5</v>
      </c>
      <c r="L54" s="228">
        <v>4.1500000000000004</v>
      </c>
      <c r="M54" s="229">
        <v>9.4000000000000004E-3</v>
      </c>
      <c r="N54" s="228">
        <v>447.2</v>
      </c>
      <c r="O54" s="228">
        <v>444.1</v>
      </c>
      <c r="P54" s="228">
        <v>3.1</v>
      </c>
      <c r="Q54" s="229">
        <v>7.0000000000000001E-3</v>
      </c>
      <c r="R54" s="228">
        <v>450.3</v>
      </c>
      <c r="S54" s="228">
        <v>446.65</v>
      </c>
      <c r="T54" s="228">
        <v>3.65</v>
      </c>
      <c r="U54" s="229">
        <v>8.2000000000000007E-3</v>
      </c>
      <c r="V54" s="228">
        <v>447.6</v>
      </c>
      <c r="W54" s="228">
        <v>444.95</v>
      </c>
      <c r="X54" s="228">
        <v>2.65</v>
      </c>
      <c r="Y54" s="229">
        <v>6.0000000000000001E-3</v>
      </c>
      <c r="Z54" s="228">
        <v>1.55</v>
      </c>
      <c r="AA54" s="228">
        <v>2.6</v>
      </c>
      <c r="AB54" s="228">
        <v>-1.05</v>
      </c>
      <c r="AC54" s="229">
        <v>3.5000000000000001E-3</v>
      </c>
      <c r="AD54" s="228">
        <v>1.55</v>
      </c>
      <c r="AE54" s="228">
        <v>2.6</v>
      </c>
      <c r="AF54" s="228">
        <v>-1.05</v>
      </c>
      <c r="AG54" s="229">
        <v>3.5000000000000001E-3</v>
      </c>
      <c r="AH54" s="228">
        <v>4.6500000000000004</v>
      </c>
      <c r="AI54" s="228">
        <v>5.15</v>
      </c>
      <c r="AJ54" s="228">
        <v>-0.5</v>
      </c>
      <c r="AK54" s="229">
        <v>1.04E-2</v>
      </c>
      <c r="AL54" s="228">
        <v>1.95</v>
      </c>
      <c r="AM54" s="228">
        <v>3.45</v>
      </c>
      <c r="AN54" s="228">
        <v>-1.5</v>
      </c>
      <c r="AO54" s="229">
        <v>4.4000000000000003E-3</v>
      </c>
      <c r="AP54" s="228">
        <v>449.8</v>
      </c>
      <c r="AQ54" s="228">
        <v>452.65</v>
      </c>
      <c r="AR54" s="228">
        <v>0</v>
      </c>
      <c r="AS54" s="228">
        <v>92</v>
      </c>
      <c r="AT54" s="228">
        <v>150</v>
      </c>
      <c r="AU54" s="228">
        <v>-58</v>
      </c>
      <c r="AV54" s="229">
        <v>-0.38440000000000002</v>
      </c>
      <c r="AW54" s="228">
        <v>84</v>
      </c>
      <c r="AX54" s="228">
        <v>143</v>
      </c>
      <c r="AY54" s="228">
        <v>-58</v>
      </c>
      <c r="AZ54" s="229">
        <v>-0.40860000000000002</v>
      </c>
      <c r="BA54" s="228">
        <v>5</v>
      </c>
      <c r="BB54" s="228">
        <v>6</v>
      </c>
      <c r="BC54" s="228">
        <v>-1</v>
      </c>
      <c r="BD54" s="229">
        <v>-9.9000000000000005E-2</v>
      </c>
      <c r="BE54" s="228">
        <v>3</v>
      </c>
      <c r="BF54" s="228">
        <v>2</v>
      </c>
      <c r="BG54" s="228">
        <v>1</v>
      </c>
      <c r="BH54" s="229">
        <v>0.58819999999999995</v>
      </c>
      <c r="BI54" s="228">
        <v>234</v>
      </c>
      <c r="BJ54" s="228">
        <v>348</v>
      </c>
      <c r="BK54" s="228">
        <v>-114</v>
      </c>
      <c r="BL54" s="229">
        <v>-0.32700000000000001</v>
      </c>
      <c r="BM54" s="228">
        <v>98</v>
      </c>
      <c r="BN54" s="228">
        <v>171</v>
      </c>
      <c r="BO54" s="228">
        <v>-73</v>
      </c>
      <c r="BP54" s="229">
        <v>-0.42559999999999998</v>
      </c>
      <c r="BQ54" s="228">
        <v>425</v>
      </c>
      <c r="BR54" s="228">
        <v>669</v>
      </c>
      <c r="BS54" s="228">
        <v>-244</v>
      </c>
      <c r="BT54" s="229">
        <v>-0.36509999999999998</v>
      </c>
      <c r="BU54" s="230">
        <v>1093181</v>
      </c>
      <c r="BV54" s="230">
        <v>1503529</v>
      </c>
      <c r="BW54" s="230">
        <v>-410348</v>
      </c>
      <c r="BX54" s="229">
        <v>-0.27289999999999998</v>
      </c>
      <c r="BY54" s="230">
        <v>1282</v>
      </c>
      <c r="BZ54" s="230">
        <v>1281</v>
      </c>
      <c r="CA54" s="228">
        <v>2</v>
      </c>
      <c r="CB54" s="229">
        <v>1.1999999999999999E-3</v>
      </c>
      <c r="CC54" s="230">
        <v>1256</v>
      </c>
      <c r="CD54" s="230">
        <v>1258</v>
      </c>
      <c r="CE54" s="228">
        <v>-2</v>
      </c>
      <c r="CF54" s="229">
        <v>-1.5E-3</v>
      </c>
      <c r="CG54" s="228">
        <v>22</v>
      </c>
      <c r="CH54" s="228">
        <v>20</v>
      </c>
      <c r="CI54" s="228">
        <v>1</v>
      </c>
      <c r="CJ54" s="229">
        <v>5.7500000000000002E-2</v>
      </c>
      <c r="CK54" s="228">
        <v>5</v>
      </c>
      <c r="CL54" s="228">
        <v>2</v>
      </c>
      <c r="CM54" s="228">
        <v>2</v>
      </c>
      <c r="CN54" s="229">
        <v>0.93179999999999996</v>
      </c>
      <c r="CO54" s="228">
        <v>285</v>
      </c>
      <c r="CP54" s="228">
        <v>244</v>
      </c>
      <c r="CQ54" s="228">
        <v>40</v>
      </c>
      <c r="CR54" s="229">
        <v>0.1656</v>
      </c>
      <c r="CS54" s="228">
        <v>182</v>
      </c>
      <c r="CT54" s="228">
        <v>167</v>
      </c>
      <c r="CU54" s="228">
        <v>14</v>
      </c>
      <c r="CV54" s="229">
        <v>8.5599999999999996E-2</v>
      </c>
      <c r="CW54" s="230">
        <v>1749</v>
      </c>
      <c r="CX54" s="230">
        <v>1693</v>
      </c>
      <c r="CY54" s="228">
        <v>56</v>
      </c>
      <c r="CZ54" s="229">
        <v>3.3300000000000003E-2</v>
      </c>
      <c r="DA54" s="228">
        <v>30.82</v>
      </c>
      <c r="DB54" s="228">
        <v>30.19</v>
      </c>
      <c r="DC54" s="228">
        <v>0.63</v>
      </c>
      <c r="DD54" s="228">
        <v>0.63</v>
      </c>
      <c r="DE54" s="228">
        <v>27.35</v>
      </c>
      <c r="DF54" s="228">
        <v>27.39</v>
      </c>
      <c r="DG54" s="228">
        <v>3.47</v>
      </c>
      <c r="DH54" s="228">
        <v>-0.04</v>
      </c>
      <c r="DI54" s="228">
        <v>30.79</v>
      </c>
      <c r="DJ54" s="228">
        <v>30.23</v>
      </c>
      <c r="DK54" s="228">
        <v>0.56000000000000005</v>
      </c>
      <c r="DL54" s="228">
        <v>0.56000000000000005</v>
      </c>
      <c r="DM54" s="228">
        <v>30.89</v>
      </c>
      <c r="DN54" s="228">
        <v>30.09</v>
      </c>
      <c r="DO54" s="228">
        <v>0.8</v>
      </c>
      <c r="DP54" s="228">
        <v>0.8</v>
      </c>
      <c r="DQ54" s="228">
        <v>0.64</v>
      </c>
      <c r="DR54" s="228">
        <v>0.68</v>
      </c>
      <c r="DS54" s="228">
        <v>-0.04</v>
      </c>
      <c r="DT54" s="229">
        <v>-5.8799999999999998E-2</v>
      </c>
      <c r="DU54" s="228">
        <v>500</v>
      </c>
      <c r="DV54" s="228">
        <v>400</v>
      </c>
      <c r="DW54" s="228">
        <v>0.42</v>
      </c>
      <c r="DX54" s="228">
        <v>0.49</v>
      </c>
      <c r="DY54" s="228">
        <v>-7.0000000000000007E-2</v>
      </c>
      <c r="DZ54" s="229">
        <v>-0.1429</v>
      </c>
      <c r="EA54" s="229">
        <v>2.0500000000000001E-2</v>
      </c>
      <c r="EB54" s="230">
        <v>511250</v>
      </c>
      <c r="EC54" s="229">
        <v>6.8999999999999999E-3</v>
      </c>
      <c r="ED54" s="229">
        <v>2.0500000000000001E-2</v>
      </c>
      <c r="EE54" s="228">
        <v>2.85</v>
      </c>
      <c r="EF54" s="229">
        <v>6.3E-3</v>
      </c>
      <c r="EG54" s="230">
        <v>498047</v>
      </c>
      <c r="EH54" s="230">
        <v>567027</v>
      </c>
      <c r="EI54" s="229">
        <v>-0.1217</v>
      </c>
      <c r="EJ54" s="229">
        <v>0.4556</v>
      </c>
      <c r="EK54" s="228">
        <v>251.37</v>
      </c>
      <c r="EL54" s="228">
        <v>95.49</v>
      </c>
      <c r="EM54" s="228">
        <v>92.98</v>
      </c>
      <c r="EN54" s="228">
        <v>57.75</v>
      </c>
      <c r="EO54" s="228">
        <v>439.84</v>
      </c>
      <c r="EP54" s="228">
        <v>690.62</v>
      </c>
      <c r="EQ54" s="228">
        <v>-250.78</v>
      </c>
      <c r="ER54" s="229">
        <v>-0.36309999999999998</v>
      </c>
      <c r="ES54" s="228">
        <v>305.93</v>
      </c>
      <c r="ET54" s="228">
        <v>175.94</v>
      </c>
      <c r="EU54" s="231">
        <v>1282.6099999999999</v>
      </c>
      <c r="EV54" s="231">
        <v>76827821</v>
      </c>
      <c r="EW54" s="231">
        <v>1764.49</v>
      </c>
      <c r="EX54" s="231">
        <v>1696.1</v>
      </c>
      <c r="EY54" s="228">
        <v>68.39</v>
      </c>
      <c r="EZ54" s="229">
        <v>4.0300000000000002E-2</v>
      </c>
      <c r="FA54" s="229">
        <v>0.50900000000000001</v>
      </c>
      <c r="FB54" s="227" t="s">
        <v>555</v>
      </c>
      <c r="FC54">
        <f t="shared" si="0"/>
        <v>26</v>
      </c>
    </row>
    <row r="55" spans="1:159" ht="17.25" thickBot="1" x14ac:dyDescent="0.3">
      <c r="A55" s="226">
        <v>46146</v>
      </c>
      <c r="B55" s="227" t="s">
        <v>157</v>
      </c>
      <c r="C55" s="227" t="s">
        <v>524</v>
      </c>
      <c r="D55" s="228">
        <v>325</v>
      </c>
      <c r="E55" s="228">
        <v>22</v>
      </c>
      <c r="F55" s="231">
        <v>1988.2</v>
      </c>
      <c r="G55" s="231">
        <v>1916.5</v>
      </c>
      <c r="H55" s="228">
        <v>71.7</v>
      </c>
      <c r="I55" s="229">
        <v>3.7400000000000003E-2</v>
      </c>
      <c r="J55" s="231">
        <v>1983.3</v>
      </c>
      <c r="K55" s="231">
        <v>1906.3</v>
      </c>
      <c r="L55" s="228">
        <v>77</v>
      </c>
      <c r="M55" s="229">
        <v>4.0399999999999998E-2</v>
      </c>
      <c r="N55" s="231">
        <v>1988.2</v>
      </c>
      <c r="O55" s="231">
        <v>1916.5</v>
      </c>
      <c r="P55" s="228">
        <v>71.7</v>
      </c>
      <c r="Q55" s="229">
        <v>3.7400000000000003E-2</v>
      </c>
      <c r="R55" s="231">
        <v>1993.8</v>
      </c>
      <c r="S55" s="231">
        <v>1924.4</v>
      </c>
      <c r="T55" s="228">
        <v>69.400000000000006</v>
      </c>
      <c r="U55" s="229">
        <v>3.61E-2</v>
      </c>
      <c r="V55" s="231">
        <v>1927.9</v>
      </c>
      <c r="W55" s="231">
        <v>1927.9</v>
      </c>
      <c r="X55" s="228">
        <v>0</v>
      </c>
      <c r="Y55" s="229">
        <v>0</v>
      </c>
      <c r="Z55" s="228">
        <v>4.9000000000000004</v>
      </c>
      <c r="AA55" s="228">
        <v>10.199999999999999</v>
      </c>
      <c r="AB55" s="228">
        <v>-5.3</v>
      </c>
      <c r="AC55" s="229">
        <v>2.5000000000000001E-3</v>
      </c>
      <c r="AD55" s="228">
        <v>4.9000000000000004</v>
      </c>
      <c r="AE55" s="228">
        <v>10.199999999999999</v>
      </c>
      <c r="AF55" s="228">
        <v>-5.3</v>
      </c>
      <c r="AG55" s="229">
        <v>2.5000000000000001E-3</v>
      </c>
      <c r="AH55" s="228">
        <v>10.5</v>
      </c>
      <c r="AI55" s="228">
        <v>18.100000000000001</v>
      </c>
      <c r="AJ55" s="228">
        <v>-7.6</v>
      </c>
      <c r="AK55" s="229">
        <v>5.3E-3</v>
      </c>
      <c r="AL55" s="228">
        <v>-55.4</v>
      </c>
      <c r="AM55" s="228">
        <v>21.6</v>
      </c>
      <c r="AN55" s="228">
        <v>-77</v>
      </c>
      <c r="AO55" s="229">
        <v>-2.7900000000000001E-2</v>
      </c>
      <c r="AP55" s="231">
        <v>1984.22</v>
      </c>
      <c r="AQ55" s="231">
        <v>1986.67</v>
      </c>
      <c r="AR55" s="228">
        <v>0</v>
      </c>
      <c r="AS55" s="228">
        <v>281</v>
      </c>
      <c r="AT55" s="228">
        <v>129</v>
      </c>
      <c r="AU55" s="228">
        <v>151</v>
      </c>
      <c r="AV55" s="229">
        <v>1.1677</v>
      </c>
      <c r="AW55" s="228">
        <v>276</v>
      </c>
      <c r="AX55" s="228">
        <v>126</v>
      </c>
      <c r="AY55" s="228">
        <v>150</v>
      </c>
      <c r="AZ55" s="229">
        <v>1.1884999999999999</v>
      </c>
      <c r="BA55" s="228">
        <v>5</v>
      </c>
      <c r="BB55" s="228">
        <v>3</v>
      </c>
      <c r="BC55" s="228">
        <v>1</v>
      </c>
      <c r="BD55" s="229">
        <v>0.4118</v>
      </c>
      <c r="BE55" s="228">
        <v>0</v>
      </c>
      <c r="BF55" s="228">
        <v>0</v>
      </c>
      <c r="BG55" s="228">
        <v>0</v>
      </c>
      <c r="BH55" s="229">
        <v>-1</v>
      </c>
      <c r="BI55" s="228">
        <v>403</v>
      </c>
      <c r="BJ55" s="228">
        <v>212</v>
      </c>
      <c r="BK55" s="228">
        <v>191</v>
      </c>
      <c r="BL55" s="229">
        <v>0.90349999999999997</v>
      </c>
      <c r="BM55" s="228">
        <v>211</v>
      </c>
      <c r="BN55" s="228">
        <v>170</v>
      </c>
      <c r="BO55" s="228">
        <v>40</v>
      </c>
      <c r="BP55" s="229">
        <v>0.2374</v>
      </c>
      <c r="BQ55" s="228">
        <v>894</v>
      </c>
      <c r="BR55" s="228">
        <v>511</v>
      </c>
      <c r="BS55" s="228">
        <v>383</v>
      </c>
      <c r="BT55" s="229">
        <v>0.74880000000000002</v>
      </c>
      <c r="BU55" s="230">
        <v>425870</v>
      </c>
      <c r="BV55" s="230">
        <v>286130</v>
      </c>
      <c r="BW55" s="230">
        <v>139740</v>
      </c>
      <c r="BX55" s="229">
        <v>0.4884</v>
      </c>
      <c r="BY55" s="228">
        <v>534</v>
      </c>
      <c r="BZ55" s="228">
        <v>463</v>
      </c>
      <c r="CA55" s="228">
        <v>70</v>
      </c>
      <c r="CB55" s="229">
        <v>0.152</v>
      </c>
      <c r="CC55" s="228">
        <v>529</v>
      </c>
      <c r="CD55" s="228">
        <v>459</v>
      </c>
      <c r="CE55" s="228">
        <v>70</v>
      </c>
      <c r="CF55" s="229">
        <v>0.1527</v>
      </c>
      <c r="CG55" s="228">
        <v>5</v>
      </c>
      <c r="CH55" s="228">
        <v>4</v>
      </c>
      <c r="CI55" s="228">
        <v>0</v>
      </c>
      <c r="CJ55" s="229">
        <v>8.8200000000000001E-2</v>
      </c>
      <c r="CK55" s="228">
        <v>0</v>
      </c>
      <c r="CL55" s="228">
        <v>0</v>
      </c>
      <c r="CM55" s="228">
        <v>0</v>
      </c>
      <c r="CN55" s="229">
        <v>0</v>
      </c>
      <c r="CO55" s="228">
        <v>157</v>
      </c>
      <c r="CP55" s="228">
        <v>149</v>
      </c>
      <c r="CQ55" s="228">
        <v>8</v>
      </c>
      <c r="CR55" s="229">
        <v>5.4699999999999999E-2</v>
      </c>
      <c r="CS55" s="228">
        <v>101</v>
      </c>
      <c r="CT55" s="228">
        <v>94</v>
      </c>
      <c r="CU55" s="228">
        <v>7</v>
      </c>
      <c r="CV55" s="229">
        <v>7.2900000000000006E-2</v>
      </c>
      <c r="CW55" s="228">
        <v>792</v>
      </c>
      <c r="CX55" s="228">
        <v>706</v>
      </c>
      <c r="CY55" s="228">
        <v>85</v>
      </c>
      <c r="CZ55" s="229">
        <v>0.12089999999999999</v>
      </c>
      <c r="DA55" s="228">
        <v>32.21</v>
      </c>
      <c r="DB55" s="228">
        <v>31.81</v>
      </c>
      <c r="DC55" s="228">
        <v>0.4</v>
      </c>
      <c r="DD55" s="228">
        <v>0.4</v>
      </c>
      <c r="DE55" s="228">
        <v>34.11</v>
      </c>
      <c r="DF55" s="228">
        <v>33.83</v>
      </c>
      <c r="DG55" s="228">
        <v>-1.9</v>
      </c>
      <c r="DH55" s="228">
        <v>0.28000000000000003</v>
      </c>
      <c r="DI55" s="228">
        <v>31.71</v>
      </c>
      <c r="DJ55" s="228">
        <v>31.88</v>
      </c>
      <c r="DK55" s="228">
        <v>-0.17</v>
      </c>
      <c r="DL55" s="228">
        <v>-0.17</v>
      </c>
      <c r="DM55" s="228">
        <v>33.18</v>
      </c>
      <c r="DN55" s="228">
        <v>31.74</v>
      </c>
      <c r="DO55" s="228">
        <v>1.44</v>
      </c>
      <c r="DP55" s="228">
        <v>1.44</v>
      </c>
      <c r="DQ55" s="228">
        <v>0.64</v>
      </c>
      <c r="DR55" s="228">
        <v>0.63</v>
      </c>
      <c r="DS55" s="228">
        <v>0.01</v>
      </c>
      <c r="DT55" s="229">
        <v>1.5900000000000001E-2</v>
      </c>
      <c r="DU55" s="231">
        <v>2000</v>
      </c>
      <c r="DV55" s="231">
        <v>1900</v>
      </c>
      <c r="DW55" s="228">
        <v>0.52</v>
      </c>
      <c r="DX55" s="228">
        <v>0.8</v>
      </c>
      <c r="DY55" s="228">
        <v>-0.28000000000000003</v>
      </c>
      <c r="DZ55" s="229">
        <v>-0.35</v>
      </c>
      <c r="EA55" s="229">
        <v>9.2999999999999992E-3</v>
      </c>
      <c r="EB55" s="230">
        <v>23075</v>
      </c>
      <c r="EC55" s="229">
        <v>2.8E-3</v>
      </c>
      <c r="ED55" s="229">
        <v>9.2999999999999992E-3</v>
      </c>
      <c r="EE55" s="228">
        <v>2.4500000000000002</v>
      </c>
      <c r="EF55" s="229">
        <v>1.1999999999999999E-3</v>
      </c>
      <c r="EG55" s="230">
        <v>169551</v>
      </c>
      <c r="EH55" s="230">
        <v>127060</v>
      </c>
      <c r="EI55" s="229">
        <v>0.33439999999999998</v>
      </c>
      <c r="EJ55" s="229">
        <v>0.39810000000000001</v>
      </c>
      <c r="EK55" s="228">
        <v>423.22</v>
      </c>
      <c r="EL55" s="228">
        <v>205.22</v>
      </c>
      <c r="EM55" s="228">
        <v>280.14</v>
      </c>
      <c r="EN55" s="228">
        <v>42.6</v>
      </c>
      <c r="EO55" s="228">
        <v>908.57</v>
      </c>
      <c r="EP55" s="228">
        <v>506.43</v>
      </c>
      <c r="EQ55" s="228">
        <v>402.14</v>
      </c>
      <c r="ER55" s="229">
        <v>0.79410000000000003</v>
      </c>
      <c r="ES55" s="228">
        <v>161.91999999999999</v>
      </c>
      <c r="ET55" s="228">
        <v>94.67</v>
      </c>
      <c r="EU55" s="228">
        <v>533.87</v>
      </c>
      <c r="EV55" s="231">
        <v>12425160</v>
      </c>
      <c r="EW55" s="228">
        <v>790.45</v>
      </c>
      <c r="EX55" s="228">
        <v>687.14</v>
      </c>
      <c r="EY55" s="228">
        <v>103.31</v>
      </c>
      <c r="EZ55" s="229">
        <v>0.15029999999999999</v>
      </c>
      <c r="FA55" s="229">
        <v>0.32050000000000001</v>
      </c>
      <c r="FB55" s="227" t="s">
        <v>555</v>
      </c>
      <c r="FC55">
        <f t="shared" si="0"/>
        <v>5</v>
      </c>
    </row>
    <row r="56" spans="1:159" ht="17.25" thickBot="1" x14ac:dyDescent="0.3">
      <c r="A56" s="226">
        <v>46146</v>
      </c>
      <c r="B56" s="227" t="s">
        <v>614</v>
      </c>
      <c r="C56" s="227" t="s">
        <v>599</v>
      </c>
      <c r="D56" s="228">
        <v>2075</v>
      </c>
      <c r="E56" s="228">
        <v>22</v>
      </c>
      <c r="F56" s="228">
        <v>469.4</v>
      </c>
      <c r="G56" s="228">
        <v>469.35</v>
      </c>
      <c r="H56" s="228">
        <v>0.05</v>
      </c>
      <c r="I56" s="229">
        <v>1E-4</v>
      </c>
      <c r="J56" s="228">
        <v>467.35</v>
      </c>
      <c r="K56" s="228">
        <v>467.05</v>
      </c>
      <c r="L56" s="228">
        <v>0.3</v>
      </c>
      <c r="M56" s="229">
        <v>5.9999999999999995E-4</v>
      </c>
      <c r="N56" s="228">
        <v>469.4</v>
      </c>
      <c r="O56" s="228">
        <v>469.35</v>
      </c>
      <c r="P56" s="228">
        <v>0.05</v>
      </c>
      <c r="Q56" s="229">
        <v>1E-4</v>
      </c>
      <c r="R56" s="228">
        <v>473.35</v>
      </c>
      <c r="S56" s="228">
        <v>472.1</v>
      </c>
      <c r="T56" s="228">
        <v>1.25</v>
      </c>
      <c r="U56" s="229">
        <v>2.5999999999999999E-3</v>
      </c>
      <c r="V56" s="228">
        <v>475.3</v>
      </c>
      <c r="W56" s="228">
        <v>475.05</v>
      </c>
      <c r="X56" s="228">
        <v>0.25</v>
      </c>
      <c r="Y56" s="229">
        <v>5.0000000000000001E-4</v>
      </c>
      <c r="Z56" s="228">
        <v>2.0499999999999998</v>
      </c>
      <c r="AA56" s="228">
        <v>2.2999999999999998</v>
      </c>
      <c r="AB56" s="228">
        <v>-0.25</v>
      </c>
      <c r="AC56" s="229">
        <v>4.4000000000000003E-3</v>
      </c>
      <c r="AD56" s="228">
        <v>2.0499999999999998</v>
      </c>
      <c r="AE56" s="228">
        <v>2.2999999999999998</v>
      </c>
      <c r="AF56" s="228">
        <v>-0.25</v>
      </c>
      <c r="AG56" s="229">
        <v>4.4000000000000003E-3</v>
      </c>
      <c r="AH56" s="228">
        <v>6</v>
      </c>
      <c r="AI56" s="228">
        <v>5.05</v>
      </c>
      <c r="AJ56" s="228">
        <v>0.95</v>
      </c>
      <c r="AK56" s="229">
        <v>1.2800000000000001E-2</v>
      </c>
      <c r="AL56" s="228">
        <v>7.95</v>
      </c>
      <c r="AM56" s="228">
        <v>8</v>
      </c>
      <c r="AN56" s="228">
        <v>-0.05</v>
      </c>
      <c r="AO56" s="229">
        <v>1.7000000000000001E-2</v>
      </c>
      <c r="AP56" s="228">
        <v>470.23</v>
      </c>
      <c r="AQ56" s="228">
        <v>473.43</v>
      </c>
      <c r="AR56" s="228">
        <v>0</v>
      </c>
      <c r="AS56" s="228">
        <v>189</v>
      </c>
      <c r="AT56" s="228">
        <v>159</v>
      </c>
      <c r="AU56" s="228">
        <v>30</v>
      </c>
      <c r="AV56" s="229">
        <v>0.18920000000000001</v>
      </c>
      <c r="AW56" s="228">
        <v>184</v>
      </c>
      <c r="AX56" s="228">
        <v>152</v>
      </c>
      <c r="AY56" s="228">
        <v>32</v>
      </c>
      <c r="AZ56" s="229">
        <v>0.21190000000000001</v>
      </c>
      <c r="BA56" s="228">
        <v>4</v>
      </c>
      <c r="BB56" s="228">
        <v>7</v>
      </c>
      <c r="BC56" s="228">
        <v>-2</v>
      </c>
      <c r="BD56" s="229">
        <v>-0.32350000000000001</v>
      </c>
      <c r="BE56" s="228">
        <v>0</v>
      </c>
      <c r="BF56" s="228">
        <v>0</v>
      </c>
      <c r="BG56" s="228">
        <v>0</v>
      </c>
      <c r="BH56" s="229">
        <v>0</v>
      </c>
      <c r="BI56" s="228">
        <v>227</v>
      </c>
      <c r="BJ56" s="228">
        <v>233</v>
      </c>
      <c r="BK56" s="228">
        <v>-6</v>
      </c>
      <c r="BL56" s="229">
        <v>-2.5100000000000001E-2</v>
      </c>
      <c r="BM56" s="228">
        <v>74</v>
      </c>
      <c r="BN56" s="228">
        <v>95</v>
      </c>
      <c r="BO56" s="228">
        <v>-20</v>
      </c>
      <c r="BP56" s="229">
        <v>-0.2132</v>
      </c>
      <c r="BQ56" s="228">
        <v>491</v>
      </c>
      <c r="BR56" s="228">
        <v>487</v>
      </c>
      <c r="BS56" s="228">
        <v>4</v>
      </c>
      <c r="BT56" s="229">
        <v>8.3999999999999995E-3</v>
      </c>
      <c r="BU56" s="230">
        <v>1743814</v>
      </c>
      <c r="BV56" s="230">
        <v>2646159</v>
      </c>
      <c r="BW56" s="230">
        <v>-902345</v>
      </c>
      <c r="BX56" s="229">
        <v>-0.34100000000000003</v>
      </c>
      <c r="BY56" s="230">
        <v>1402</v>
      </c>
      <c r="BZ56" s="230">
        <v>1415</v>
      </c>
      <c r="CA56" s="228">
        <v>-13</v>
      </c>
      <c r="CB56" s="229">
        <v>-8.9999999999999993E-3</v>
      </c>
      <c r="CC56" s="230">
        <v>1390</v>
      </c>
      <c r="CD56" s="230">
        <v>1403</v>
      </c>
      <c r="CE56" s="228">
        <v>-14</v>
      </c>
      <c r="CF56" s="229">
        <v>-9.9000000000000008E-3</v>
      </c>
      <c r="CG56" s="228">
        <v>12</v>
      </c>
      <c r="CH56" s="228">
        <v>11</v>
      </c>
      <c r="CI56" s="228">
        <v>1</v>
      </c>
      <c r="CJ56" s="229">
        <v>8.8499999999999995E-2</v>
      </c>
      <c r="CK56" s="228">
        <v>1</v>
      </c>
      <c r="CL56" s="228">
        <v>1</v>
      </c>
      <c r="CM56" s="228">
        <v>0</v>
      </c>
      <c r="CN56" s="229">
        <v>0.125</v>
      </c>
      <c r="CO56" s="228">
        <v>261</v>
      </c>
      <c r="CP56" s="228">
        <v>245</v>
      </c>
      <c r="CQ56" s="228">
        <v>16</v>
      </c>
      <c r="CR56" s="229">
        <v>6.6900000000000001E-2</v>
      </c>
      <c r="CS56" s="228">
        <v>99</v>
      </c>
      <c r="CT56" s="228">
        <v>95</v>
      </c>
      <c r="CU56" s="228">
        <v>4</v>
      </c>
      <c r="CV56" s="229">
        <v>4.2900000000000001E-2</v>
      </c>
      <c r="CW56" s="230">
        <v>1763</v>
      </c>
      <c r="CX56" s="230">
        <v>1755</v>
      </c>
      <c r="CY56" s="228">
        <v>8</v>
      </c>
      <c r="CZ56" s="229">
        <v>4.4000000000000003E-3</v>
      </c>
      <c r="DA56" s="228">
        <v>37.08</v>
      </c>
      <c r="DB56" s="228">
        <v>37.700000000000003</v>
      </c>
      <c r="DC56" s="228">
        <v>-0.62</v>
      </c>
      <c r="DD56" s="228">
        <v>-0.62</v>
      </c>
      <c r="DE56" s="228">
        <v>38.96</v>
      </c>
      <c r="DF56" s="228">
        <v>39.06</v>
      </c>
      <c r="DG56" s="228">
        <v>-1.88</v>
      </c>
      <c r="DH56" s="228">
        <v>-0.1</v>
      </c>
      <c r="DI56" s="228">
        <v>36.68</v>
      </c>
      <c r="DJ56" s="228">
        <v>37.340000000000003</v>
      </c>
      <c r="DK56" s="228">
        <v>-0.66</v>
      </c>
      <c r="DL56" s="228">
        <v>-0.66</v>
      </c>
      <c r="DM56" s="228">
        <v>38.299999999999997</v>
      </c>
      <c r="DN56" s="228">
        <v>38.58</v>
      </c>
      <c r="DO56" s="228">
        <v>-0.28000000000000003</v>
      </c>
      <c r="DP56" s="228">
        <v>-0.28000000000000003</v>
      </c>
      <c r="DQ56" s="228">
        <v>0.38</v>
      </c>
      <c r="DR56" s="228">
        <v>0.39</v>
      </c>
      <c r="DS56" s="228">
        <v>-0.01</v>
      </c>
      <c r="DT56" s="229">
        <v>-2.5600000000000001E-2</v>
      </c>
      <c r="DU56" s="228">
        <v>500</v>
      </c>
      <c r="DV56" s="228">
        <v>450</v>
      </c>
      <c r="DW56" s="228">
        <v>0.33</v>
      </c>
      <c r="DX56" s="228">
        <v>0.41</v>
      </c>
      <c r="DY56" s="228">
        <v>-0.08</v>
      </c>
      <c r="DZ56" s="229">
        <v>-0.1951</v>
      </c>
      <c r="EA56" s="229">
        <v>9.1999999999999998E-3</v>
      </c>
      <c r="EB56" s="230">
        <v>251075</v>
      </c>
      <c r="EC56" s="229">
        <v>8.3999999999999995E-3</v>
      </c>
      <c r="ED56" s="229">
        <v>9.1999999999999998E-3</v>
      </c>
      <c r="EE56" s="228">
        <v>3.2</v>
      </c>
      <c r="EF56" s="229">
        <v>6.7999999999999996E-3</v>
      </c>
      <c r="EG56" s="230">
        <v>814767</v>
      </c>
      <c r="EH56" s="230">
        <v>1402193</v>
      </c>
      <c r="EI56" s="229">
        <v>-0.41889999999999999</v>
      </c>
      <c r="EJ56" s="229">
        <v>0.4672</v>
      </c>
      <c r="EK56" s="228">
        <v>244.38</v>
      </c>
      <c r="EL56" s="228">
        <v>74.12</v>
      </c>
      <c r="EM56" s="228">
        <v>189.52</v>
      </c>
      <c r="EN56" s="228">
        <v>52.54</v>
      </c>
      <c r="EO56" s="228">
        <v>508.02</v>
      </c>
      <c r="EP56" s="228">
        <v>495.14</v>
      </c>
      <c r="EQ56" s="228">
        <v>12.87</v>
      </c>
      <c r="ER56" s="229">
        <v>2.5999999999999999E-2</v>
      </c>
      <c r="ES56" s="228">
        <v>271.18</v>
      </c>
      <c r="ET56" s="228">
        <v>93.65</v>
      </c>
      <c r="EU56" s="231">
        <v>1402.58</v>
      </c>
      <c r="EV56" s="231">
        <v>83072620</v>
      </c>
      <c r="EW56" s="231">
        <v>1767.42</v>
      </c>
      <c r="EX56" s="231">
        <v>1758.42</v>
      </c>
      <c r="EY56" s="228">
        <v>9</v>
      </c>
      <c r="EZ56" s="229">
        <v>5.1000000000000004E-3</v>
      </c>
      <c r="FA56" s="229">
        <v>0.4521</v>
      </c>
      <c r="FB56" s="227" t="s">
        <v>691</v>
      </c>
      <c r="FC56">
        <f t="shared" si="0"/>
        <v>12</v>
      </c>
    </row>
    <row r="57" spans="1:159" ht="17.25" thickBot="1" x14ac:dyDescent="0.3">
      <c r="A57" s="226">
        <v>46146</v>
      </c>
      <c r="B57" s="227" t="s">
        <v>170</v>
      </c>
      <c r="C57" s="227" t="s">
        <v>205</v>
      </c>
      <c r="D57" s="228">
        <v>100</v>
      </c>
      <c r="E57" s="228">
        <v>22</v>
      </c>
      <c r="F57" s="231">
        <v>6639</v>
      </c>
      <c r="G57" s="231">
        <v>6541</v>
      </c>
      <c r="H57" s="228">
        <v>98</v>
      </c>
      <c r="I57" s="229">
        <v>1.4999999999999999E-2</v>
      </c>
      <c r="J57" s="231">
        <v>6619.5</v>
      </c>
      <c r="K57" s="231">
        <v>6502.5</v>
      </c>
      <c r="L57" s="228">
        <v>117</v>
      </c>
      <c r="M57" s="229">
        <v>1.7999999999999999E-2</v>
      </c>
      <c r="N57" s="231">
        <v>6639</v>
      </c>
      <c r="O57" s="231">
        <v>6541</v>
      </c>
      <c r="P57" s="228">
        <v>98</v>
      </c>
      <c r="Q57" s="229">
        <v>1.4999999999999999E-2</v>
      </c>
      <c r="R57" s="231">
        <v>6678</v>
      </c>
      <c r="S57" s="231">
        <v>6580</v>
      </c>
      <c r="T57" s="228">
        <v>98</v>
      </c>
      <c r="U57" s="229">
        <v>1.49E-2</v>
      </c>
      <c r="V57" s="231">
        <v>6683.5</v>
      </c>
      <c r="W57" s="228">
        <v>0</v>
      </c>
      <c r="X57" s="231">
        <v>6683.5</v>
      </c>
      <c r="Y57" s="229">
        <v>0</v>
      </c>
      <c r="Z57" s="228">
        <v>19.5</v>
      </c>
      <c r="AA57" s="228">
        <v>38.5</v>
      </c>
      <c r="AB57" s="228">
        <v>-19</v>
      </c>
      <c r="AC57" s="229">
        <v>2.8999999999999998E-3</v>
      </c>
      <c r="AD57" s="228">
        <v>19.5</v>
      </c>
      <c r="AE57" s="228">
        <v>38.5</v>
      </c>
      <c r="AF57" s="228">
        <v>-19</v>
      </c>
      <c r="AG57" s="229">
        <v>2.8999999999999998E-3</v>
      </c>
      <c r="AH57" s="228">
        <v>58.5</v>
      </c>
      <c r="AI57" s="228">
        <v>77.5</v>
      </c>
      <c r="AJ57" s="228">
        <v>-19</v>
      </c>
      <c r="AK57" s="229">
        <v>8.8000000000000005E-3</v>
      </c>
      <c r="AL57" s="228">
        <v>64</v>
      </c>
      <c r="AM57" s="228">
        <v>0</v>
      </c>
      <c r="AN57" s="228">
        <v>64</v>
      </c>
      <c r="AO57" s="229">
        <v>9.7000000000000003E-3</v>
      </c>
      <c r="AP57" s="231">
        <v>6621.73</v>
      </c>
      <c r="AQ57" s="231">
        <v>6653</v>
      </c>
      <c r="AR57" s="228">
        <v>0</v>
      </c>
      <c r="AS57" s="228">
        <v>158</v>
      </c>
      <c r="AT57" s="228">
        <v>132</v>
      </c>
      <c r="AU57" s="228">
        <v>26</v>
      </c>
      <c r="AV57" s="229">
        <v>0.20019999999999999</v>
      </c>
      <c r="AW57" s="228">
        <v>152</v>
      </c>
      <c r="AX57" s="228">
        <v>127</v>
      </c>
      <c r="AY57" s="228">
        <v>25</v>
      </c>
      <c r="AZ57" s="229">
        <v>0.19650000000000001</v>
      </c>
      <c r="BA57" s="228">
        <v>5</v>
      </c>
      <c r="BB57" s="228">
        <v>5</v>
      </c>
      <c r="BC57" s="228">
        <v>1</v>
      </c>
      <c r="BD57" s="229">
        <v>0.1429</v>
      </c>
      <c r="BE57" s="228">
        <v>1</v>
      </c>
      <c r="BF57" s="228">
        <v>0</v>
      </c>
      <c r="BG57" s="228">
        <v>1</v>
      </c>
      <c r="BH57" s="229">
        <v>0</v>
      </c>
      <c r="BI57" s="228">
        <v>769</v>
      </c>
      <c r="BJ57" s="228">
        <v>367</v>
      </c>
      <c r="BK57" s="228">
        <v>401</v>
      </c>
      <c r="BL57" s="229">
        <v>1.0922000000000001</v>
      </c>
      <c r="BM57" s="228">
        <v>267</v>
      </c>
      <c r="BN57" s="228">
        <v>173</v>
      </c>
      <c r="BO57" s="228">
        <v>94</v>
      </c>
      <c r="BP57" s="229">
        <v>0.5464</v>
      </c>
      <c r="BQ57" s="230">
        <v>1193</v>
      </c>
      <c r="BR57" s="228">
        <v>672</v>
      </c>
      <c r="BS57" s="228">
        <v>522</v>
      </c>
      <c r="BT57" s="229">
        <v>0.77710000000000001</v>
      </c>
      <c r="BU57" s="230">
        <v>386800</v>
      </c>
      <c r="BV57" s="230">
        <v>393137</v>
      </c>
      <c r="BW57" s="230">
        <v>-6337</v>
      </c>
      <c r="BX57" s="229">
        <v>-1.61E-2</v>
      </c>
      <c r="BY57" s="230">
        <v>1612</v>
      </c>
      <c r="BZ57" s="230">
        <v>1622</v>
      </c>
      <c r="CA57" s="228">
        <v>-10</v>
      </c>
      <c r="CB57" s="229">
        <v>-6.3E-3</v>
      </c>
      <c r="CC57" s="230">
        <v>1418</v>
      </c>
      <c r="CD57" s="230">
        <v>1430</v>
      </c>
      <c r="CE57" s="228">
        <v>-12</v>
      </c>
      <c r="CF57" s="229">
        <v>-8.3000000000000001E-3</v>
      </c>
      <c r="CG57" s="228">
        <v>194</v>
      </c>
      <c r="CH57" s="228">
        <v>193</v>
      </c>
      <c r="CI57" s="228">
        <v>1</v>
      </c>
      <c r="CJ57" s="229">
        <v>5.8999999999999999E-3</v>
      </c>
      <c r="CK57" s="228">
        <v>0</v>
      </c>
      <c r="CL57" s="228">
        <v>0</v>
      </c>
      <c r="CM57" s="228">
        <v>0</v>
      </c>
      <c r="CN57" s="229">
        <v>0</v>
      </c>
      <c r="CO57" s="228">
        <v>373</v>
      </c>
      <c r="CP57" s="228">
        <v>300</v>
      </c>
      <c r="CQ57" s="228">
        <v>73</v>
      </c>
      <c r="CR57" s="229">
        <v>0.24249999999999999</v>
      </c>
      <c r="CS57" s="228">
        <v>276</v>
      </c>
      <c r="CT57" s="228">
        <v>224</v>
      </c>
      <c r="CU57" s="228">
        <v>52</v>
      </c>
      <c r="CV57" s="229">
        <v>0.23</v>
      </c>
      <c r="CW57" s="230">
        <v>2261</v>
      </c>
      <c r="CX57" s="230">
        <v>2147</v>
      </c>
      <c r="CY57" s="228">
        <v>114</v>
      </c>
      <c r="CZ57" s="229">
        <v>5.3199999999999997E-2</v>
      </c>
      <c r="DA57" s="228">
        <v>29.07</v>
      </c>
      <c r="DB57" s="228">
        <v>30.01</v>
      </c>
      <c r="DC57" s="228">
        <v>-0.94</v>
      </c>
      <c r="DD57" s="228">
        <v>-0.94</v>
      </c>
      <c r="DE57" s="228">
        <v>29.39</v>
      </c>
      <c r="DF57" s="228">
        <v>29.37</v>
      </c>
      <c r="DG57" s="228">
        <v>-0.32</v>
      </c>
      <c r="DH57" s="228">
        <v>0.02</v>
      </c>
      <c r="DI57" s="228">
        <v>28.9</v>
      </c>
      <c r="DJ57" s="228">
        <v>29.93</v>
      </c>
      <c r="DK57" s="228">
        <v>-1.03</v>
      </c>
      <c r="DL57" s="228">
        <v>-1.03</v>
      </c>
      <c r="DM57" s="228">
        <v>29.56</v>
      </c>
      <c r="DN57" s="228">
        <v>30.16</v>
      </c>
      <c r="DO57" s="228">
        <v>-0.6</v>
      </c>
      <c r="DP57" s="228">
        <v>-0.6</v>
      </c>
      <c r="DQ57" s="228">
        <v>0.74</v>
      </c>
      <c r="DR57" s="228">
        <v>0.75</v>
      </c>
      <c r="DS57" s="228">
        <v>-0.01</v>
      </c>
      <c r="DT57" s="229">
        <v>-1.3299999999999999E-2</v>
      </c>
      <c r="DU57" s="231">
        <v>7000</v>
      </c>
      <c r="DV57" s="231">
        <v>6500</v>
      </c>
      <c r="DW57" s="228">
        <v>0.35</v>
      </c>
      <c r="DX57" s="228">
        <v>0.47</v>
      </c>
      <c r="DY57" s="228">
        <v>-0.12</v>
      </c>
      <c r="DZ57" s="229">
        <v>-0.25530000000000003</v>
      </c>
      <c r="EA57" s="229">
        <v>0.1205</v>
      </c>
      <c r="EB57" s="230">
        <v>290100</v>
      </c>
      <c r="EC57" s="229">
        <v>5.8999999999999999E-3</v>
      </c>
      <c r="ED57" s="229">
        <v>0.1205</v>
      </c>
      <c r="EE57" s="228">
        <v>31.27</v>
      </c>
      <c r="EF57" s="229">
        <v>4.7000000000000002E-3</v>
      </c>
      <c r="EG57" s="230">
        <v>196956</v>
      </c>
      <c r="EH57" s="230">
        <v>243443</v>
      </c>
      <c r="EI57" s="229">
        <v>-0.191</v>
      </c>
      <c r="EJ57" s="229">
        <v>0.50919999999999999</v>
      </c>
      <c r="EK57" s="228">
        <v>800.84</v>
      </c>
      <c r="EL57" s="228">
        <v>260.33999999999997</v>
      </c>
      <c r="EM57" s="228">
        <v>157.63</v>
      </c>
      <c r="EN57" s="228">
        <v>58.31</v>
      </c>
      <c r="EO57" s="231">
        <v>1218.81</v>
      </c>
      <c r="EP57" s="228">
        <v>672.99</v>
      </c>
      <c r="EQ57" s="228">
        <v>545.82000000000005</v>
      </c>
      <c r="ER57" s="229">
        <v>0.81100000000000005</v>
      </c>
      <c r="ES57" s="228">
        <v>380.25</v>
      </c>
      <c r="ET57" s="228">
        <v>259.91000000000003</v>
      </c>
      <c r="EU57" s="231">
        <v>1613.22</v>
      </c>
      <c r="EV57" s="231">
        <v>15815194</v>
      </c>
      <c r="EW57" s="231">
        <v>2253.38</v>
      </c>
      <c r="EX57" s="231">
        <v>2111.69</v>
      </c>
      <c r="EY57" s="228">
        <v>141.69</v>
      </c>
      <c r="EZ57" s="229">
        <v>6.7100000000000007E-2</v>
      </c>
      <c r="FA57" s="229">
        <v>0.21529999999999999</v>
      </c>
      <c r="FB57" s="227" t="s">
        <v>691</v>
      </c>
      <c r="FC57">
        <f t="shared" si="0"/>
        <v>194</v>
      </c>
    </row>
    <row r="58" spans="1:159" ht="17.25" thickBot="1" x14ac:dyDescent="0.3">
      <c r="A58" s="226">
        <v>46146</v>
      </c>
      <c r="B58" s="227" t="s">
        <v>184</v>
      </c>
      <c r="C58" s="227" t="s">
        <v>512</v>
      </c>
      <c r="D58" s="228">
        <v>50</v>
      </c>
      <c r="E58" s="228">
        <v>22</v>
      </c>
      <c r="F58" s="231">
        <v>11472</v>
      </c>
      <c r="G58" s="231">
        <v>11234.5</v>
      </c>
      <c r="H58" s="228">
        <v>237.5</v>
      </c>
      <c r="I58" s="229">
        <v>2.1100000000000001E-2</v>
      </c>
      <c r="J58" s="231">
        <v>11408</v>
      </c>
      <c r="K58" s="231">
        <v>11166.5</v>
      </c>
      <c r="L58" s="228">
        <v>241.5</v>
      </c>
      <c r="M58" s="229">
        <v>2.1600000000000001E-2</v>
      </c>
      <c r="N58" s="231">
        <v>11472</v>
      </c>
      <c r="O58" s="231">
        <v>11234.5</v>
      </c>
      <c r="P58" s="228">
        <v>237.5</v>
      </c>
      <c r="Q58" s="229">
        <v>2.1100000000000001E-2</v>
      </c>
      <c r="R58" s="231">
        <v>11427</v>
      </c>
      <c r="S58" s="231">
        <v>11191.5</v>
      </c>
      <c r="T58" s="228">
        <v>235.5</v>
      </c>
      <c r="U58" s="229">
        <v>2.1000000000000001E-2</v>
      </c>
      <c r="V58" s="231">
        <v>11364</v>
      </c>
      <c r="W58" s="231">
        <v>11170.5</v>
      </c>
      <c r="X58" s="228">
        <v>193.5</v>
      </c>
      <c r="Y58" s="229">
        <v>1.7299999999999999E-2</v>
      </c>
      <c r="Z58" s="228">
        <v>64</v>
      </c>
      <c r="AA58" s="228">
        <v>68</v>
      </c>
      <c r="AB58" s="228">
        <v>-4</v>
      </c>
      <c r="AC58" s="229">
        <v>5.5999999999999999E-3</v>
      </c>
      <c r="AD58" s="228">
        <v>64</v>
      </c>
      <c r="AE58" s="228">
        <v>68</v>
      </c>
      <c r="AF58" s="228">
        <v>-4</v>
      </c>
      <c r="AG58" s="229">
        <v>5.5999999999999999E-3</v>
      </c>
      <c r="AH58" s="228">
        <v>19</v>
      </c>
      <c r="AI58" s="228">
        <v>25</v>
      </c>
      <c r="AJ58" s="228">
        <v>-6</v>
      </c>
      <c r="AK58" s="229">
        <v>1.6999999999999999E-3</v>
      </c>
      <c r="AL58" s="228">
        <v>-44</v>
      </c>
      <c r="AM58" s="228">
        <v>4</v>
      </c>
      <c r="AN58" s="228">
        <v>-48</v>
      </c>
      <c r="AO58" s="229">
        <v>-3.8999999999999998E-3</v>
      </c>
      <c r="AP58" s="231">
        <v>11353.18</v>
      </c>
      <c r="AQ58" s="231">
        <v>11322.59</v>
      </c>
      <c r="AR58" s="228">
        <v>0</v>
      </c>
      <c r="AS58" s="228">
        <v>582</v>
      </c>
      <c r="AT58" s="228">
        <v>724</v>
      </c>
      <c r="AU58" s="228">
        <v>-142</v>
      </c>
      <c r="AV58" s="229">
        <v>-0.19620000000000001</v>
      </c>
      <c r="AW58" s="228">
        <v>537</v>
      </c>
      <c r="AX58" s="228">
        <v>663</v>
      </c>
      <c r="AY58" s="228">
        <v>-125</v>
      </c>
      <c r="AZ58" s="229">
        <v>-0.189</v>
      </c>
      <c r="BA58" s="228">
        <v>37</v>
      </c>
      <c r="BB58" s="228">
        <v>51</v>
      </c>
      <c r="BC58" s="228">
        <v>-14</v>
      </c>
      <c r="BD58" s="229">
        <v>-0.28110000000000002</v>
      </c>
      <c r="BE58" s="228">
        <v>8</v>
      </c>
      <c r="BF58" s="228">
        <v>10</v>
      </c>
      <c r="BG58" s="228">
        <v>-2</v>
      </c>
      <c r="BH58" s="229">
        <v>-0.2384</v>
      </c>
      <c r="BI58" s="230">
        <v>1059</v>
      </c>
      <c r="BJ58" s="230">
        <v>1346</v>
      </c>
      <c r="BK58" s="228">
        <v>-287</v>
      </c>
      <c r="BL58" s="229">
        <v>-0.2135</v>
      </c>
      <c r="BM58" s="228">
        <v>779</v>
      </c>
      <c r="BN58" s="228">
        <v>901</v>
      </c>
      <c r="BO58" s="228">
        <v>-122</v>
      </c>
      <c r="BP58" s="229">
        <v>-0.1353</v>
      </c>
      <c r="BQ58" s="230">
        <v>2419</v>
      </c>
      <c r="BR58" s="230">
        <v>2971</v>
      </c>
      <c r="BS58" s="228">
        <v>-551</v>
      </c>
      <c r="BT58" s="229">
        <v>-0.18559999999999999</v>
      </c>
      <c r="BU58" s="230">
        <v>420504</v>
      </c>
      <c r="BV58" s="230">
        <v>484216</v>
      </c>
      <c r="BW58" s="230">
        <v>-63712</v>
      </c>
      <c r="BX58" s="229">
        <v>-0.13159999999999999</v>
      </c>
      <c r="BY58" s="230">
        <v>3405</v>
      </c>
      <c r="BZ58" s="230">
        <v>3404</v>
      </c>
      <c r="CA58" s="228">
        <v>1</v>
      </c>
      <c r="CB58" s="229">
        <v>2.0000000000000001E-4</v>
      </c>
      <c r="CC58" s="230">
        <v>3224</v>
      </c>
      <c r="CD58" s="230">
        <v>3230</v>
      </c>
      <c r="CE58" s="228">
        <v>-6</v>
      </c>
      <c r="CF58" s="229">
        <v>-1.9E-3</v>
      </c>
      <c r="CG58" s="228">
        <v>169</v>
      </c>
      <c r="CH58" s="228">
        <v>164</v>
      </c>
      <c r="CI58" s="228">
        <v>5</v>
      </c>
      <c r="CJ58" s="229">
        <v>3.15E-2</v>
      </c>
      <c r="CK58" s="228">
        <v>13</v>
      </c>
      <c r="CL58" s="228">
        <v>11</v>
      </c>
      <c r="CM58" s="228">
        <v>2</v>
      </c>
      <c r="CN58" s="229">
        <v>0.16750000000000001</v>
      </c>
      <c r="CO58" s="230">
        <v>1089</v>
      </c>
      <c r="CP58" s="230">
        <v>1063</v>
      </c>
      <c r="CQ58" s="228">
        <v>27</v>
      </c>
      <c r="CR58" s="229">
        <v>2.5000000000000001E-2</v>
      </c>
      <c r="CS58" s="230">
        <v>1020</v>
      </c>
      <c r="CT58" s="228">
        <v>975</v>
      </c>
      <c r="CU58" s="228">
        <v>45</v>
      </c>
      <c r="CV58" s="229">
        <v>4.6399999999999997E-2</v>
      </c>
      <c r="CW58" s="230">
        <v>5515</v>
      </c>
      <c r="CX58" s="230">
        <v>5442</v>
      </c>
      <c r="CY58" s="228">
        <v>73</v>
      </c>
      <c r="CZ58" s="229">
        <v>1.3299999999999999E-2</v>
      </c>
      <c r="DA58" s="228">
        <v>49.27</v>
      </c>
      <c r="DB58" s="228">
        <v>49.79</v>
      </c>
      <c r="DC58" s="228">
        <v>-0.52</v>
      </c>
      <c r="DD58" s="228">
        <v>-0.52</v>
      </c>
      <c r="DE58" s="228">
        <v>48.89</v>
      </c>
      <c r="DF58" s="228">
        <v>48.93</v>
      </c>
      <c r="DG58" s="228">
        <v>0.38</v>
      </c>
      <c r="DH58" s="228">
        <v>-0.04</v>
      </c>
      <c r="DI58" s="228">
        <v>48.44</v>
      </c>
      <c r="DJ58" s="228">
        <v>49.66</v>
      </c>
      <c r="DK58" s="228">
        <v>-1.22</v>
      </c>
      <c r="DL58" s="228">
        <v>-1.22</v>
      </c>
      <c r="DM58" s="228">
        <v>50.39</v>
      </c>
      <c r="DN58" s="228">
        <v>49.98</v>
      </c>
      <c r="DO58" s="228">
        <v>0.41</v>
      </c>
      <c r="DP58" s="228">
        <v>0.41</v>
      </c>
      <c r="DQ58" s="228">
        <v>0.94</v>
      </c>
      <c r="DR58" s="228">
        <v>0.92</v>
      </c>
      <c r="DS58" s="228">
        <v>0.02</v>
      </c>
      <c r="DT58" s="229">
        <v>2.1700000000000001E-2</v>
      </c>
      <c r="DU58" s="231">
        <v>12000</v>
      </c>
      <c r="DV58" s="231">
        <v>11000</v>
      </c>
      <c r="DW58" s="228">
        <v>0.74</v>
      </c>
      <c r="DX58" s="228">
        <v>0.67</v>
      </c>
      <c r="DY58" s="228">
        <v>7.0000000000000007E-2</v>
      </c>
      <c r="DZ58" s="229">
        <v>0.1045</v>
      </c>
      <c r="EA58" s="229">
        <v>5.3400000000000003E-2</v>
      </c>
      <c r="EB58" s="230">
        <v>152300</v>
      </c>
      <c r="EC58" s="229">
        <v>-3.8999999999999998E-3</v>
      </c>
      <c r="ED58" s="229">
        <v>5.3400000000000003E-2</v>
      </c>
      <c r="EE58" s="228">
        <v>-30.59</v>
      </c>
      <c r="EF58" s="229">
        <v>-2.7000000000000001E-3</v>
      </c>
      <c r="EG58" s="230">
        <v>106827</v>
      </c>
      <c r="EH58" s="230">
        <v>113844</v>
      </c>
      <c r="EI58" s="229">
        <v>-6.1600000000000002E-2</v>
      </c>
      <c r="EJ58" s="229">
        <v>0.254</v>
      </c>
      <c r="EK58" s="231">
        <v>1129.6199999999999</v>
      </c>
      <c r="EL58" s="228">
        <v>732.42</v>
      </c>
      <c r="EM58" s="228">
        <v>575.45000000000005</v>
      </c>
      <c r="EN58" s="228">
        <v>289.73</v>
      </c>
      <c r="EO58" s="231">
        <v>2437.4899999999998</v>
      </c>
      <c r="EP58" s="231">
        <v>3010.66</v>
      </c>
      <c r="EQ58" s="228">
        <v>-573.16999999999996</v>
      </c>
      <c r="ER58" s="229">
        <v>-0.19040000000000001</v>
      </c>
      <c r="ES58" s="231">
        <v>1120.9000000000001</v>
      </c>
      <c r="ET58" s="228">
        <v>945.25</v>
      </c>
      <c r="EU58" s="231">
        <v>3404.45</v>
      </c>
      <c r="EV58" s="231">
        <v>6478285</v>
      </c>
      <c r="EW58" s="231">
        <v>5470.6</v>
      </c>
      <c r="EX58" s="231">
        <v>5322.03</v>
      </c>
      <c r="EY58" s="228">
        <v>148.57</v>
      </c>
      <c r="EZ58" s="229">
        <v>2.7900000000000001E-2</v>
      </c>
      <c r="FA58" s="229">
        <v>0.74199999999999999</v>
      </c>
      <c r="FB58" s="227" t="s">
        <v>555</v>
      </c>
      <c r="FC58">
        <f t="shared" si="0"/>
        <v>181</v>
      </c>
    </row>
    <row r="59" spans="1:159" ht="17.25" thickBot="1" x14ac:dyDescent="0.3">
      <c r="A59" s="226">
        <v>46146</v>
      </c>
      <c r="B59" s="227" t="s">
        <v>206</v>
      </c>
      <c r="C59" s="227" t="s">
        <v>207</v>
      </c>
      <c r="D59" s="228">
        <v>825</v>
      </c>
      <c r="E59" s="228">
        <v>22</v>
      </c>
      <c r="F59" s="228">
        <v>608.79999999999995</v>
      </c>
      <c r="G59" s="228">
        <v>590.35</v>
      </c>
      <c r="H59" s="228">
        <v>18.45</v>
      </c>
      <c r="I59" s="229">
        <v>3.1300000000000001E-2</v>
      </c>
      <c r="J59" s="228">
        <v>607.20000000000005</v>
      </c>
      <c r="K59" s="228">
        <v>587</v>
      </c>
      <c r="L59" s="228">
        <v>20.2</v>
      </c>
      <c r="M59" s="229">
        <v>3.44E-2</v>
      </c>
      <c r="N59" s="228">
        <v>608.79999999999995</v>
      </c>
      <c r="O59" s="228">
        <v>590.35</v>
      </c>
      <c r="P59" s="228">
        <v>18.45</v>
      </c>
      <c r="Q59" s="229">
        <v>3.1300000000000001E-2</v>
      </c>
      <c r="R59" s="228">
        <v>611.95000000000005</v>
      </c>
      <c r="S59" s="228">
        <v>594</v>
      </c>
      <c r="T59" s="228">
        <v>17.95</v>
      </c>
      <c r="U59" s="229">
        <v>3.0200000000000001E-2</v>
      </c>
      <c r="V59" s="228">
        <v>613.70000000000005</v>
      </c>
      <c r="W59" s="228">
        <v>594</v>
      </c>
      <c r="X59" s="228">
        <v>19.7</v>
      </c>
      <c r="Y59" s="229">
        <v>3.32E-2</v>
      </c>
      <c r="Z59" s="228">
        <v>1.6</v>
      </c>
      <c r="AA59" s="228">
        <v>3.35</v>
      </c>
      <c r="AB59" s="228">
        <v>-1.75</v>
      </c>
      <c r="AC59" s="229">
        <v>2.5999999999999999E-3</v>
      </c>
      <c r="AD59" s="228">
        <v>1.6</v>
      </c>
      <c r="AE59" s="228">
        <v>3.35</v>
      </c>
      <c r="AF59" s="228">
        <v>-1.75</v>
      </c>
      <c r="AG59" s="229">
        <v>2.5999999999999999E-3</v>
      </c>
      <c r="AH59" s="228">
        <v>4.75</v>
      </c>
      <c r="AI59" s="228">
        <v>7</v>
      </c>
      <c r="AJ59" s="228">
        <v>-2.25</v>
      </c>
      <c r="AK59" s="229">
        <v>7.7999999999999996E-3</v>
      </c>
      <c r="AL59" s="228">
        <v>6.5</v>
      </c>
      <c r="AM59" s="228">
        <v>7</v>
      </c>
      <c r="AN59" s="228">
        <v>-0.5</v>
      </c>
      <c r="AO59" s="229">
        <v>1.0699999999999999E-2</v>
      </c>
      <c r="AP59" s="228">
        <v>606.55999999999995</v>
      </c>
      <c r="AQ59" s="228">
        <v>609.12</v>
      </c>
      <c r="AR59" s="228">
        <v>0</v>
      </c>
      <c r="AS59" s="228">
        <v>315</v>
      </c>
      <c r="AT59" s="228">
        <v>252</v>
      </c>
      <c r="AU59" s="228">
        <v>64</v>
      </c>
      <c r="AV59" s="229">
        <v>0.25219999999999998</v>
      </c>
      <c r="AW59" s="228">
        <v>305</v>
      </c>
      <c r="AX59" s="228">
        <v>245</v>
      </c>
      <c r="AY59" s="228">
        <v>61</v>
      </c>
      <c r="AZ59" s="229">
        <v>0.2482</v>
      </c>
      <c r="BA59" s="228">
        <v>9</v>
      </c>
      <c r="BB59" s="228">
        <v>7</v>
      </c>
      <c r="BC59" s="228">
        <v>2</v>
      </c>
      <c r="BD59" s="229">
        <v>0.3286</v>
      </c>
      <c r="BE59" s="228">
        <v>1</v>
      </c>
      <c r="BF59" s="228">
        <v>0</v>
      </c>
      <c r="BG59" s="228">
        <v>1</v>
      </c>
      <c r="BH59" s="229">
        <v>1.375</v>
      </c>
      <c r="BI59" s="228">
        <v>703</v>
      </c>
      <c r="BJ59" s="228">
        <v>339</v>
      </c>
      <c r="BK59" s="228">
        <v>365</v>
      </c>
      <c r="BL59" s="229">
        <v>1.077</v>
      </c>
      <c r="BM59" s="228">
        <v>295</v>
      </c>
      <c r="BN59" s="228">
        <v>446</v>
      </c>
      <c r="BO59" s="228">
        <v>-151</v>
      </c>
      <c r="BP59" s="229">
        <v>-0.33839999999999998</v>
      </c>
      <c r="BQ59" s="230">
        <v>1314</v>
      </c>
      <c r="BR59" s="230">
        <v>1037</v>
      </c>
      <c r="BS59" s="228">
        <v>277</v>
      </c>
      <c r="BT59" s="229">
        <v>0.26740000000000003</v>
      </c>
      <c r="BU59" s="230">
        <v>4338515</v>
      </c>
      <c r="BV59" s="230">
        <v>3676326</v>
      </c>
      <c r="BW59" s="230">
        <v>662189</v>
      </c>
      <c r="BX59" s="229">
        <v>0.18010000000000001</v>
      </c>
      <c r="BY59" s="230">
        <v>2779</v>
      </c>
      <c r="BZ59" s="230">
        <v>2761</v>
      </c>
      <c r="CA59" s="228">
        <v>18</v>
      </c>
      <c r="CB59" s="229">
        <v>6.4999999999999997E-3</v>
      </c>
      <c r="CC59" s="230">
        <v>2597</v>
      </c>
      <c r="CD59" s="230">
        <v>2580</v>
      </c>
      <c r="CE59" s="228">
        <v>17</v>
      </c>
      <c r="CF59" s="229">
        <v>6.6E-3</v>
      </c>
      <c r="CG59" s="228">
        <v>180</v>
      </c>
      <c r="CH59" s="228">
        <v>180</v>
      </c>
      <c r="CI59" s="228">
        <v>0</v>
      </c>
      <c r="CJ59" s="229">
        <v>2E-3</v>
      </c>
      <c r="CK59" s="228">
        <v>1</v>
      </c>
      <c r="CL59" s="228">
        <v>1</v>
      </c>
      <c r="CM59" s="228">
        <v>0</v>
      </c>
      <c r="CN59" s="229">
        <v>0.61539999999999995</v>
      </c>
      <c r="CO59" s="228">
        <v>432</v>
      </c>
      <c r="CP59" s="228">
        <v>375</v>
      </c>
      <c r="CQ59" s="228">
        <v>57</v>
      </c>
      <c r="CR59" s="229">
        <v>0.15090000000000001</v>
      </c>
      <c r="CS59" s="228">
        <v>348</v>
      </c>
      <c r="CT59" s="228">
        <v>329</v>
      </c>
      <c r="CU59" s="228">
        <v>19</v>
      </c>
      <c r="CV59" s="229">
        <v>5.74E-2</v>
      </c>
      <c r="CW59" s="230">
        <v>3558</v>
      </c>
      <c r="CX59" s="230">
        <v>3465</v>
      </c>
      <c r="CY59" s="228">
        <v>93</v>
      </c>
      <c r="CZ59" s="229">
        <v>2.69E-2</v>
      </c>
      <c r="DA59" s="228">
        <v>36.81</v>
      </c>
      <c r="DB59" s="228">
        <v>36.96</v>
      </c>
      <c r="DC59" s="228">
        <v>-0.15</v>
      </c>
      <c r="DD59" s="228">
        <v>-0.15</v>
      </c>
      <c r="DE59" s="228">
        <v>37.83</v>
      </c>
      <c r="DF59" s="228">
        <v>37.64</v>
      </c>
      <c r="DG59" s="228">
        <v>-1.02</v>
      </c>
      <c r="DH59" s="228">
        <v>0.19</v>
      </c>
      <c r="DI59" s="228">
        <v>36.58</v>
      </c>
      <c r="DJ59" s="228">
        <v>36.729999999999997</v>
      </c>
      <c r="DK59" s="228">
        <v>-0.15</v>
      </c>
      <c r="DL59" s="228">
        <v>-0.15</v>
      </c>
      <c r="DM59" s="228">
        <v>37.35</v>
      </c>
      <c r="DN59" s="228">
        <v>37.14</v>
      </c>
      <c r="DO59" s="228">
        <v>0.21</v>
      </c>
      <c r="DP59" s="228">
        <v>0.21</v>
      </c>
      <c r="DQ59" s="228">
        <v>0.81</v>
      </c>
      <c r="DR59" s="228">
        <v>0.88</v>
      </c>
      <c r="DS59" s="228">
        <v>-7.0000000000000007E-2</v>
      </c>
      <c r="DT59" s="229">
        <v>-7.9500000000000001E-2</v>
      </c>
      <c r="DU59" s="228">
        <v>600</v>
      </c>
      <c r="DV59" s="228">
        <v>600</v>
      </c>
      <c r="DW59" s="228">
        <v>0.42</v>
      </c>
      <c r="DX59" s="228">
        <v>1.32</v>
      </c>
      <c r="DY59" s="228">
        <v>-0.9</v>
      </c>
      <c r="DZ59" s="229">
        <v>-0.68179999999999996</v>
      </c>
      <c r="EA59" s="229">
        <v>6.5299999999999997E-2</v>
      </c>
      <c r="EB59" s="230">
        <v>2966675</v>
      </c>
      <c r="EC59" s="229">
        <v>5.1999999999999998E-3</v>
      </c>
      <c r="ED59" s="229">
        <v>6.5299999999999997E-2</v>
      </c>
      <c r="EE59" s="228">
        <v>2.56</v>
      </c>
      <c r="EF59" s="229">
        <v>4.1999999999999997E-3</v>
      </c>
      <c r="EG59" s="230">
        <v>1833300</v>
      </c>
      <c r="EH59" s="230">
        <v>1852536</v>
      </c>
      <c r="EI59" s="229">
        <v>-1.04E-2</v>
      </c>
      <c r="EJ59" s="229">
        <v>0.42259999999999998</v>
      </c>
      <c r="EK59" s="228">
        <v>739.4</v>
      </c>
      <c r="EL59" s="228">
        <v>287.58</v>
      </c>
      <c r="EM59" s="228">
        <v>314.5</v>
      </c>
      <c r="EN59" s="228">
        <v>167.84</v>
      </c>
      <c r="EO59" s="231">
        <v>1341.47</v>
      </c>
      <c r="EP59" s="231">
        <v>1027.6099999999999</v>
      </c>
      <c r="EQ59" s="228">
        <v>313.86</v>
      </c>
      <c r="ER59" s="229">
        <v>0.3054</v>
      </c>
      <c r="ES59" s="228">
        <v>442.47</v>
      </c>
      <c r="ET59" s="228">
        <v>335.5</v>
      </c>
      <c r="EU59" s="231">
        <v>2779.7</v>
      </c>
      <c r="EV59" s="231">
        <v>96251298</v>
      </c>
      <c r="EW59" s="231">
        <v>3557.67</v>
      </c>
      <c r="EX59" s="231">
        <v>3377.49</v>
      </c>
      <c r="EY59" s="228">
        <v>180.18</v>
      </c>
      <c r="EZ59" s="229">
        <v>5.33E-2</v>
      </c>
      <c r="FA59" s="229">
        <v>0.60719999999999996</v>
      </c>
      <c r="FB59" s="227" t="s">
        <v>555</v>
      </c>
      <c r="FC59">
        <f t="shared" si="0"/>
        <v>182</v>
      </c>
    </row>
    <row r="60" spans="1:159" ht="17.25" thickBot="1" x14ac:dyDescent="0.3">
      <c r="A60" s="226">
        <v>46146</v>
      </c>
      <c r="B60" s="227" t="s">
        <v>614</v>
      </c>
      <c r="C60" s="227" t="s">
        <v>582</v>
      </c>
      <c r="D60" s="228">
        <v>150</v>
      </c>
      <c r="E60" s="228">
        <v>22</v>
      </c>
      <c r="F60" s="231">
        <v>4362.2</v>
      </c>
      <c r="G60" s="231">
        <v>4615.8</v>
      </c>
      <c r="H60" s="228">
        <v>-253.6</v>
      </c>
      <c r="I60" s="229">
        <v>-5.4899999999999997E-2</v>
      </c>
      <c r="J60" s="231">
        <v>4376.5</v>
      </c>
      <c r="K60" s="231">
        <v>4585.8999999999996</v>
      </c>
      <c r="L60" s="228">
        <v>-209.4</v>
      </c>
      <c r="M60" s="229">
        <v>-4.5699999999999998E-2</v>
      </c>
      <c r="N60" s="231">
        <v>4362.2</v>
      </c>
      <c r="O60" s="231">
        <v>4615.8</v>
      </c>
      <c r="P60" s="228">
        <v>-253.6</v>
      </c>
      <c r="Q60" s="229">
        <v>-5.4899999999999997E-2</v>
      </c>
      <c r="R60" s="231">
        <v>4346.8999999999996</v>
      </c>
      <c r="S60" s="231">
        <v>4619</v>
      </c>
      <c r="T60" s="228">
        <v>-272.10000000000002</v>
      </c>
      <c r="U60" s="229">
        <v>-5.8900000000000001E-2</v>
      </c>
      <c r="V60" s="231">
        <v>4346.7</v>
      </c>
      <c r="W60" s="231">
        <v>4619.1000000000004</v>
      </c>
      <c r="X60" s="228">
        <v>-272.39999999999998</v>
      </c>
      <c r="Y60" s="229">
        <v>-5.8999999999999997E-2</v>
      </c>
      <c r="Z60" s="228">
        <v>-14.3</v>
      </c>
      <c r="AA60" s="228">
        <v>29.9</v>
      </c>
      <c r="AB60" s="228">
        <v>-44.2</v>
      </c>
      <c r="AC60" s="229">
        <v>-3.3E-3</v>
      </c>
      <c r="AD60" s="228">
        <v>-14.3</v>
      </c>
      <c r="AE60" s="228">
        <v>29.9</v>
      </c>
      <c r="AF60" s="228">
        <v>-44.2</v>
      </c>
      <c r="AG60" s="229">
        <v>-3.3E-3</v>
      </c>
      <c r="AH60" s="228">
        <v>-29.6</v>
      </c>
      <c r="AI60" s="228">
        <v>33.1</v>
      </c>
      <c r="AJ60" s="228">
        <v>-62.7</v>
      </c>
      <c r="AK60" s="229">
        <v>-6.7999999999999996E-3</v>
      </c>
      <c r="AL60" s="228">
        <v>-29.8</v>
      </c>
      <c r="AM60" s="228">
        <v>33.200000000000003</v>
      </c>
      <c r="AN60" s="228">
        <v>-63</v>
      </c>
      <c r="AO60" s="229">
        <v>-6.7999999999999996E-3</v>
      </c>
      <c r="AP60" s="231">
        <v>4409.8900000000003</v>
      </c>
      <c r="AQ60" s="231">
        <v>4372.29</v>
      </c>
      <c r="AR60" s="228">
        <v>0</v>
      </c>
      <c r="AS60" s="228">
        <v>822</v>
      </c>
      <c r="AT60" s="228">
        <v>228</v>
      </c>
      <c r="AU60" s="228">
        <v>594</v>
      </c>
      <c r="AV60" s="229">
        <v>2.6091000000000002</v>
      </c>
      <c r="AW60" s="228">
        <v>758</v>
      </c>
      <c r="AX60" s="228">
        <v>221</v>
      </c>
      <c r="AY60" s="228">
        <v>537</v>
      </c>
      <c r="AZ60" s="229">
        <v>2.4323999999999999</v>
      </c>
      <c r="BA60" s="228">
        <v>59</v>
      </c>
      <c r="BB60" s="228">
        <v>7</v>
      </c>
      <c r="BC60" s="228">
        <v>52</v>
      </c>
      <c r="BD60" s="229">
        <v>7.6923000000000004</v>
      </c>
      <c r="BE60" s="228">
        <v>5</v>
      </c>
      <c r="BF60" s="228">
        <v>0</v>
      </c>
      <c r="BG60" s="228">
        <v>5</v>
      </c>
      <c r="BH60" s="229">
        <v>19.5</v>
      </c>
      <c r="BI60" s="230">
        <v>3547</v>
      </c>
      <c r="BJ60" s="228">
        <v>593</v>
      </c>
      <c r="BK60" s="230">
        <v>2954</v>
      </c>
      <c r="BL60" s="229">
        <v>4.9817</v>
      </c>
      <c r="BM60" s="230">
        <v>1743</v>
      </c>
      <c r="BN60" s="228">
        <v>332</v>
      </c>
      <c r="BO60" s="230">
        <v>1411</v>
      </c>
      <c r="BP60" s="229">
        <v>4.2542999999999997</v>
      </c>
      <c r="BQ60" s="230">
        <v>6112</v>
      </c>
      <c r="BR60" s="230">
        <v>1153</v>
      </c>
      <c r="BS60" s="230">
        <v>4960</v>
      </c>
      <c r="BT60" s="229">
        <v>4.3033000000000001</v>
      </c>
      <c r="BU60" s="230">
        <v>1431067</v>
      </c>
      <c r="BV60" s="230">
        <v>543787</v>
      </c>
      <c r="BW60" s="230">
        <v>887280</v>
      </c>
      <c r="BX60" s="229">
        <v>1.6316999999999999</v>
      </c>
      <c r="BY60" s="230">
        <v>1730</v>
      </c>
      <c r="BZ60" s="230">
        <v>1463</v>
      </c>
      <c r="CA60" s="228">
        <v>267</v>
      </c>
      <c r="CB60" s="229">
        <v>0.1822</v>
      </c>
      <c r="CC60" s="230">
        <v>1686</v>
      </c>
      <c r="CD60" s="230">
        <v>1449</v>
      </c>
      <c r="CE60" s="228">
        <v>237</v>
      </c>
      <c r="CF60" s="229">
        <v>0.16389999999999999</v>
      </c>
      <c r="CG60" s="228">
        <v>40</v>
      </c>
      <c r="CH60" s="228">
        <v>15</v>
      </c>
      <c r="CI60" s="228">
        <v>26</v>
      </c>
      <c r="CJ60" s="229">
        <v>1.7838000000000001</v>
      </c>
      <c r="CK60" s="228">
        <v>3</v>
      </c>
      <c r="CL60" s="228">
        <v>0</v>
      </c>
      <c r="CM60" s="228">
        <v>3</v>
      </c>
      <c r="CN60" s="229">
        <v>12.25</v>
      </c>
      <c r="CO60" s="228">
        <v>809</v>
      </c>
      <c r="CP60" s="228">
        <v>312</v>
      </c>
      <c r="CQ60" s="228">
        <v>496</v>
      </c>
      <c r="CR60" s="229">
        <v>1.5881000000000001</v>
      </c>
      <c r="CS60" s="228">
        <v>388</v>
      </c>
      <c r="CT60" s="228">
        <v>217</v>
      </c>
      <c r="CU60" s="228">
        <v>171</v>
      </c>
      <c r="CV60" s="229">
        <v>0.79069999999999996</v>
      </c>
      <c r="CW60" s="230">
        <v>2927</v>
      </c>
      <c r="CX60" s="230">
        <v>1993</v>
      </c>
      <c r="CY60" s="228">
        <v>934</v>
      </c>
      <c r="CZ60" s="229">
        <v>0.46879999999999999</v>
      </c>
      <c r="DA60" s="228">
        <v>30.51</v>
      </c>
      <c r="DB60" s="228">
        <v>32.5</v>
      </c>
      <c r="DC60" s="228">
        <v>-1.99</v>
      </c>
      <c r="DD60" s="228">
        <v>-1.99</v>
      </c>
      <c r="DE60" s="228">
        <v>33.53</v>
      </c>
      <c r="DF60" s="228">
        <v>32.729999999999997</v>
      </c>
      <c r="DG60" s="228">
        <v>-3.02</v>
      </c>
      <c r="DH60" s="228">
        <v>0.8</v>
      </c>
      <c r="DI60" s="228">
        <v>30.58</v>
      </c>
      <c r="DJ60" s="228">
        <v>32.479999999999997</v>
      </c>
      <c r="DK60" s="228">
        <v>-1.9</v>
      </c>
      <c r="DL60" s="228">
        <v>-1.9</v>
      </c>
      <c r="DM60" s="228">
        <v>30.39</v>
      </c>
      <c r="DN60" s="228">
        <v>32.54</v>
      </c>
      <c r="DO60" s="228">
        <v>-2.15</v>
      </c>
      <c r="DP60" s="228">
        <v>-2.15</v>
      </c>
      <c r="DQ60" s="228">
        <v>0.48</v>
      </c>
      <c r="DR60" s="228">
        <v>0.69</v>
      </c>
      <c r="DS60" s="228">
        <v>-0.21</v>
      </c>
      <c r="DT60" s="229">
        <v>-0.30430000000000001</v>
      </c>
      <c r="DU60" s="231">
        <v>5000</v>
      </c>
      <c r="DV60" s="231">
        <v>4000</v>
      </c>
      <c r="DW60" s="228">
        <v>0.49</v>
      </c>
      <c r="DX60" s="228">
        <v>0.56000000000000005</v>
      </c>
      <c r="DY60" s="228">
        <v>-7.0000000000000007E-2</v>
      </c>
      <c r="DZ60" s="229">
        <v>-0.125</v>
      </c>
      <c r="EA60" s="229">
        <v>2.5399999999999999E-2</v>
      </c>
      <c r="EB60" s="230">
        <v>33900</v>
      </c>
      <c r="EC60" s="229">
        <v>-3.5000000000000001E-3</v>
      </c>
      <c r="ED60" s="229">
        <v>2.5399999999999999E-2</v>
      </c>
      <c r="EE60" s="228">
        <v>-37.6</v>
      </c>
      <c r="EF60" s="229">
        <v>-8.5000000000000006E-3</v>
      </c>
      <c r="EG60" s="230">
        <v>606258</v>
      </c>
      <c r="EH60" s="230">
        <v>341440</v>
      </c>
      <c r="EI60" s="229">
        <v>0.77559999999999996</v>
      </c>
      <c r="EJ60" s="229">
        <v>0.42359999999999998</v>
      </c>
      <c r="EK60" s="231">
        <v>3828.84</v>
      </c>
      <c r="EL60" s="231">
        <v>1744.59</v>
      </c>
      <c r="EM60" s="228">
        <v>830.76</v>
      </c>
      <c r="EN60" s="228">
        <v>65.900000000000006</v>
      </c>
      <c r="EO60" s="231">
        <v>6404.19</v>
      </c>
      <c r="EP60" s="231">
        <v>1243.7</v>
      </c>
      <c r="EQ60" s="231">
        <v>5160.49</v>
      </c>
      <c r="ER60" s="229">
        <v>4.1493000000000002</v>
      </c>
      <c r="ES60" s="228">
        <v>870.17</v>
      </c>
      <c r="ET60" s="228">
        <v>379.46</v>
      </c>
      <c r="EU60" s="231">
        <v>1729.83</v>
      </c>
      <c r="EV60" s="231">
        <v>16494391</v>
      </c>
      <c r="EW60" s="231">
        <v>2979.46</v>
      </c>
      <c r="EX60" s="231">
        <v>2108.7399999999998</v>
      </c>
      <c r="EY60" s="228">
        <v>870.72</v>
      </c>
      <c r="EZ60" s="229">
        <v>0.41289999999999999</v>
      </c>
      <c r="FA60" s="229">
        <v>0.40670000000000001</v>
      </c>
      <c r="FB60" s="227" t="s">
        <v>566</v>
      </c>
      <c r="FC60">
        <f t="shared" si="0"/>
        <v>44</v>
      </c>
    </row>
    <row r="61" spans="1:159" ht="17.25" thickBot="1" x14ac:dyDescent="0.3">
      <c r="A61" s="226">
        <v>46146</v>
      </c>
      <c r="B61" s="227" t="s">
        <v>170</v>
      </c>
      <c r="C61" s="227" t="s">
        <v>208</v>
      </c>
      <c r="D61" s="228">
        <v>625</v>
      </c>
      <c r="E61" s="228">
        <v>22</v>
      </c>
      <c r="F61" s="231">
        <v>1281.2</v>
      </c>
      <c r="G61" s="231">
        <v>1321</v>
      </c>
      <c r="H61" s="228">
        <v>-39.799999999999997</v>
      </c>
      <c r="I61" s="229">
        <v>-3.0099999999999998E-2</v>
      </c>
      <c r="J61" s="231">
        <v>1287.2</v>
      </c>
      <c r="K61" s="231">
        <v>1322.9</v>
      </c>
      <c r="L61" s="228">
        <v>-35.700000000000003</v>
      </c>
      <c r="M61" s="229">
        <v>-2.7E-2</v>
      </c>
      <c r="N61" s="231">
        <v>1281.2</v>
      </c>
      <c r="O61" s="231">
        <v>1321</v>
      </c>
      <c r="P61" s="228">
        <v>-39.799999999999997</v>
      </c>
      <c r="Q61" s="229">
        <v>-3.0099999999999998E-2</v>
      </c>
      <c r="R61" s="231">
        <v>1282.2</v>
      </c>
      <c r="S61" s="231">
        <v>1320.7</v>
      </c>
      <c r="T61" s="228">
        <v>-38.5</v>
      </c>
      <c r="U61" s="229">
        <v>-2.92E-2</v>
      </c>
      <c r="V61" s="231">
        <v>1280</v>
      </c>
      <c r="W61" s="231">
        <v>1319.2</v>
      </c>
      <c r="X61" s="228">
        <v>-39.200000000000003</v>
      </c>
      <c r="Y61" s="229">
        <v>-2.9700000000000001E-2</v>
      </c>
      <c r="Z61" s="228">
        <v>-6</v>
      </c>
      <c r="AA61" s="228">
        <v>-1.9</v>
      </c>
      <c r="AB61" s="228">
        <v>-4.0999999999999996</v>
      </c>
      <c r="AC61" s="229">
        <v>-4.7000000000000002E-3</v>
      </c>
      <c r="AD61" s="228">
        <v>-6</v>
      </c>
      <c r="AE61" s="228">
        <v>-1.9</v>
      </c>
      <c r="AF61" s="228">
        <v>-4.0999999999999996</v>
      </c>
      <c r="AG61" s="229">
        <v>-4.7000000000000002E-3</v>
      </c>
      <c r="AH61" s="228">
        <v>-5</v>
      </c>
      <c r="AI61" s="228">
        <v>-2.2000000000000002</v>
      </c>
      <c r="AJ61" s="228">
        <v>-2.8</v>
      </c>
      <c r="AK61" s="229">
        <v>-3.8999999999999998E-3</v>
      </c>
      <c r="AL61" s="228">
        <v>-7.2</v>
      </c>
      <c r="AM61" s="228">
        <v>-3.7</v>
      </c>
      <c r="AN61" s="228">
        <v>-3.5</v>
      </c>
      <c r="AO61" s="229">
        <v>-5.5999999999999999E-3</v>
      </c>
      <c r="AP61" s="231">
        <v>1289.1500000000001</v>
      </c>
      <c r="AQ61" s="231">
        <v>1290.27</v>
      </c>
      <c r="AR61" s="228">
        <v>0</v>
      </c>
      <c r="AS61" s="228">
        <v>595</v>
      </c>
      <c r="AT61" s="228">
        <v>346</v>
      </c>
      <c r="AU61" s="228">
        <v>249</v>
      </c>
      <c r="AV61" s="229">
        <v>0.72060000000000002</v>
      </c>
      <c r="AW61" s="228">
        <v>571</v>
      </c>
      <c r="AX61" s="228">
        <v>336</v>
      </c>
      <c r="AY61" s="228">
        <v>235</v>
      </c>
      <c r="AZ61" s="229">
        <v>0.69750000000000001</v>
      </c>
      <c r="BA61" s="228">
        <v>23</v>
      </c>
      <c r="BB61" s="228">
        <v>9</v>
      </c>
      <c r="BC61" s="228">
        <v>14</v>
      </c>
      <c r="BD61" s="229">
        <v>1.5946</v>
      </c>
      <c r="BE61" s="228">
        <v>1</v>
      </c>
      <c r="BF61" s="228">
        <v>1</v>
      </c>
      <c r="BG61" s="228">
        <v>1</v>
      </c>
      <c r="BH61" s="229">
        <v>0.7</v>
      </c>
      <c r="BI61" s="230">
        <v>1413</v>
      </c>
      <c r="BJ61" s="228">
        <v>863</v>
      </c>
      <c r="BK61" s="228">
        <v>550</v>
      </c>
      <c r="BL61" s="229">
        <v>0.63649999999999995</v>
      </c>
      <c r="BM61" s="228">
        <v>843</v>
      </c>
      <c r="BN61" s="228">
        <v>588</v>
      </c>
      <c r="BO61" s="228">
        <v>255</v>
      </c>
      <c r="BP61" s="229">
        <v>0.43330000000000002</v>
      </c>
      <c r="BQ61" s="230">
        <v>2851</v>
      </c>
      <c r="BR61" s="230">
        <v>1797</v>
      </c>
      <c r="BS61" s="230">
        <v>1054</v>
      </c>
      <c r="BT61" s="229">
        <v>0.58620000000000005</v>
      </c>
      <c r="BU61" s="230">
        <v>2487251</v>
      </c>
      <c r="BV61" s="230">
        <v>1289421</v>
      </c>
      <c r="BW61" s="230">
        <v>1197830</v>
      </c>
      <c r="BX61" s="229">
        <v>0.92900000000000005</v>
      </c>
      <c r="BY61" s="230">
        <v>2101</v>
      </c>
      <c r="BZ61" s="230">
        <v>1966</v>
      </c>
      <c r="CA61" s="228">
        <v>135</v>
      </c>
      <c r="CB61" s="229">
        <v>6.8699999999999997E-2</v>
      </c>
      <c r="CC61" s="230">
        <v>2053</v>
      </c>
      <c r="CD61" s="230">
        <v>1929</v>
      </c>
      <c r="CE61" s="228">
        <v>125</v>
      </c>
      <c r="CF61" s="229">
        <v>6.4600000000000005E-2</v>
      </c>
      <c r="CG61" s="228">
        <v>44</v>
      </c>
      <c r="CH61" s="228">
        <v>35</v>
      </c>
      <c r="CI61" s="228">
        <v>9</v>
      </c>
      <c r="CJ61" s="229">
        <v>0.27060000000000001</v>
      </c>
      <c r="CK61" s="228">
        <v>4</v>
      </c>
      <c r="CL61" s="228">
        <v>2</v>
      </c>
      <c r="CM61" s="228">
        <v>1</v>
      </c>
      <c r="CN61" s="229">
        <v>0.4667</v>
      </c>
      <c r="CO61" s="230">
        <v>1078</v>
      </c>
      <c r="CP61" s="228">
        <v>877</v>
      </c>
      <c r="CQ61" s="228">
        <v>201</v>
      </c>
      <c r="CR61" s="229">
        <v>0.2291</v>
      </c>
      <c r="CS61" s="228">
        <v>548</v>
      </c>
      <c r="CT61" s="228">
        <v>509</v>
      </c>
      <c r="CU61" s="228">
        <v>39</v>
      </c>
      <c r="CV61" s="229">
        <v>7.6700000000000004E-2</v>
      </c>
      <c r="CW61" s="230">
        <v>3727</v>
      </c>
      <c r="CX61" s="230">
        <v>3352</v>
      </c>
      <c r="CY61" s="228">
        <v>375</v>
      </c>
      <c r="CZ61" s="229">
        <v>0.1119</v>
      </c>
      <c r="DA61" s="228">
        <v>32.1</v>
      </c>
      <c r="DB61" s="228">
        <v>30.04</v>
      </c>
      <c r="DC61" s="228">
        <v>2.06</v>
      </c>
      <c r="DD61" s="228">
        <v>2.06</v>
      </c>
      <c r="DE61" s="228">
        <v>28.62</v>
      </c>
      <c r="DF61" s="228">
        <v>28.44</v>
      </c>
      <c r="DG61" s="228">
        <v>3.48</v>
      </c>
      <c r="DH61" s="228">
        <v>0.18</v>
      </c>
      <c r="DI61" s="228">
        <v>32.33</v>
      </c>
      <c r="DJ61" s="228">
        <v>30.32</v>
      </c>
      <c r="DK61" s="228">
        <v>2.0099999999999998</v>
      </c>
      <c r="DL61" s="228">
        <v>2.0099999999999998</v>
      </c>
      <c r="DM61" s="228">
        <v>31.7</v>
      </c>
      <c r="DN61" s="228">
        <v>29.63</v>
      </c>
      <c r="DO61" s="228">
        <v>2.0699999999999998</v>
      </c>
      <c r="DP61" s="228">
        <v>2.0699999999999998</v>
      </c>
      <c r="DQ61" s="228">
        <v>0.51</v>
      </c>
      <c r="DR61" s="228">
        <v>0.57999999999999996</v>
      </c>
      <c r="DS61" s="228">
        <v>-7.0000000000000007E-2</v>
      </c>
      <c r="DT61" s="229">
        <v>-0.1207</v>
      </c>
      <c r="DU61" s="231">
        <v>1400</v>
      </c>
      <c r="DV61" s="231">
        <v>1200</v>
      </c>
      <c r="DW61" s="228">
        <v>0.6</v>
      </c>
      <c r="DX61" s="228">
        <v>0.68</v>
      </c>
      <c r="DY61" s="228">
        <v>-0.08</v>
      </c>
      <c r="DZ61" s="229">
        <v>-0.1176</v>
      </c>
      <c r="EA61" s="229">
        <v>2.2800000000000001E-2</v>
      </c>
      <c r="EB61" s="230">
        <v>291250</v>
      </c>
      <c r="EC61" s="229">
        <v>8.0000000000000004E-4</v>
      </c>
      <c r="ED61" s="229">
        <v>2.2800000000000001E-2</v>
      </c>
      <c r="EE61" s="228">
        <v>1.1200000000000001</v>
      </c>
      <c r="EF61" s="229">
        <v>8.9999999999999998E-4</v>
      </c>
      <c r="EG61" s="230">
        <v>1172866</v>
      </c>
      <c r="EH61" s="230">
        <v>461504</v>
      </c>
      <c r="EI61" s="229">
        <v>1.5414000000000001</v>
      </c>
      <c r="EJ61" s="229">
        <v>0.47160000000000002</v>
      </c>
      <c r="EK61" s="231">
        <v>1523.03</v>
      </c>
      <c r="EL61" s="228">
        <v>853.94</v>
      </c>
      <c r="EM61" s="228">
        <v>598.91</v>
      </c>
      <c r="EN61" s="228">
        <v>114.46</v>
      </c>
      <c r="EO61" s="231">
        <v>2975.87</v>
      </c>
      <c r="EP61" s="231">
        <v>1903.15</v>
      </c>
      <c r="EQ61" s="231">
        <v>1072.72</v>
      </c>
      <c r="ER61" s="229">
        <v>0.56369999999999998</v>
      </c>
      <c r="ES61" s="231">
        <v>1160.17</v>
      </c>
      <c r="ET61" s="228">
        <v>543.04999999999995</v>
      </c>
      <c r="EU61" s="231">
        <v>2101.36</v>
      </c>
      <c r="EV61" s="231">
        <v>61026255</v>
      </c>
      <c r="EW61" s="231">
        <v>3804.58</v>
      </c>
      <c r="EX61" s="231">
        <v>3481.25</v>
      </c>
      <c r="EY61" s="228">
        <v>323.33</v>
      </c>
      <c r="EZ61" s="229">
        <v>9.2899999999999996E-2</v>
      </c>
      <c r="FA61" s="229">
        <v>0.47670000000000001</v>
      </c>
      <c r="FB61" s="227" t="s">
        <v>566</v>
      </c>
      <c r="FC61">
        <f t="shared" si="0"/>
        <v>48</v>
      </c>
    </row>
    <row r="62" spans="1:159" ht="17.25" thickBot="1" x14ac:dyDescent="0.3">
      <c r="A62" s="226">
        <v>46146</v>
      </c>
      <c r="B62" s="227" t="s">
        <v>162</v>
      </c>
      <c r="C62" s="227" t="s">
        <v>209</v>
      </c>
      <c r="D62" s="228">
        <v>100</v>
      </c>
      <c r="E62" s="228">
        <v>22</v>
      </c>
      <c r="F62" s="231">
        <v>7346</v>
      </c>
      <c r="G62" s="231">
        <v>7149</v>
      </c>
      <c r="H62" s="228">
        <v>197</v>
      </c>
      <c r="I62" s="229">
        <v>2.76E-2</v>
      </c>
      <c r="J62" s="231">
        <v>7329</v>
      </c>
      <c r="K62" s="231">
        <v>7109</v>
      </c>
      <c r="L62" s="228">
        <v>220</v>
      </c>
      <c r="M62" s="229">
        <v>3.09E-2</v>
      </c>
      <c r="N62" s="231">
        <v>7346</v>
      </c>
      <c r="O62" s="231">
        <v>7149</v>
      </c>
      <c r="P62" s="228">
        <v>197</v>
      </c>
      <c r="Q62" s="229">
        <v>2.76E-2</v>
      </c>
      <c r="R62" s="231">
        <v>7397.5</v>
      </c>
      <c r="S62" s="231">
        <v>7196</v>
      </c>
      <c r="T62" s="228">
        <v>201.5</v>
      </c>
      <c r="U62" s="229">
        <v>2.8000000000000001E-2</v>
      </c>
      <c r="V62" s="231">
        <v>7421</v>
      </c>
      <c r="W62" s="231">
        <v>7227</v>
      </c>
      <c r="X62" s="228">
        <v>194</v>
      </c>
      <c r="Y62" s="229">
        <v>2.6800000000000001E-2</v>
      </c>
      <c r="Z62" s="228">
        <v>17</v>
      </c>
      <c r="AA62" s="228">
        <v>40</v>
      </c>
      <c r="AB62" s="228">
        <v>-23</v>
      </c>
      <c r="AC62" s="229">
        <v>2.3E-3</v>
      </c>
      <c r="AD62" s="228">
        <v>17</v>
      </c>
      <c r="AE62" s="228">
        <v>40</v>
      </c>
      <c r="AF62" s="228">
        <v>-23</v>
      </c>
      <c r="AG62" s="229">
        <v>2.3E-3</v>
      </c>
      <c r="AH62" s="228">
        <v>68.5</v>
      </c>
      <c r="AI62" s="228">
        <v>87</v>
      </c>
      <c r="AJ62" s="228">
        <v>-18.5</v>
      </c>
      <c r="AK62" s="229">
        <v>9.2999999999999992E-3</v>
      </c>
      <c r="AL62" s="228">
        <v>92</v>
      </c>
      <c r="AM62" s="228">
        <v>118</v>
      </c>
      <c r="AN62" s="228">
        <v>-26</v>
      </c>
      <c r="AO62" s="229">
        <v>1.26E-2</v>
      </c>
      <c r="AP62" s="231">
        <v>7273.33</v>
      </c>
      <c r="AQ62" s="231">
        <v>7332.17</v>
      </c>
      <c r="AR62" s="228">
        <v>0</v>
      </c>
      <c r="AS62" s="228">
        <v>583</v>
      </c>
      <c r="AT62" s="228">
        <v>386</v>
      </c>
      <c r="AU62" s="228">
        <v>197</v>
      </c>
      <c r="AV62" s="229">
        <v>0.5091</v>
      </c>
      <c r="AW62" s="228">
        <v>553</v>
      </c>
      <c r="AX62" s="228">
        <v>365</v>
      </c>
      <c r="AY62" s="228">
        <v>188</v>
      </c>
      <c r="AZ62" s="229">
        <v>0.51549999999999996</v>
      </c>
      <c r="BA62" s="228">
        <v>26</v>
      </c>
      <c r="BB62" s="228">
        <v>17</v>
      </c>
      <c r="BC62" s="228">
        <v>9</v>
      </c>
      <c r="BD62" s="229">
        <v>0.54510000000000003</v>
      </c>
      <c r="BE62" s="228">
        <v>3</v>
      </c>
      <c r="BF62" s="228">
        <v>4</v>
      </c>
      <c r="BG62" s="228">
        <v>-1</v>
      </c>
      <c r="BH62" s="229">
        <v>-0.21820000000000001</v>
      </c>
      <c r="BI62" s="230">
        <v>1641</v>
      </c>
      <c r="BJ62" s="228">
        <v>779</v>
      </c>
      <c r="BK62" s="228">
        <v>862</v>
      </c>
      <c r="BL62" s="229">
        <v>1.1060000000000001</v>
      </c>
      <c r="BM62" s="228">
        <v>560</v>
      </c>
      <c r="BN62" s="228">
        <v>723</v>
      </c>
      <c r="BO62" s="228">
        <v>-164</v>
      </c>
      <c r="BP62" s="229">
        <v>-0.22620000000000001</v>
      </c>
      <c r="BQ62" s="230">
        <v>2784</v>
      </c>
      <c r="BR62" s="230">
        <v>1889</v>
      </c>
      <c r="BS62" s="228">
        <v>895</v>
      </c>
      <c r="BT62" s="229">
        <v>0.4738</v>
      </c>
      <c r="BU62" s="230">
        <v>717751</v>
      </c>
      <c r="BV62" s="230">
        <v>566675</v>
      </c>
      <c r="BW62" s="230">
        <v>151076</v>
      </c>
      <c r="BX62" s="229">
        <v>0.2666</v>
      </c>
      <c r="BY62" s="230">
        <v>2664</v>
      </c>
      <c r="BZ62" s="230">
        <v>2668</v>
      </c>
      <c r="CA62" s="228">
        <v>-4</v>
      </c>
      <c r="CB62" s="229">
        <v>-1.6000000000000001E-3</v>
      </c>
      <c r="CC62" s="230">
        <v>2268</v>
      </c>
      <c r="CD62" s="230">
        <v>2281</v>
      </c>
      <c r="CE62" s="228">
        <v>-13</v>
      </c>
      <c r="CF62" s="229">
        <v>-5.7000000000000002E-3</v>
      </c>
      <c r="CG62" s="228">
        <v>393</v>
      </c>
      <c r="CH62" s="228">
        <v>386</v>
      </c>
      <c r="CI62" s="228">
        <v>7</v>
      </c>
      <c r="CJ62" s="229">
        <v>1.89E-2</v>
      </c>
      <c r="CK62" s="228">
        <v>3</v>
      </c>
      <c r="CL62" s="228">
        <v>2</v>
      </c>
      <c r="CM62" s="228">
        <v>1</v>
      </c>
      <c r="CN62" s="229">
        <v>0.64290000000000003</v>
      </c>
      <c r="CO62" s="228">
        <v>720</v>
      </c>
      <c r="CP62" s="228">
        <v>615</v>
      </c>
      <c r="CQ62" s="228">
        <v>104</v>
      </c>
      <c r="CR62" s="229">
        <v>0.1691</v>
      </c>
      <c r="CS62" s="228">
        <v>572</v>
      </c>
      <c r="CT62" s="228">
        <v>533</v>
      </c>
      <c r="CU62" s="228">
        <v>39</v>
      </c>
      <c r="CV62" s="229">
        <v>7.2300000000000003E-2</v>
      </c>
      <c r="CW62" s="230">
        <v>3955</v>
      </c>
      <c r="CX62" s="230">
        <v>3817</v>
      </c>
      <c r="CY62" s="228">
        <v>138</v>
      </c>
      <c r="CZ62" s="229">
        <v>3.6200000000000003E-2</v>
      </c>
      <c r="DA62" s="228">
        <v>33.17</v>
      </c>
      <c r="DB62" s="228">
        <v>33.82</v>
      </c>
      <c r="DC62" s="228">
        <v>-0.65</v>
      </c>
      <c r="DD62" s="228">
        <v>-0.65</v>
      </c>
      <c r="DE62" s="228">
        <v>33.58</v>
      </c>
      <c r="DF62" s="228">
        <v>33.409999999999997</v>
      </c>
      <c r="DG62" s="228">
        <v>-0.41</v>
      </c>
      <c r="DH62" s="228">
        <v>0.17</v>
      </c>
      <c r="DI62" s="228">
        <v>32.89</v>
      </c>
      <c r="DJ62" s="228">
        <v>32.85</v>
      </c>
      <c r="DK62" s="228">
        <v>0.04</v>
      </c>
      <c r="DL62" s="228">
        <v>0.04</v>
      </c>
      <c r="DM62" s="228">
        <v>34.020000000000003</v>
      </c>
      <c r="DN62" s="228">
        <v>34.86</v>
      </c>
      <c r="DO62" s="228">
        <v>-0.84</v>
      </c>
      <c r="DP62" s="228">
        <v>-0.84</v>
      </c>
      <c r="DQ62" s="228">
        <v>0.79</v>
      </c>
      <c r="DR62" s="228">
        <v>0.87</v>
      </c>
      <c r="DS62" s="228">
        <v>-0.08</v>
      </c>
      <c r="DT62" s="229">
        <v>-9.1999999999999998E-2</v>
      </c>
      <c r="DU62" s="231">
        <v>7400</v>
      </c>
      <c r="DV62" s="231">
        <v>6800</v>
      </c>
      <c r="DW62" s="228">
        <v>0.34</v>
      </c>
      <c r="DX62" s="228">
        <v>0.93</v>
      </c>
      <c r="DY62" s="228">
        <v>-0.59</v>
      </c>
      <c r="DZ62" s="229">
        <v>-0.63439999999999996</v>
      </c>
      <c r="EA62" s="229">
        <v>0.1487</v>
      </c>
      <c r="EB62" s="230">
        <v>527700</v>
      </c>
      <c r="EC62" s="229">
        <v>7.0000000000000001E-3</v>
      </c>
      <c r="ED62" s="229">
        <v>0.1487</v>
      </c>
      <c r="EE62" s="228">
        <v>58.84</v>
      </c>
      <c r="EF62" s="229">
        <v>8.0999999999999996E-3</v>
      </c>
      <c r="EG62" s="230">
        <v>399051</v>
      </c>
      <c r="EH62" s="230">
        <v>274844</v>
      </c>
      <c r="EI62" s="229">
        <v>0.45190000000000002</v>
      </c>
      <c r="EJ62" s="229">
        <v>0.55600000000000005</v>
      </c>
      <c r="EK62" s="231">
        <v>1713.13</v>
      </c>
      <c r="EL62" s="228">
        <v>543.4</v>
      </c>
      <c r="EM62" s="228">
        <v>577.16999999999996</v>
      </c>
      <c r="EN62" s="228">
        <v>92.34</v>
      </c>
      <c r="EO62" s="231">
        <v>2833.69</v>
      </c>
      <c r="EP62" s="231">
        <v>1849.92</v>
      </c>
      <c r="EQ62" s="228">
        <v>983.77</v>
      </c>
      <c r="ER62" s="229">
        <v>0.53180000000000005</v>
      </c>
      <c r="ES62" s="228">
        <v>739.15</v>
      </c>
      <c r="ET62" s="228">
        <v>543.19000000000005</v>
      </c>
      <c r="EU62" s="231">
        <v>2666.74</v>
      </c>
      <c r="EV62" s="231">
        <v>20960143</v>
      </c>
      <c r="EW62" s="231">
        <v>3949.08</v>
      </c>
      <c r="EX62" s="231">
        <v>3737.08</v>
      </c>
      <c r="EY62" s="228">
        <v>212</v>
      </c>
      <c r="EZ62" s="229">
        <v>5.67E-2</v>
      </c>
      <c r="FA62" s="229">
        <v>0.25690000000000002</v>
      </c>
      <c r="FB62" s="227" t="s">
        <v>691</v>
      </c>
      <c r="FC62">
        <f t="shared" si="0"/>
        <v>396</v>
      </c>
    </row>
    <row r="63" spans="1:159" ht="17.25" thickBot="1" x14ac:dyDescent="0.3">
      <c r="A63" s="226">
        <v>46146</v>
      </c>
      <c r="B63" s="227" t="s">
        <v>614</v>
      </c>
      <c r="C63" s="227" t="s">
        <v>664</v>
      </c>
      <c r="D63" s="228">
        <v>2425</v>
      </c>
      <c r="E63" s="228">
        <v>22</v>
      </c>
      <c r="F63" s="228">
        <v>253.32</v>
      </c>
      <c r="G63" s="228">
        <v>248.46</v>
      </c>
      <c r="H63" s="228">
        <v>4.8600000000000003</v>
      </c>
      <c r="I63" s="229">
        <v>1.9599999999999999E-2</v>
      </c>
      <c r="J63" s="228">
        <v>251.9</v>
      </c>
      <c r="K63" s="228">
        <v>247.03</v>
      </c>
      <c r="L63" s="228">
        <v>4.87</v>
      </c>
      <c r="M63" s="229">
        <v>1.9699999999999999E-2</v>
      </c>
      <c r="N63" s="228">
        <v>253.32</v>
      </c>
      <c r="O63" s="228">
        <v>248.46</v>
      </c>
      <c r="P63" s="228">
        <v>4.8600000000000003</v>
      </c>
      <c r="Q63" s="229">
        <v>1.9599999999999999E-2</v>
      </c>
      <c r="R63" s="228">
        <v>254.95</v>
      </c>
      <c r="S63" s="228">
        <v>249.74</v>
      </c>
      <c r="T63" s="228">
        <v>5.21</v>
      </c>
      <c r="U63" s="229">
        <v>2.0899999999999998E-2</v>
      </c>
      <c r="V63" s="228">
        <v>256.02999999999997</v>
      </c>
      <c r="W63" s="228">
        <v>251.14</v>
      </c>
      <c r="X63" s="228">
        <v>4.8899999999999997</v>
      </c>
      <c r="Y63" s="229">
        <v>1.95E-2</v>
      </c>
      <c r="Z63" s="228">
        <v>1.42</v>
      </c>
      <c r="AA63" s="228">
        <v>1.43</v>
      </c>
      <c r="AB63" s="228">
        <v>-0.01</v>
      </c>
      <c r="AC63" s="229">
        <v>5.5999999999999999E-3</v>
      </c>
      <c r="AD63" s="228">
        <v>1.42</v>
      </c>
      <c r="AE63" s="228">
        <v>1.43</v>
      </c>
      <c r="AF63" s="228">
        <v>-0.01</v>
      </c>
      <c r="AG63" s="229">
        <v>5.5999999999999999E-3</v>
      </c>
      <c r="AH63" s="228">
        <v>3.05</v>
      </c>
      <c r="AI63" s="228">
        <v>2.71</v>
      </c>
      <c r="AJ63" s="228">
        <v>0.34</v>
      </c>
      <c r="AK63" s="229">
        <v>1.21E-2</v>
      </c>
      <c r="AL63" s="228">
        <v>4.13</v>
      </c>
      <c r="AM63" s="228">
        <v>4.1100000000000003</v>
      </c>
      <c r="AN63" s="228">
        <v>0.02</v>
      </c>
      <c r="AO63" s="229">
        <v>1.6400000000000001E-2</v>
      </c>
      <c r="AP63" s="228">
        <v>250.98</v>
      </c>
      <c r="AQ63" s="228">
        <v>252.71</v>
      </c>
      <c r="AR63" s="228">
        <v>0</v>
      </c>
      <c r="AS63" s="228">
        <v>789</v>
      </c>
      <c r="AT63" s="230">
        <v>1185</v>
      </c>
      <c r="AU63" s="228">
        <v>-396</v>
      </c>
      <c r="AV63" s="229">
        <v>-0.33429999999999999</v>
      </c>
      <c r="AW63" s="228">
        <v>735</v>
      </c>
      <c r="AX63" s="230">
        <v>1091</v>
      </c>
      <c r="AY63" s="228">
        <v>-356</v>
      </c>
      <c r="AZ63" s="229">
        <v>-0.3266</v>
      </c>
      <c r="BA63" s="228">
        <v>48</v>
      </c>
      <c r="BB63" s="228">
        <v>75</v>
      </c>
      <c r="BC63" s="228">
        <v>-27</v>
      </c>
      <c r="BD63" s="229">
        <v>-0.36030000000000001</v>
      </c>
      <c r="BE63" s="228">
        <v>6</v>
      </c>
      <c r="BF63" s="228">
        <v>19</v>
      </c>
      <c r="BG63" s="228">
        <v>-13</v>
      </c>
      <c r="BH63" s="229">
        <v>-0.66990000000000005</v>
      </c>
      <c r="BI63" s="230">
        <v>2430</v>
      </c>
      <c r="BJ63" s="230">
        <v>3646</v>
      </c>
      <c r="BK63" s="230">
        <v>-1216</v>
      </c>
      <c r="BL63" s="229">
        <v>-0.33339999999999997</v>
      </c>
      <c r="BM63" s="230">
        <v>1235</v>
      </c>
      <c r="BN63" s="230">
        <v>2000</v>
      </c>
      <c r="BO63" s="228">
        <v>-765</v>
      </c>
      <c r="BP63" s="229">
        <v>-0.3826</v>
      </c>
      <c r="BQ63" s="230">
        <v>4454</v>
      </c>
      <c r="BR63" s="230">
        <v>6831</v>
      </c>
      <c r="BS63" s="230">
        <v>-2377</v>
      </c>
      <c r="BT63" s="229">
        <v>-0.34799999999999998</v>
      </c>
      <c r="BU63" s="230">
        <v>46192864</v>
      </c>
      <c r="BV63" s="230">
        <v>75916583</v>
      </c>
      <c r="BW63" s="230">
        <v>-29723719</v>
      </c>
      <c r="BX63" s="229">
        <v>-0.39150000000000001</v>
      </c>
      <c r="BY63" s="230">
        <v>5256</v>
      </c>
      <c r="BZ63" s="230">
        <v>5229</v>
      </c>
      <c r="CA63" s="228">
        <v>27</v>
      </c>
      <c r="CB63" s="229">
        <v>5.1999999999999998E-3</v>
      </c>
      <c r="CC63" s="230">
        <v>4820</v>
      </c>
      <c r="CD63" s="230">
        <v>4803</v>
      </c>
      <c r="CE63" s="228">
        <v>18</v>
      </c>
      <c r="CF63" s="229">
        <v>3.5999999999999999E-3</v>
      </c>
      <c r="CG63" s="228">
        <v>416</v>
      </c>
      <c r="CH63" s="228">
        <v>408</v>
      </c>
      <c r="CI63" s="228">
        <v>9</v>
      </c>
      <c r="CJ63" s="229">
        <v>2.12E-2</v>
      </c>
      <c r="CK63" s="228">
        <v>19</v>
      </c>
      <c r="CL63" s="228">
        <v>19</v>
      </c>
      <c r="CM63" s="228">
        <v>1</v>
      </c>
      <c r="CN63" s="229">
        <v>4.6399999999999997E-2</v>
      </c>
      <c r="CO63" s="230">
        <v>2365</v>
      </c>
      <c r="CP63" s="230">
        <v>2345</v>
      </c>
      <c r="CQ63" s="228">
        <v>20</v>
      </c>
      <c r="CR63" s="229">
        <v>8.3000000000000001E-3</v>
      </c>
      <c r="CS63" s="230">
        <v>1288</v>
      </c>
      <c r="CT63" s="230">
        <v>1252</v>
      </c>
      <c r="CU63" s="228">
        <v>36</v>
      </c>
      <c r="CV63" s="229">
        <v>2.8400000000000002E-2</v>
      </c>
      <c r="CW63" s="230">
        <v>8909</v>
      </c>
      <c r="CX63" s="230">
        <v>8827</v>
      </c>
      <c r="CY63" s="228">
        <v>82</v>
      </c>
      <c r="CZ63" s="229">
        <v>9.2999999999999992E-3</v>
      </c>
      <c r="DA63" s="228">
        <v>39.43</v>
      </c>
      <c r="DB63" s="228">
        <v>40.94</v>
      </c>
      <c r="DC63" s="228">
        <v>-1.51</v>
      </c>
      <c r="DD63" s="228">
        <v>-1.51</v>
      </c>
      <c r="DE63" s="228">
        <v>45.53</v>
      </c>
      <c r="DF63" s="228">
        <v>45.56</v>
      </c>
      <c r="DG63" s="228">
        <v>-6.1</v>
      </c>
      <c r="DH63" s="228">
        <v>-0.03</v>
      </c>
      <c r="DI63" s="228">
        <v>39.49</v>
      </c>
      <c r="DJ63" s="228">
        <v>41.41</v>
      </c>
      <c r="DK63" s="228">
        <v>-1.92</v>
      </c>
      <c r="DL63" s="228">
        <v>-1.92</v>
      </c>
      <c r="DM63" s="228">
        <v>39.31</v>
      </c>
      <c r="DN63" s="228">
        <v>40.090000000000003</v>
      </c>
      <c r="DO63" s="228">
        <v>-0.78</v>
      </c>
      <c r="DP63" s="228">
        <v>-0.78</v>
      </c>
      <c r="DQ63" s="228">
        <v>0.54</v>
      </c>
      <c r="DR63" s="228">
        <v>0.53</v>
      </c>
      <c r="DS63" s="228">
        <v>0.01</v>
      </c>
      <c r="DT63" s="229">
        <v>1.89E-2</v>
      </c>
      <c r="DU63" s="228">
        <v>260</v>
      </c>
      <c r="DV63" s="228">
        <v>240</v>
      </c>
      <c r="DW63" s="228">
        <v>0.51</v>
      </c>
      <c r="DX63" s="228">
        <v>0.55000000000000004</v>
      </c>
      <c r="DY63" s="228">
        <v>-0.04</v>
      </c>
      <c r="DZ63" s="229">
        <v>-7.2700000000000001E-2</v>
      </c>
      <c r="EA63" s="229">
        <v>8.2900000000000001E-2</v>
      </c>
      <c r="EB63" s="230">
        <v>16831925</v>
      </c>
      <c r="EC63" s="229">
        <v>6.4000000000000003E-3</v>
      </c>
      <c r="ED63" s="229">
        <v>8.2900000000000001E-2</v>
      </c>
      <c r="EE63" s="228">
        <v>1.73</v>
      </c>
      <c r="EF63" s="229">
        <v>6.8999999999999999E-3</v>
      </c>
      <c r="EG63" s="230">
        <v>23143263</v>
      </c>
      <c r="EH63" s="230">
        <v>39381829</v>
      </c>
      <c r="EI63" s="229">
        <v>-0.4123</v>
      </c>
      <c r="EJ63" s="229">
        <v>0.501</v>
      </c>
      <c r="EK63" s="231">
        <v>2568.31</v>
      </c>
      <c r="EL63" s="231">
        <v>1202.05</v>
      </c>
      <c r="EM63" s="228">
        <v>781.82</v>
      </c>
      <c r="EN63" s="228">
        <v>485.08</v>
      </c>
      <c r="EO63" s="231">
        <v>4552.18</v>
      </c>
      <c r="EP63" s="231">
        <v>6956.86</v>
      </c>
      <c r="EQ63" s="231">
        <v>-2404.6799999999998</v>
      </c>
      <c r="ER63" s="229">
        <v>-0.34570000000000001</v>
      </c>
      <c r="ES63" s="231">
        <v>2476.81</v>
      </c>
      <c r="ET63" s="231">
        <v>1242.4100000000001</v>
      </c>
      <c r="EU63" s="231">
        <v>5259.15</v>
      </c>
      <c r="EV63" s="231">
        <v>1366821859</v>
      </c>
      <c r="EW63" s="231">
        <v>8978.3700000000008</v>
      </c>
      <c r="EX63" s="231">
        <v>8798.23</v>
      </c>
      <c r="EY63" s="228">
        <v>180.14</v>
      </c>
      <c r="EZ63" s="229">
        <v>2.0500000000000001E-2</v>
      </c>
      <c r="FA63" s="229">
        <v>0.25729999999999997</v>
      </c>
      <c r="FB63" s="227" t="s">
        <v>555</v>
      </c>
      <c r="FC63">
        <f t="shared" si="0"/>
        <v>436</v>
      </c>
    </row>
    <row r="64" spans="1:159" ht="17.25" thickBot="1" x14ac:dyDescent="0.3">
      <c r="A64" s="226">
        <v>46146</v>
      </c>
      <c r="B64" s="227" t="s">
        <v>162</v>
      </c>
      <c r="C64" s="227" t="s">
        <v>211</v>
      </c>
      <c r="D64" s="228">
        <v>1800</v>
      </c>
      <c r="E64" s="228">
        <v>22</v>
      </c>
      <c r="F64" s="228">
        <v>360.35</v>
      </c>
      <c r="G64" s="228">
        <v>361.9</v>
      </c>
      <c r="H64" s="228">
        <v>-1.55</v>
      </c>
      <c r="I64" s="229">
        <v>-4.3E-3</v>
      </c>
      <c r="J64" s="228">
        <v>359.05</v>
      </c>
      <c r="K64" s="228">
        <v>360.55</v>
      </c>
      <c r="L64" s="228">
        <v>-1.5</v>
      </c>
      <c r="M64" s="229">
        <v>-4.1999999999999997E-3</v>
      </c>
      <c r="N64" s="228">
        <v>360.35</v>
      </c>
      <c r="O64" s="228">
        <v>361.9</v>
      </c>
      <c r="P64" s="228">
        <v>-1.55</v>
      </c>
      <c r="Q64" s="229">
        <v>-4.3E-3</v>
      </c>
      <c r="R64" s="228">
        <v>362.4</v>
      </c>
      <c r="S64" s="228">
        <v>364.9</v>
      </c>
      <c r="T64" s="228">
        <v>-2.5</v>
      </c>
      <c r="U64" s="229">
        <v>-6.8999999999999999E-3</v>
      </c>
      <c r="V64" s="228">
        <v>359.2</v>
      </c>
      <c r="W64" s="228">
        <v>364.7</v>
      </c>
      <c r="X64" s="228">
        <v>-5.5</v>
      </c>
      <c r="Y64" s="229">
        <v>-1.5100000000000001E-2</v>
      </c>
      <c r="Z64" s="228">
        <v>1.3</v>
      </c>
      <c r="AA64" s="228">
        <v>1.35</v>
      </c>
      <c r="AB64" s="228">
        <v>-0.05</v>
      </c>
      <c r="AC64" s="229">
        <v>3.5999999999999999E-3</v>
      </c>
      <c r="AD64" s="228">
        <v>1.3</v>
      </c>
      <c r="AE64" s="228">
        <v>1.35</v>
      </c>
      <c r="AF64" s="228">
        <v>-0.05</v>
      </c>
      <c r="AG64" s="229">
        <v>3.5999999999999999E-3</v>
      </c>
      <c r="AH64" s="228">
        <v>3.35</v>
      </c>
      <c r="AI64" s="228">
        <v>4.3499999999999996</v>
      </c>
      <c r="AJ64" s="228">
        <v>-1</v>
      </c>
      <c r="AK64" s="229">
        <v>9.2999999999999992E-3</v>
      </c>
      <c r="AL64" s="228">
        <v>0.15</v>
      </c>
      <c r="AM64" s="228">
        <v>4.1500000000000004</v>
      </c>
      <c r="AN64" s="228">
        <v>-4</v>
      </c>
      <c r="AO64" s="229">
        <v>4.0000000000000002E-4</v>
      </c>
      <c r="AP64" s="228">
        <v>366.4</v>
      </c>
      <c r="AQ64" s="228">
        <v>369.47</v>
      </c>
      <c r="AR64" s="228">
        <v>0</v>
      </c>
      <c r="AS64" s="228">
        <v>756</v>
      </c>
      <c r="AT64" s="228">
        <v>146</v>
      </c>
      <c r="AU64" s="228">
        <v>610</v>
      </c>
      <c r="AV64" s="229">
        <v>4.1624999999999996</v>
      </c>
      <c r="AW64" s="228">
        <v>721</v>
      </c>
      <c r="AX64" s="228">
        <v>139</v>
      </c>
      <c r="AY64" s="228">
        <v>581</v>
      </c>
      <c r="AZ64" s="229">
        <v>4.1692999999999998</v>
      </c>
      <c r="BA64" s="228">
        <v>32</v>
      </c>
      <c r="BB64" s="228">
        <v>6</v>
      </c>
      <c r="BC64" s="228">
        <v>26</v>
      </c>
      <c r="BD64" s="229">
        <v>4.4607000000000001</v>
      </c>
      <c r="BE64" s="228">
        <v>4</v>
      </c>
      <c r="BF64" s="228">
        <v>1</v>
      </c>
      <c r="BG64" s="228">
        <v>2</v>
      </c>
      <c r="BH64" s="229">
        <v>2</v>
      </c>
      <c r="BI64" s="230">
        <v>2255</v>
      </c>
      <c r="BJ64" s="228">
        <v>278</v>
      </c>
      <c r="BK64" s="230">
        <v>1977</v>
      </c>
      <c r="BL64" s="229">
        <v>7.1093999999999999</v>
      </c>
      <c r="BM64" s="230">
        <v>1098</v>
      </c>
      <c r="BN64" s="228">
        <v>129</v>
      </c>
      <c r="BO64" s="228">
        <v>968</v>
      </c>
      <c r="BP64" s="229">
        <v>7.4805000000000001</v>
      </c>
      <c r="BQ64" s="230">
        <v>4110</v>
      </c>
      <c r="BR64" s="228">
        <v>554</v>
      </c>
      <c r="BS64" s="230">
        <v>3555</v>
      </c>
      <c r="BT64" s="229">
        <v>6.4170999999999996</v>
      </c>
      <c r="BU64" s="230">
        <v>11453095</v>
      </c>
      <c r="BV64" s="230">
        <v>2427465</v>
      </c>
      <c r="BW64" s="230">
        <v>9025630</v>
      </c>
      <c r="BX64" s="229">
        <v>3.7181000000000002</v>
      </c>
      <c r="BY64" s="230">
        <v>1037</v>
      </c>
      <c r="BZ64" s="230">
        <v>1015</v>
      </c>
      <c r="CA64" s="228">
        <v>22</v>
      </c>
      <c r="CB64" s="229">
        <v>2.1299999999999999E-2</v>
      </c>
      <c r="CC64" s="228">
        <v>997</v>
      </c>
      <c r="CD64" s="228">
        <v>979</v>
      </c>
      <c r="CE64" s="228">
        <v>19</v>
      </c>
      <c r="CF64" s="229">
        <v>1.9400000000000001E-2</v>
      </c>
      <c r="CG64" s="228">
        <v>36</v>
      </c>
      <c r="CH64" s="228">
        <v>35</v>
      </c>
      <c r="CI64" s="228">
        <v>1</v>
      </c>
      <c r="CJ64" s="229">
        <v>3.5299999999999998E-2</v>
      </c>
      <c r="CK64" s="228">
        <v>4</v>
      </c>
      <c r="CL64" s="228">
        <v>2</v>
      </c>
      <c r="CM64" s="228">
        <v>1</v>
      </c>
      <c r="CN64" s="229">
        <v>0.71879999999999999</v>
      </c>
      <c r="CO64" s="228">
        <v>525</v>
      </c>
      <c r="CP64" s="228">
        <v>344</v>
      </c>
      <c r="CQ64" s="228">
        <v>181</v>
      </c>
      <c r="CR64" s="229">
        <v>0.52739999999999998</v>
      </c>
      <c r="CS64" s="228">
        <v>325</v>
      </c>
      <c r="CT64" s="228">
        <v>232</v>
      </c>
      <c r="CU64" s="228">
        <v>93</v>
      </c>
      <c r="CV64" s="229">
        <v>0.40079999999999999</v>
      </c>
      <c r="CW64" s="230">
        <v>1888</v>
      </c>
      <c r="CX64" s="230">
        <v>1592</v>
      </c>
      <c r="CY64" s="228">
        <v>296</v>
      </c>
      <c r="CZ64" s="229">
        <v>0.186</v>
      </c>
      <c r="DA64" s="228">
        <v>36.770000000000003</v>
      </c>
      <c r="DB64" s="228">
        <v>39.97</v>
      </c>
      <c r="DC64" s="228">
        <v>-3.2</v>
      </c>
      <c r="DD64" s="228">
        <v>-3.2</v>
      </c>
      <c r="DE64" s="228">
        <v>36.06</v>
      </c>
      <c r="DF64" s="228">
        <v>36.15</v>
      </c>
      <c r="DG64" s="228">
        <v>0.71</v>
      </c>
      <c r="DH64" s="228">
        <v>-0.09</v>
      </c>
      <c r="DI64" s="228">
        <v>36.69</v>
      </c>
      <c r="DJ64" s="228">
        <v>39.86</v>
      </c>
      <c r="DK64" s="228">
        <v>-3.17</v>
      </c>
      <c r="DL64" s="228">
        <v>-3.17</v>
      </c>
      <c r="DM64" s="228">
        <v>36.93</v>
      </c>
      <c r="DN64" s="228">
        <v>40.200000000000003</v>
      </c>
      <c r="DO64" s="228">
        <v>-3.27</v>
      </c>
      <c r="DP64" s="228">
        <v>-3.27</v>
      </c>
      <c r="DQ64" s="228">
        <v>0.62</v>
      </c>
      <c r="DR64" s="228">
        <v>0.67</v>
      </c>
      <c r="DS64" s="228">
        <v>-0.05</v>
      </c>
      <c r="DT64" s="229">
        <v>-7.46E-2</v>
      </c>
      <c r="DU64" s="228">
        <v>370</v>
      </c>
      <c r="DV64" s="228">
        <v>350</v>
      </c>
      <c r="DW64" s="228">
        <v>0.49</v>
      </c>
      <c r="DX64" s="228">
        <v>0.47</v>
      </c>
      <c r="DY64" s="228">
        <v>0.02</v>
      </c>
      <c r="DZ64" s="229">
        <v>4.2599999999999999E-2</v>
      </c>
      <c r="EA64" s="229">
        <v>3.8300000000000001E-2</v>
      </c>
      <c r="EB64" s="230">
        <v>1026000</v>
      </c>
      <c r="EC64" s="229">
        <v>5.7000000000000002E-3</v>
      </c>
      <c r="ED64" s="229">
        <v>3.8300000000000001E-2</v>
      </c>
      <c r="EE64" s="228">
        <v>3.07</v>
      </c>
      <c r="EF64" s="229">
        <v>8.3999999999999995E-3</v>
      </c>
      <c r="EG64" s="230">
        <v>3246671</v>
      </c>
      <c r="EH64" s="230">
        <v>1054596</v>
      </c>
      <c r="EI64" s="229">
        <v>2.0785999999999998</v>
      </c>
      <c r="EJ64" s="229">
        <v>0.28349999999999997</v>
      </c>
      <c r="EK64" s="231">
        <v>2438.44</v>
      </c>
      <c r="EL64" s="231">
        <v>1106.1199999999999</v>
      </c>
      <c r="EM64" s="228">
        <v>769.09</v>
      </c>
      <c r="EN64" s="228">
        <v>58.84</v>
      </c>
      <c r="EO64" s="231">
        <v>4313.6499999999996</v>
      </c>
      <c r="EP64" s="228">
        <v>574.62</v>
      </c>
      <c r="EQ64" s="231">
        <v>3739.03</v>
      </c>
      <c r="ER64" s="229">
        <v>6.5069999999999997</v>
      </c>
      <c r="ES64" s="228">
        <v>540.54999999999995</v>
      </c>
      <c r="ET64" s="228">
        <v>315.14999999999998</v>
      </c>
      <c r="EU64" s="231">
        <v>1037.3499999999999</v>
      </c>
      <c r="EV64" s="231">
        <v>50211048</v>
      </c>
      <c r="EW64" s="231">
        <v>1893.05</v>
      </c>
      <c r="EX64" s="231">
        <v>1589.45</v>
      </c>
      <c r="EY64" s="228">
        <v>303.60000000000002</v>
      </c>
      <c r="EZ64" s="229">
        <v>0.191</v>
      </c>
      <c r="FA64" s="229">
        <v>1.0432999999999999</v>
      </c>
      <c r="FB64" s="227" t="s">
        <v>566</v>
      </c>
      <c r="FC64">
        <f t="shared" si="0"/>
        <v>40</v>
      </c>
    </row>
    <row r="65" spans="1:159" ht="17.25" thickBot="1" x14ac:dyDescent="0.3">
      <c r="A65" s="226">
        <v>46146</v>
      </c>
      <c r="B65" s="227" t="s">
        <v>172</v>
      </c>
      <c r="C65" s="227" t="s">
        <v>212</v>
      </c>
      <c r="D65" s="228">
        <v>2500</v>
      </c>
      <c r="E65" s="228">
        <v>22</v>
      </c>
      <c r="F65" s="228">
        <v>290.75</v>
      </c>
      <c r="G65" s="228">
        <v>287.8</v>
      </c>
      <c r="H65" s="228">
        <v>2.95</v>
      </c>
      <c r="I65" s="229">
        <v>1.03E-2</v>
      </c>
      <c r="J65" s="228">
        <v>289.14999999999998</v>
      </c>
      <c r="K65" s="228">
        <v>286.95</v>
      </c>
      <c r="L65" s="228">
        <v>2.2000000000000002</v>
      </c>
      <c r="M65" s="229">
        <v>7.7000000000000002E-3</v>
      </c>
      <c r="N65" s="228">
        <v>290.75</v>
      </c>
      <c r="O65" s="228">
        <v>287.8</v>
      </c>
      <c r="P65" s="228">
        <v>2.95</v>
      </c>
      <c r="Q65" s="229">
        <v>1.03E-2</v>
      </c>
      <c r="R65" s="228">
        <v>292.55</v>
      </c>
      <c r="S65" s="228">
        <v>289.39999999999998</v>
      </c>
      <c r="T65" s="228">
        <v>3.15</v>
      </c>
      <c r="U65" s="229">
        <v>1.09E-2</v>
      </c>
      <c r="V65" s="228">
        <v>293.2</v>
      </c>
      <c r="W65" s="228">
        <v>290.45</v>
      </c>
      <c r="X65" s="228">
        <v>2.75</v>
      </c>
      <c r="Y65" s="229">
        <v>9.4999999999999998E-3</v>
      </c>
      <c r="Z65" s="228">
        <v>1.6</v>
      </c>
      <c r="AA65" s="228">
        <v>0.85</v>
      </c>
      <c r="AB65" s="228">
        <v>0.75</v>
      </c>
      <c r="AC65" s="229">
        <v>5.4999999999999997E-3</v>
      </c>
      <c r="AD65" s="228">
        <v>1.6</v>
      </c>
      <c r="AE65" s="228">
        <v>0.85</v>
      </c>
      <c r="AF65" s="228">
        <v>0.75</v>
      </c>
      <c r="AG65" s="229">
        <v>5.4999999999999997E-3</v>
      </c>
      <c r="AH65" s="228">
        <v>3.4</v>
      </c>
      <c r="AI65" s="228">
        <v>2.4500000000000002</v>
      </c>
      <c r="AJ65" s="228">
        <v>0.95</v>
      </c>
      <c r="AK65" s="229">
        <v>1.18E-2</v>
      </c>
      <c r="AL65" s="228">
        <v>4.05</v>
      </c>
      <c r="AM65" s="228">
        <v>3.5</v>
      </c>
      <c r="AN65" s="228">
        <v>0.55000000000000004</v>
      </c>
      <c r="AO65" s="229">
        <v>1.4E-2</v>
      </c>
      <c r="AP65" s="228">
        <v>291.07</v>
      </c>
      <c r="AQ65" s="228">
        <v>293.07</v>
      </c>
      <c r="AR65" s="228">
        <v>0</v>
      </c>
      <c r="AS65" s="228">
        <v>428</v>
      </c>
      <c r="AT65" s="228">
        <v>664</v>
      </c>
      <c r="AU65" s="228">
        <v>-237</v>
      </c>
      <c r="AV65" s="229">
        <v>-0.35610000000000003</v>
      </c>
      <c r="AW65" s="228">
        <v>392</v>
      </c>
      <c r="AX65" s="228">
        <v>606</v>
      </c>
      <c r="AY65" s="228">
        <v>-214</v>
      </c>
      <c r="AZ65" s="229">
        <v>-0.35339999999999999</v>
      </c>
      <c r="BA65" s="228">
        <v>31</v>
      </c>
      <c r="BB65" s="228">
        <v>51</v>
      </c>
      <c r="BC65" s="228">
        <v>-20</v>
      </c>
      <c r="BD65" s="229">
        <v>-0.38779999999999998</v>
      </c>
      <c r="BE65" s="228">
        <v>4</v>
      </c>
      <c r="BF65" s="228">
        <v>7</v>
      </c>
      <c r="BG65" s="228">
        <v>-2</v>
      </c>
      <c r="BH65" s="229">
        <v>-0.36559999999999998</v>
      </c>
      <c r="BI65" s="230">
        <v>1144</v>
      </c>
      <c r="BJ65" s="230">
        <v>2225</v>
      </c>
      <c r="BK65" s="230">
        <v>-1081</v>
      </c>
      <c r="BL65" s="229">
        <v>-0.48599999999999999</v>
      </c>
      <c r="BM65" s="228">
        <v>522</v>
      </c>
      <c r="BN65" s="228">
        <v>889</v>
      </c>
      <c r="BO65" s="228">
        <v>-367</v>
      </c>
      <c r="BP65" s="229">
        <v>-0.4128</v>
      </c>
      <c r="BQ65" s="230">
        <v>2093</v>
      </c>
      <c r="BR65" s="230">
        <v>3778</v>
      </c>
      <c r="BS65" s="230">
        <v>-1685</v>
      </c>
      <c r="BT65" s="229">
        <v>-0.44590000000000002</v>
      </c>
      <c r="BU65" s="230">
        <v>5701036</v>
      </c>
      <c r="BV65" s="230">
        <v>14209297</v>
      </c>
      <c r="BW65" s="230">
        <v>-8508261</v>
      </c>
      <c r="BX65" s="229">
        <v>-0.5988</v>
      </c>
      <c r="BY65" s="230">
        <v>2420</v>
      </c>
      <c r="BZ65" s="230">
        <v>2349</v>
      </c>
      <c r="CA65" s="228">
        <v>72</v>
      </c>
      <c r="CB65" s="229">
        <v>3.0599999999999999E-2</v>
      </c>
      <c r="CC65" s="230">
        <v>2220</v>
      </c>
      <c r="CD65" s="230">
        <v>2163</v>
      </c>
      <c r="CE65" s="228">
        <v>57</v>
      </c>
      <c r="CF65" s="229">
        <v>2.6499999999999999E-2</v>
      </c>
      <c r="CG65" s="228">
        <v>194</v>
      </c>
      <c r="CH65" s="228">
        <v>180</v>
      </c>
      <c r="CI65" s="228">
        <v>14</v>
      </c>
      <c r="CJ65" s="229">
        <v>7.6799999999999993E-2</v>
      </c>
      <c r="CK65" s="228">
        <v>7</v>
      </c>
      <c r="CL65" s="228">
        <v>6</v>
      </c>
      <c r="CM65" s="228">
        <v>1</v>
      </c>
      <c r="CN65" s="229">
        <v>0.1358</v>
      </c>
      <c r="CO65" s="230">
        <v>1054</v>
      </c>
      <c r="CP65" s="230">
        <v>1114</v>
      </c>
      <c r="CQ65" s="228">
        <v>-60</v>
      </c>
      <c r="CR65" s="229">
        <v>-5.3800000000000001E-2</v>
      </c>
      <c r="CS65" s="228">
        <v>570</v>
      </c>
      <c r="CT65" s="228">
        <v>569</v>
      </c>
      <c r="CU65" s="228">
        <v>1</v>
      </c>
      <c r="CV65" s="229">
        <v>2E-3</v>
      </c>
      <c r="CW65" s="230">
        <v>4045</v>
      </c>
      <c r="CX65" s="230">
        <v>4032</v>
      </c>
      <c r="CY65" s="228">
        <v>13</v>
      </c>
      <c r="CZ65" s="229">
        <v>3.2000000000000002E-3</v>
      </c>
      <c r="DA65" s="228">
        <v>29.6</v>
      </c>
      <c r="DB65" s="228">
        <v>30.72</v>
      </c>
      <c r="DC65" s="228">
        <v>-1.1200000000000001</v>
      </c>
      <c r="DD65" s="228">
        <v>-1.1200000000000001</v>
      </c>
      <c r="DE65" s="228">
        <v>31.83</v>
      </c>
      <c r="DF65" s="228">
        <v>31.89</v>
      </c>
      <c r="DG65" s="228">
        <v>-2.23</v>
      </c>
      <c r="DH65" s="228">
        <v>-0.06</v>
      </c>
      <c r="DI65" s="228">
        <v>29.56</v>
      </c>
      <c r="DJ65" s="228">
        <v>30.76</v>
      </c>
      <c r="DK65" s="228">
        <v>-1.2</v>
      </c>
      <c r="DL65" s="228">
        <v>-1.2</v>
      </c>
      <c r="DM65" s="228">
        <v>29.69</v>
      </c>
      <c r="DN65" s="228">
        <v>30.61</v>
      </c>
      <c r="DO65" s="228">
        <v>-0.92</v>
      </c>
      <c r="DP65" s="228">
        <v>-0.92</v>
      </c>
      <c r="DQ65" s="228">
        <v>0.54</v>
      </c>
      <c r="DR65" s="228">
        <v>0.51</v>
      </c>
      <c r="DS65" s="228">
        <v>0.03</v>
      </c>
      <c r="DT65" s="229">
        <v>5.8799999999999998E-2</v>
      </c>
      <c r="DU65" s="228">
        <v>300</v>
      </c>
      <c r="DV65" s="228">
        <v>290</v>
      </c>
      <c r="DW65" s="228">
        <v>0.46</v>
      </c>
      <c r="DX65" s="228">
        <v>0.4</v>
      </c>
      <c r="DY65" s="228">
        <v>0.06</v>
      </c>
      <c r="DZ65" s="229">
        <v>0.15</v>
      </c>
      <c r="EA65" s="229">
        <v>8.2799999999999999E-2</v>
      </c>
      <c r="EB65" s="230">
        <v>6387500</v>
      </c>
      <c r="EC65" s="229">
        <v>6.1999999999999998E-3</v>
      </c>
      <c r="ED65" s="229">
        <v>8.2799999999999999E-2</v>
      </c>
      <c r="EE65" s="228">
        <v>2</v>
      </c>
      <c r="EF65" s="229">
        <v>6.8999999999999999E-3</v>
      </c>
      <c r="EG65" s="230">
        <v>2737236</v>
      </c>
      <c r="EH65" s="230">
        <v>7367685</v>
      </c>
      <c r="EI65" s="229">
        <v>-0.62849999999999995</v>
      </c>
      <c r="EJ65" s="229">
        <v>0.48010000000000003</v>
      </c>
      <c r="EK65" s="231">
        <v>1220.58</v>
      </c>
      <c r="EL65" s="228">
        <v>509.8</v>
      </c>
      <c r="EM65" s="228">
        <v>428.34</v>
      </c>
      <c r="EN65" s="228">
        <v>130</v>
      </c>
      <c r="EO65" s="231">
        <v>2158.7199999999998</v>
      </c>
      <c r="EP65" s="231">
        <v>3863.43</v>
      </c>
      <c r="EQ65" s="231">
        <v>-1704.71</v>
      </c>
      <c r="ER65" s="229">
        <v>-0.44119999999999998</v>
      </c>
      <c r="ES65" s="231">
        <v>1105.26</v>
      </c>
      <c r="ET65" s="228">
        <v>555.62</v>
      </c>
      <c r="EU65" s="231">
        <v>2421.6799999999998</v>
      </c>
      <c r="EV65" s="231">
        <v>359450597</v>
      </c>
      <c r="EW65" s="231">
        <v>4082.55</v>
      </c>
      <c r="EX65" s="231">
        <v>4045.82</v>
      </c>
      <c r="EY65" s="228">
        <v>36.729999999999997</v>
      </c>
      <c r="EZ65" s="229">
        <v>9.1000000000000004E-3</v>
      </c>
      <c r="FA65" s="229">
        <v>0.38700000000000001</v>
      </c>
      <c r="FB65" s="227" t="s">
        <v>555</v>
      </c>
      <c r="FC65">
        <f t="shared" si="0"/>
        <v>200</v>
      </c>
    </row>
    <row r="66" spans="1:159" ht="17.25" thickBot="1" x14ac:dyDescent="0.3">
      <c r="A66" s="226">
        <v>46146</v>
      </c>
      <c r="B66" s="227" t="s">
        <v>181</v>
      </c>
      <c r="C66" s="227" t="s">
        <v>480</v>
      </c>
      <c r="D66" s="228">
        <v>60</v>
      </c>
      <c r="E66" s="228">
        <v>22</v>
      </c>
      <c r="F66" s="231">
        <v>25943.200000000001</v>
      </c>
      <c r="G66" s="231">
        <v>25782.799999999999</v>
      </c>
      <c r="H66" s="228">
        <v>160.4</v>
      </c>
      <c r="I66" s="229">
        <v>6.1999999999999998E-3</v>
      </c>
      <c r="J66" s="231">
        <v>25814.400000000001</v>
      </c>
      <c r="K66" s="231">
        <v>25657.35</v>
      </c>
      <c r="L66" s="228">
        <v>157.05000000000001</v>
      </c>
      <c r="M66" s="229">
        <v>6.1000000000000004E-3</v>
      </c>
      <c r="N66" s="231">
        <v>25943.200000000001</v>
      </c>
      <c r="O66" s="231">
        <v>25782.799999999999</v>
      </c>
      <c r="P66" s="228">
        <v>160.4</v>
      </c>
      <c r="Q66" s="229">
        <v>6.1999999999999998E-3</v>
      </c>
      <c r="R66" s="228">
        <v>0</v>
      </c>
      <c r="S66" s="228">
        <v>0</v>
      </c>
      <c r="T66" s="228">
        <v>0</v>
      </c>
      <c r="U66" s="229">
        <v>0</v>
      </c>
      <c r="V66" s="228">
        <v>0</v>
      </c>
      <c r="W66" s="228">
        <v>0</v>
      </c>
      <c r="X66" s="228">
        <v>0</v>
      </c>
      <c r="Y66" s="229">
        <v>0</v>
      </c>
      <c r="Z66" s="228">
        <v>128.80000000000001</v>
      </c>
      <c r="AA66" s="228">
        <v>125.45</v>
      </c>
      <c r="AB66" s="228">
        <v>3.35</v>
      </c>
      <c r="AC66" s="229">
        <v>5.0000000000000001E-3</v>
      </c>
      <c r="AD66" s="228">
        <v>128.80000000000001</v>
      </c>
      <c r="AE66" s="228">
        <v>125.45</v>
      </c>
      <c r="AF66" s="228">
        <v>3.35</v>
      </c>
      <c r="AG66" s="229">
        <v>5.0000000000000001E-3</v>
      </c>
      <c r="AH66" s="228">
        <v>0</v>
      </c>
      <c r="AI66" s="228">
        <v>0</v>
      </c>
      <c r="AJ66" s="228">
        <v>0</v>
      </c>
      <c r="AK66" s="229">
        <v>0</v>
      </c>
      <c r="AL66" s="228">
        <v>0</v>
      </c>
      <c r="AM66" s="228">
        <v>0</v>
      </c>
      <c r="AN66" s="228">
        <v>0</v>
      </c>
      <c r="AO66" s="229">
        <v>0</v>
      </c>
      <c r="AP66" s="231">
        <v>25991.08</v>
      </c>
      <c r="AQ66" s="228">
        <v>0</v>
      </c>
      <c r="AR66" s="228">
        <v>0</v>
      </c>
      <c r="AS66" s="228">
        <v>15</v>
      </c>
      <c r="AT66" s="228">
        <v>32</v>
      </c>
      <c r="AU66" s="228">
        <v>-16</v>
      </c>
      <c r="AV66" s="229">
        <v>-0.51229999999999998</v>
      </c>
      <c r="AW66" s="228">
        <v>15</v>
      </c>
      <c r="AX66" s="228">
        <v>32</v>
      </c>
      <c r="AY66" s="228">
        <v>-16</v>
      </c>
      <c r="AZ66" s="229">
        <v>-0.51229999999999998</v>
      </c>
      <c r="BA66" s="228">
        <v>0</v>
      </c>
      <c r="BB66" s="228">
        <v>0</v>
      </c>
      <c r="BC66" s="228">
        <v>0</v>
      </c>
      <c r="BD66" s="229">
        <v>0</v>
      </c>
      <c r="BE66" s="228">
        <v>0</v>
      </c>
      <c r="BF66" s="228">
        <v>0</v>
      </c>
      <c r="BG66" s="228">
        <v>0</v>
      </c>
      <c r="BH66" s="229">
        <v>0</v>
      </c>
      <c r="BI66" s="228">
        <v>742</v>
      </c>
      <c r="BJ66" s="228">
        <v>459</v>
      </c>
      <c r="BK66" s="228">
        <v>282</v>
      </c>
      <c r="BL66" s="229">
        <v>0.61439999999999995</v>
      </c>
      <c r="BM66" s="228">
        <v>462</v>
      </c>
      <c r="BN66" s="228">
        <v>350</v>
      </c>
      <c r="BO66" s="228">
        <v>112</v>
      </c>
      <c r="BP66" s="229">
        <v>0.32100000000000001</v>
      </c>
      <c r="BQ66" s="230">
        <v>1219</v>
      </c>
      <c r="BR66" s="228">
        <v>841</v>
      </c>
      <c r="BS66" s="228">
        <v>378</v>
      </c>
      <c r="BT66" s="229">
        <v>0.44990000000000002</v>
      </c>
      <c r="BU66" s="228">
        <v>0</v>
      </c>
      <c r="BV66" s="228">
        <v>0</v>
      </c>
      <c r="BW66" s="228">
        <v>0</v>
      </c>
      <c r="BX66" s="229">
        <v>0</v>
      </c>
      <c r="BY66" s="228">
        <v>69</v>
      </c>
      <c r="BZ66" s="228">
        <v>67</v>
      </c>
      <c r="CA66" s="228">
        <v>2</v>
      </c>
      <c r="CB66" s="229">
        <v>2.3099999999999999E-2</v>
      </c>
      <c r="CC66" s="228">
        <v>69</v>
      </c>
      <c r="CD66" s="228">
        <v>67</v>
      </c>
      <c r="CE66" s="228">
        <v>2</v>
      </c>
      <c r="CF66" s="229">
        <v>2.3099999999999999E-2</v>
      </c>
      <c r="CG66" s="228">
        <v>0</v>
      </c>
      <c r="CH66" s="228">
        <v>0</v>
      </c>
      <c r="CI66" s="228">
        <v>0</v>
      </c>
      <c r="CJ66" s="229">
        <v>0</v>
      </c>
      <c r="CK66" s="228">
        <v>0</v>
      </c>
      <c r="CL66" s="228">
        <v>0</v>
      </c>
      <c r="CM66" s="228">
        <v>0</v>
      </c>
      <c r="CN66" s="229">
        <v>0</v>
      </c>
      <c r="CO66" s="228">
        <v>378</v>
      </c>
      <c r="CP66" s="228">
        <v>278</v>
      </c>
      <c r="CQ66" s="228">
        <v>99</v>
      </c>
      <c r="CR66" s="229">
        <v>0.3574</v>
      </c>
      <c r="CS66" s="228">
        <v>230</v>
      </c>
      <c r="CT66" s="228">
        <v>124</v>
      </c>
      <c r="CU66" s="228">
        <v>106</v>
      </c>
      <c r="CV66" s="229">
        <v>0.86040000000000005</v>
      </c>
      <c r="CW66" s="228">
        <v>677</v>
      </c>
      <c r="CX66" s="228">
        <v>469</v>
      </c>
      <c r="CY66" s="228">
        <v>207</v>
      </c>
      <c r="CZ66" s="229">
        <v>0.44209999999999999</v>
      </c>
      <c r="DA66" s="228">
        <v>21.6</v>
      </c>
      <c r="DB66" s="228">
        <v>21.55</v>
      </c>
      <c r="DC66" s="228">
        <v>0.05</v>
      </c>
      <c r="DD66" s="228">
        <v>0.05</v>
      </c>
      <c r="DE66" s="228">
        <v>21.49</v>
      </c>
      <c r="DF66" s="228">
        <v>21.53</v>
      </c>
      <c r="DG66" s="228">
        <v>0.11</v>
      </c>
      <c r="DH66" s="228">
        <v>-0.04</v>
      </c>
      <c r="DI66" s="228">
        <v>20.239999999999998</v>
      </c>
      <c r="DJ66" s="228">
        <v>20.94</v>
      </c>
      <c r="DK66" s="228">
        <v>-0.7</v>
      </c>
      <c r="DL66" s="228">
        <v>-0.7</v>
      </c>
      <c r="DM66" s="228">
        <v>23.8</v>
      </c>
      <c r="DN66" s="228">
        <v>22.34</v>
      </c>
      <c r="DO66" s="228">
        <v>1.46</v>
      </c>
      <c r="DP66" s="228">
        <v>1.46</v>
      </c>
      <c r="DQ66" s="228">
        <v>0.61</v>
      </c>
      <c r="DR66" s="228">
        <v>0.44</v>
      </c>
      <c r="DS66" s="228">
        <v>0.17</v>
      </c>
      <c r="DT66" s="229">
        <v>0.38640000000000002</v>
      </c>
      <c r="DU66" s="231">
        <v>26000</v>
      </c>
      <c r="DV66" s="231">
        <v>26000</v>
      </c>
      <c r="DW66" s="228">
        <v>0.62</v>
      </c>
      <c r="DX66" s="228">
        <v>0.76</v>
      </c>
      <c r="DY66" s="228">
        <v>-0.14000000000000001</v>
      </c>
      <c r="DZ66" s="229">
        <v>-0.1842</v>
      </c>
      <c r="EA66" s="229">
        <v>0</v>
      </c>
      <c r="EB66" s="228">
        <v>0</v>
      </c>
      <c r="EC66" s="229">
        <v>0</v>
      </c>
      <c r="ED66" s="229">
        <v>0</v>
      </c>
      <c r="EE66" s="228">
        <v>0</v>
      </c>
      <c r="EF66" s="229">
        <v>0</v>
      </c>
      <c r="EG66" s="228">
        <v>0</v>
      </c>
      <c r="EH66" s="228">
        <v>0</v>
      </c>
      <c r="EI66" s="229">
        <v>0</v>
      </c>
      <c r="EJ66" s="229">
        <v>0</v>
      </c>
      <c r="EK66" s="228">
        <v>777.57</v>
      </c>
      <c r="EL66" s="228">
        <v>449.32</v>
      </c>
      <c r="EM66" s="228">
        <v>15.44</v>
      </c>
      <c r="EN66" s="228">
        <v>0</v>
      </c>
      <c r="EO66" s="231">
        <v>1242.33</v>
      </c>
      <c r="EP66" s="228">
        <v>856.62</v>
      </c>
      <c r="EQ66" s="228">
        <v>385.71</v>
      </c>
      <c r="ER66" s="229">
        <v>0.45029999999999998</v>
      </c>
      <c r="ES66" s="228">
        <v>398.18</v>
      </c>
      <c r="ET66" s="228">
        <v>216.35</v>
      </c>
      <c r="EU66" s="228">
        <v>68.8</v>
      </c>
      <c r="EV66" s="228">
        <v>0</v>
      </c>
      <c r="EW66" s="228">
        <v>683.34</v>
      </c>
      <c r="EX66" s="228">
        <v>479.55</v>
      </c>
      <c r="EY66" s="228">
        <v>203.79</v>
      </c>
      <c r="EZ66" s="229">
        <v>0.42499999999999999</v>
      </c>
      <c r="FA66" s="229">
        <v>0</v>
      </c>
      <c r="FB66" s="227" t="s">
        <v>555</v>
      </c>
      <c r="FC66">
        <f t="shared" si="0"/>
        <v>0</v>
      </c>
    </row>
    <row r="67" spans="1:159" ht="17.25" thickBot="1" x14ac:dyDescent="0.3">
      <c r="A67" s="226">
        <v>46146</v>
      </c>
      <c r="B67" s="227" t="s">
        <v>162</v>
      </c>
      <c r="C67" s="227" t="s">
        <v>698</v>
      </c>
      <c r="D67" s="228">
        <v>25</v>
      </c>
      <c r="E67" s="228">
        <v>22</v>
      </c>
      <c r="F67" s="231">
        <v>19109</v>
      </c>
      <c r="G67" s="231">
        <v>19594</v>
      </c>
      <c r="H67" s="228">
        <v>-485</v>
      </c>
      <c r="I67" s="229">
        <v>-2.4799999999999999E-2</v>
      </c>
      <c r="J67" s="231">
        <v>19331</v>
      </c>
      <c r="K67" s="231">
        <v>19904</v>
      </c>
      <c r="L67" s="228">
        <v>-573</v>
      </c>
      <c r="M67" s="229">
        <v>-2.8799999999999999E-2</v>
      </c>
      <c r="N67" s="231">
        <v>19109</v>
      </c>
      <c r="O67" s="231">
        <v>19594</v>
      </c>
      <c r="P67" s="228">
        <v>-485</v>
      </c>
      <c r="Q67" s="229">
        <v>-2.4799999999999999E-2</v>
      </c>
      <c r="R67" s="231">
        <v>18807</v>
      </c>
      <c r="S67" s="231">
        <v>19307</v>
      </c>
      <c r="T67" s="228">
        <v>-500</v>
      </c>
      <c r="U67" s="229">
        <v>-2.5899999999999999E-2</v>
      </c>
      <c r="V67" s="231">
        <v>18660</v>
      </c>
      <c r="W67" s="231">
        <v>19165</v>
      </c>
      <c r="X67" s="228">
        <v>-505</v>
      </c>
      <c r="Y67" s="229">
        <v>-2.64E-2</v>
      </c>
      <c r="Z67" s="228">
        <v>-222</v>
      </c>
      <c r="AA67" s="228">
        <v>-310</v>
      </c>
      <c r="AB67" s="228">
        <v>88</v>
      </c>
      <c r="AC67" s="229">
        <v>-1.15E-2</v>
      </c>
      <c r="AD67" s="228">
        <v>-222</v>
      </c>
      <c r="AE67" s="228">
        <v>-310</v>
      </c>
      <c r="AF67" s="228">
        <v>88</v>
      </c>
      <c r="AG67" s="229">
        <v>-1.15E-2</v>
      </c>
      <c r="AH67" s="228">
        <v>-524</v>
      </c>
      <c r="AI67" s="228">
        <v>-597</v>
      </c>
      <c r="AJ67" s="228">
        <v>73</v>
      </c>
      <c r="AK67" s="229">
        <v>-2.7099999999999999E-2</v>
      </c>
      <c r="AL67" s="228">
        <v>-671</v>
      </c>
      <c r="AM67" s="228">
        <v>-739</v>
      </c>
      <c r="AN67" s="228">
        <v>68</v>
      </c>
      <c r="AO67" s="229">
        <v>-3.4700000000000002E-2</v>
      </c>
      <c r="AP67" s="231">
        <v>19090.91</v>
      </c>
      <c r="AQ67" s="231">
        <v>18768.669999999998</v>
      </c>
      <c r="AR67" s="228">
        <v>0</v>
      </c>
      <c r="AS67" s="228">
        <v>165</v>
      </c>
      <c r="AT67" s="228">
        <v>271</v>
      </c>
      <c r="AU67" s="228">
        <v>-106</v>
      </c>
      <c r="AV67" s="229">
        <v>-0.39190000000000003</v>
      </c>
      <c r="AW67" s="228">
        <v>149</v>
      </c>
      <c r="AX67" s="228">
        <v>245</v>
      </c>
      <c r="AY67" s="228">
        <v>-96</v>
      </c>
      <c r="AZ67" s="229">
        <v>-0.3931</v>
      </c>
      <c r="BA67" s="228">
        <v>14</v>
      </c>
      <c r="BB67" s="228">
        <v>25</v>
      </c>
      <c r="BC67" s="228">
        <v>-12</v>
      </c>
      <c r="BD67" s="229">
        <v>-0.46239999999999998</v>
      </c>
      <c r="BE67" s="228">
        <v>3</v>
      </c>
      <c r="BF67" s="228">
        <v>1</v>
      </c>
      <c r="BG67" s="228">
        <v>2</v>
      </c>
      <c r="BH67" s="229">
        <v>2.0556000000000001</v>
      </c>
      <c r="BI67" s="228">
        <v>403</v>
      </c>
      <c r="BJ67" s="228">
        <v>582</v>
      </c>
      <c r="BK67" s="228">
        <v>-179</v>
      </c>
      <c r="BL67" s="229">
        <v>-0.30740000000000001</v>
      </c>
      <c r="BM67" s="228">
        <v>107</v>
      </c>
      <c r="BN67" s="228">
        <v>333</v>
      </c>
      <c r="BO67" s="228">
        <v>-226</v>
      </c>
      <c r="BP67" s="229">
        <v>-0.67849999999999999</v>
      </c>
      <c r="BQ67" s="228">
        <v>675</v>
      </c>
      <c r="BR67" s="230">
        <v>1186</v>
      </c>
      <c r="BS67" s="228">
        <v>-511</v>
      </c>
      <c r="BT67" s="229">
        <v>-0.43080000000000002</v>
      </c>
      <c r="BU67" s="230">
        <v>171097</v>
      </c>
      <c r="BV67" s="230">
        <v>279496</v>
      </c>
      <c r="BW67" s="230">
        <v>-108399</v>
      </c>
      <c r="BX67" s="229">
        <v>-0.38779999999999998</v>
      </c>
      <c r="BY67" s="228">
        <v>567</v>
      </c>
      <c r="BZ67" s="228">
        <v>549</v>
      </c>
      <c r="CA67" s="228">
        <v>18</v>
      </c>
      <c r="CB67" s="229">
        <v>3.27E-2</v>
      </c>
      <c r="CC67" s="228">
        <v>541</v>
      </c>
      <c r="CD67" s="228">
        <v>529</v>
      </c>
      <c r="CE67" s="228">
        <v>13</v>
      </c>
      <c r="CF67" s="229">
        <v>2.3800000000000002E-2</v>
      </c>
      <c r="CG67" s="228">
        <v>23</v>
      </c>
      <c r="CH67" s="228">
        <v>19</v>
      </c>
      <c r="CI67" s="228">
        <v>4</v>
      </c>
      <c r="CJ67" s="229">
        <v>0.18909999999999999</v>
      </c>
      <c r="CK67" s="228">
        <v>3</v>
      </c>
      <c r="CL67" s="228">
        <v>1</v>
      </c>
      <c r="CM67" s="228">
        <v>2</v>
      </c>
      <c r="CN67" s="229">
        <v>1.9474</v>
      </c>
      <c r="CO67" s="228">
        <v>287</v>
      </c>
      <c r="CP67" s="228">
        <v>232</v>
      </c>
      <c r="CQ67" s="228">
        <v>55</v>
      </c>
      <c r="CR67" s="229">
        <v>0.23719999999999999</v>
      </c>
      <c r="CS67" s="228">
        <v>96</v>
      </c>
      <c r="CT67" s="228">
        <v>92</v>
      </c>
      <c r="CU67" s="228">
        <v>4</v>
      </c>
      <c r="CV67" s="229">
        <v>4.2999999999999997E-2</v>
      </c>
      <c r="CW67" s="228">
        <v>950</v>
      </c>
      <c r="CX67" s="228">
        <v>873</v>
      </c>
      <c r="CY67" s="228">
        <v>77</v>
      </c>
      <c r="CZ67" s="229">
        <v>8.8200000000000001E-2</v>
      </c>
      <c r="DA67" s="228">
        <v>55.97</v>
      </c>
      <c r="DB67" s="228">
        <v>56.56</v>
      </c>
      <c r="DC67" s="228">
        <v>-0.59</v>
      </c>
      <c r="DD67" s="228">
        <v>-0.59</v>
      </c>
      <c r="DE67" s="228">
        <v>65.52</v>
      </c>
      <c r="DF67" s="228">
        <v>65.599999999999994</v>
      </c>
      <c r="DG67" s="228">
        <v>-9.5500000000000007</v>
      </c>
      <c r="DH67" s="228">
        <v>-0.08</v>
      </c>
      <c r="DI67" s="228">
        <v>56.52</v>
      </c>
      <c r="DJ67" s="228">
        <v>56.9</v>
      </c>
      <c r="DK67" s="228">
        <v>-0.38</v>
      </c>
      <c r="DL67" s="228">
        <v>-0.38</v>
      </c>
      <c r="DM67" s="228">
        <v>53.88</v>
      </c>
      <c r="DN67" s="228">
        <v>55.97</v>
      </c>
      <c r="DO67" s="228">
        <v>-2.09</v>
      </c>
      <c r="DP67" s="228">
        <v>-2.09</v>
      </c>
      <c r="DQ67" s="228">
        <v>0.34</v>
      </c>
      <c r="DR67" s="228">
        <v>0.4</v>
      </c>
      <c r="DS67" s="228">
        <v>-0.06</v>
      </c>
      <c r="DT67" s="229">
        <v>-0.15</v>
      </c>
      <c r="DU67" s="231">
        <v>23000</v>
      </c>
      <c r="DV67" s="231">
        <v>17000</v>
      </c>
      <c r="DW67" s="228">
        <v>0.27</v>
      </c>
      <c r="DX67" s="228">
        <v>0.56999999999999995</v>
      </c>
      <c r="DY67" s="228">
        <v>-0.3</v>
      </c>
      <c r="DZ67" s="229">
        <v>-0.52629999999999999</v>
      </c>
      <c r="EA67" s="229">
        <v>4.4999999999999998E-2</v>
      </c>
      <c r="EB67" s="230">
        <v>10525</v>
      </c>
      <c r="EC67" s="229">
        <v>-1.5800000000000002E-2</v>
      </c>
      <c r="ED67" s="229">
        <v>4.4999999999999998E-2</v>
      </c>
      <c r="EE67" s="228">
        <v>-322.24</v>
      </c>
      <c r="EF67" s="229">
        <v>-1.6899999999999998E-2</v>
      </c>
      <c r="EG67" s="230">
        <v>43870</v>
      </c>
      <c r="EH67" s="230">
        <v>76583</v>
      </c>
      <c r="EI67" s="229">
        <v>-0.42720000000000002</v>
      </c>
      <c r="EJ67" s="229">
        <v>0.25640000000000002</v>
      </c>
      <c r="EK67" s="228">
        <v>470.47</v>
      </c>
      <c r="EL67" s="228">
        <v>106.17</v>
      </c>
      <c r="EM67" s="228">
        <v>164.65</v>
      </c>
      <c r="EN67" s="228">
        <v>50.19</v>
      </c>
      <c r="EO67" s="228">
        <v>741.29</v>
      </c>
      <c r="EP67" s="231">
        <v>1311.66</v>
      </c>
      <c r="EQ67" s="228">
        <v>-570.37</v>
      </c>
      <c r="ER67" s="229">
        <v>-0.43480000000000002</v>
      </c>
      <c r="ES67" s="228">
        <v>337.73</v>
      </c>
      <c r="ET67" s="228">
        <v>93.81</v>
      </c>
      <c r="EU67" s="228">
        <v>566.16</v>
      </c>
      <c r="EV67" s="231">
        <v>736885</v>
      </c>
      <c r="EW67" s="228">
        <v>997.7</v>
      </c>
      <c r="EX67" s="228">
        <v>927.79</v>
      </c>
      <c r="EY67" s="228">
        <v>69.91</v>
      </c>
      <c r="EZ67" s="229">
        <v>7.5399999999999995E-2</v>
      </c>
      <c r="FA67" s="229">
        <v>0.67459999999999998</v>
      </c>
      <c r="FB67" s="227" t="s">
        <v>566</v>
      </c>
      <c r="FC67">
        <f t="shared" ref="FC67:FC130" si="1">BY67-CC67</f>
        <v>26</v>
      </c>
    </row>
    <row r="68" spans="1:159" ht="17.25" thickBot="1" x14ac:dyDescent="0.3">
      <c r="A68" s="226">
        <v>46146</v>
      </c>
      <c r="B68" s="227" t="s">
        <v>170</v>
      </c>
      <c r="C68" s="227" t="s">
        <v>674</v>
      </c>
      <c r="D68" s="228">
        <v>775</v>
      </c>
      <c r="E68" s="228">
        <v>22</v>
      </c>
      <c r="F68" s="228">
        <v>956.15</v>
      </c>
      <c r="G68" s="228">
        <v>927.9</v>
      </c>
      <c r="H68" s="228">
        <v>28.25</v>
      </c>
      <c r="I68" s="229">
        <v>3.04E-2</v>
      </c>
      <c r="J68" s="228">
        <v>952.9</v>
      </c>
      <c r="K68" s="228">
        <v>922.95</v>
      </c>
      <c r="L68" s="228">
        <v>29.95</v>
      </c>
      <c r="M68" s="229">
        <v>3.2500000000000001E-2</v>
      </c>
      <c r="N68" s="228">
        <v>956.15</v>
      </c>
      <c r="O68" s="228">
        <v>927.9</v>
      </c>
      <c r="P68" s="228">
        <v>28.25</v>
      </c>
      <c r="Q68" s="229">
        <v>3.04E-2</v>
      </c>
      <c r="R68" s="228">
        <v>962.65</v>
      </c>
      <c r="S68" s="228">
        <v>933.85</v>
      </c>
      <c r="T68" s="228">
        <v>28.8</v>
      </c>
      <c r="U68" s="229">
        <v>3.0800000000000001E-2</v>
      </c>
      <c r="V68" s="228">
        <v>935.75</v>
      </c>
      <c r="W68" s="228">
        <v>935.75</v>
      </c>
      <c r="X68" s="228">
        <v>0</v>
      </c>
      <c r="Y68" s="229">
        <v>0</v>
      </c>
      <c r="Z68" s="228">
        <v>3.25</v>
      </c>
      <c r="AA68" s="228">
        <v>4.95</v>
      </c>
      <c r="AB68" s="228">
        <v>-1.7</v>
      </c>
      <c r="AC68" s="229">
        <v>3.3999999999999998E-3</v>
      </c>
      <c r="AD68" s="228">
        <v>3.25</v>
      </c>
      <c r="AE68" s="228">
        <v>4.95</v>
      </c>
      <c r="AF68" s="228">
        <v>-1.7</v>
      </c>
      <c r="AG68" s="229">
        <v>3.3999999999999998E-3</v>
      </c>
      <c r="AH68" s="228">
        <v>9.75</v>
      </c>
      <c r="AI68" s="228">
        <v>10.9</v>
      </c>
      <c r="AJ68" s="228">
        <v>-1.1499999999999999</v>
      </c>
      <c r="AK68" s="229">
        <v>1.0200000000000001E-2</v>
      </c>
      <c r="AL68" s="228">
        <v>-17.149999999999999</v>
      </c>
      <c r="AM68" s="228">
        <v>12.8</v>
      </c>
      <c r="AN68" s="228">
        <v>-29.95</v>
      </c>
      <c r="AO68" s="229">
        <v>-1.7999999999999999E-2</v>
      </c>
      <c r="AP68" s="228">
        <v>954.76</v>
      </c>
      <c r="AQ68" s="228">
        <v>960.3</v>
      </c>
      <c r="AR68" s="228">
        <v>0</v>
      </c>
      <c r="AS68" s="228">
        <v>101</v>
      </c>
      <c r="AT68" s="228">
        <v>94</v>
      </c>
      <c r="AU68" s="228">
        <v>7</v>
      </c>
      <c r="AV68" s="229">
        <v>7.7399999999999997E-2</v>
      </c>
      <c r="AW68" s="228">
        <v>99</v>
      </c>
      <c r="AX68" s="228">
        <v>92</v>
      </c>
      <c r="AY68" s="228">
        <v>7</v>
      </c>
      <c r="AZ68" s="229">
        <v>7.3200000000000001E-2</v>
      </c>
      <c r="BA68" s="228">
        <v>2</v>
      </c>
      <c r="BB68" s="228">
        <v>1</v>
      </c>
      <c r="BC68" s="228">
        <v>1</v>
      </c>
      <c r="BD68" s="229">
        <v>0.5</v>
      </c>
      <c r="BE68" s="228">
        <v>0</v>
      </c>
      <c r="BF68" s="228">
        <v>0</v>
      </c>
      <c r="BG68" s="228">
        <v>0</v>
      </c>
      <c r="BH68" s="229">
        <v>-1</v>
      </c>
      <c r="BI68" s="228">
        <v>286</v>
      </c>
      <c r="BJ68" s="228">
        <v>70</v>
      </c>
      <c r="BK68" s="228">
        <v>216</v>
      </c>
      <c r="BL68" s="229">
        <v>3.1040999999999999</v>
      </c>
      <c r="BM68" s="228">
        <v>105</v>
      </c>
      <c r="BN68" s="228">
        <v>74</v>
      </c>
      <c r="BO68" s="228">
        <v>31</v>
      </c>
      <c r="BP68" s="229">
        <v>0.42049999999999998</v>
      </c>
      <c r="BQ68" s="228">
        <v>492</v>
      </c>
      <c r="BR68" s="228">
        <v>237</v>
      </c>
      <c r="BS68" s="228">
        <v>255</v>
      </c>
      <c r="BT68" s="229">
        <v>1.0737000000000001</v>
      </c>
      <c r="BU68" s="230">
        <v>1428920</v>
      </c>
      <c r="BV68" s="230">
        <v>1077160</v>
      </c>
      <c r="BW68" s="230">
        <v>351760</v>
      </c>
      <c r="BX68" s="229">
        <v>0.3266</v>
      </c>
      <c r="BY68" s="228">
        <v>899</v>
      </c>
      <c r="BZ68" s="228">
        <v>903</v>
      </c>
      <c r="CA68" s="228">
        <v>-3</v>
      </c>
      <c r="CB68" s="229">
        <v>-3.8999999999999998E-3</v>
      </c>
      <c r="CC68" s="228">
        <v>719</v>
      </c>
      <c r="CD68" s="228">
        <v>722</v>
      </c>
      <c r="CE68" s="228">
        <v>-4</v>
      </c>
      <c r="CF68" s="229">
        <v>-4.8999999999999998E-3</v>
      </c>
      <c r="CG68" s="228">
        <v>180</v>
      </c>
      <c r="CH68" s="228">
        <v>180</v>
      </c>
      <c r="CI68" s="228">
        <v>0</v>
      </c>
      <c r="CJ68" s="229">
        <v>4.0000000000000002E-4</v>
      </c>
      <c r="CK68" s="228">
        <v>0</v>
      </c>
      <c r="CL68" s="228">
        <v>0</v>
      </c>
      <c r="CM68" s="228">
        <v>0</v>
      </c>
      <c r="CN68" s="229">
        <v>0</v>
      </c>
      <c r="CO68" s="228">
        <v>145</v>
      </c>
      <c r="CP68" s="228">
        <v>109</v>
      </c>
      <c r="CQ68" s="228">
        <v>36</v>
      </c>
      <c r="CR68" s="229">
        <v>0.3281</v>
      </c>
      <c r="CS68" s="228">
        <v>77</v>
      </c>
      <c r="CT68" s="228">
        <v>62</v>
      </c>
      <c r="CU68" s="228">
        <v>16</v>
      </c>
      <c r="CV68" s="229">
        <v>0.25509999999999999</v>
      </c>
      <c r="CW68" s="230">
        <v>1122</v>
      </c>
      <c r="CX68" s="230">
        <v>1073</v>
      </c>
      <c r="CY68" s="228">
        <v>48</v>
      </c>
      <c r="CZ68" s="229">
        <v>4.48E-2</v>
      </c>
      <c r="DA68" s="228">
        <v>31.32</v>
      </c>
      <c r="DB68" s="228">
        <v>30.13</v>
      </c>
      <c r="DC68" s="228">
        <v>1.19</v>
      </c>
      <c r="DD68" s="228">
        <v>1.19</v>
      </c>
      <c r="DE68" s="228">
        <v>35.31</v>
      </c>
      <c r="DF68" s="228">
        <v>35.130000000000003</v>
      </c>
      <c r="DG68" s="228">
        <v>-3.99</v>
      </c>
      <c r="DH68" s="228">
        <v>0.18</v>
      </c>
      <c r="DI68" s="228">
        <v>31.29</v>
      </c>
      <c r="DJ68" s="228">
        <v>29.7</v>
      </c>
      <c r="DK68" s="228">
        <v>1.59</v>
      </c>
      <c r="DL68" s="228">
        <v>1.59</v>
      </c>
      <c r="DM68" s="228">
        <v>31.39</v>
      </c>
      <c r="DN68" s="228">
        <v>30.54</v>
      </c>
      <c r="DO68" s="228">
        <v>0.85</v>
      </c>
      <c r="DP68" s="228">
        <v>0.85</v>
      </c>
      <c r="DQ68" s="228">
        <v>0.53</v>
      </c>
      <c r="DR68" s="228">
        <v>0.56000000000000005</v>
      </c>
      <c r="DS68" s="228">
        <v>-0.03</v>
      </c>
      <c r="DT68" s="229">
        <v>-5.3600000000000002E-2</v>
      </c>
      <c r="DU68" s="231">
        <v>1000</v>
      </c>
      <c r="DV68" s="228">
        <v>900</v>
      </c>
      <c r="DW68" s="228">
        <v>0.37</v>
      </c>
      <c r="DX68" s="228">
        <v>1.06</v>
      </c>
      <c r="DY68" s="228">
        <v>-0.69</v>
      </c>
      <c r="DZ68" s="229">
        <v>-0.65090000000000003</v>
      </c>
      <c r="EA68" s="229">
        <v>0.2006</v>
      </c>
      <c r="EB68" s="230">
        <v>1885575</v>
      </c>
      <c r="EC68" s="229">
        <v>6.7999999999999996E-3</v>
      </c>
      <c r="ED68" s="229">
        <v>0.2006</v>
      </c>
      <c r="EE68" s="228">
        <v>5.54</v>
      </c>
      <c r="EF68" s="229">
        <v>5.7999999999999996E-3</v>
      </c>
      <c r="EG68" s="230">
        <v>667805</v>
      </c>
      <c r="EH68" s="230">
        <v>511192</v>
      </c>
      <c r="EI68" s="229">
        <v>0.30640000000000001</v>
      </c>
      <c r="EJ68" s="229">
        <v>0.46729999999999999</v>
      </c>
      <c r="EK68" s="228">
        <v>299.27999999999997</v>
      </c>
      <c r="EL68" s="228">
        <v>103.55</v>
      </c>
      <c r="EM68" s="228">
        <v>100.94</v>
      </c>
      <c r="EN68" s="228">
        <v>35.840000000000003</v>
      </c>
      <c r="EO68" s="228">
        <v>503.76</v>
      </c>
      <c r="EP68" s="228">
        <v>232.64</v>
      </c>
      <c r="EQ68" s="228">
        <v>271.12</v>
      </c>
      <c r="ER68" s="229">
        <v>1.1654</v>
      </c>
      <c r="ES68" s="228">
        <v>144.79</v>
      </c>
      <c r="ET68" s="228">
        <v>73.63</v>
      </c>
      <c r="EU68" s="228">
        <v>900.29</v>
      </c>
      <c r="EV68" s="231">
        <v>70894446</v>
      </c>
      <c r="EW68" s="231">
        <v>1118.72</v>
      </c>
      <c r="EX68" s="231">
        <v>1042.31</v>
      </c>
      <c r="EY68" s="228">
        <v>76.41</v>
      </c>
      <c r="EZ68" s="229">
        <v>7.3300000000000004E-2</v>
      </c>
      <c r="FA68" s="229">
        <v>0.16550000000000001</v>
      </c>
      <c r="FB68" s="227" t="s">
        <v>691</v>
      </c>
      <c r="FC68">
        <f t="shared" si="1"/>
        <v>180</v>
      </c>
    </row>
    <row r="69" spans="1:159" ht="17.25" thickBot="1" x14ac:dyDescent="0.3">
      <c r="A69" s="226">
        <v>46146</v>
      </c>
      <c r="B69" s="227" t="s">
        <v>193</v>
      </c>
      <c r="C69" s="227" t="s">
        <v>213</v>
      </c>
      <c r="D69" s="228">
        <v>3150</v>
      </c>
      <c r="E69" s="228">
        <v>22</v>
      </c>
      <c r="F69" s="228">
        <v>165.37</v>
      </c>
      <c r="G69" s="228">
        <v>163.84</v>
      </c>
      <c r="H69" s="228">
        <v>1.53</v>
      </c>
      <c r="I69" s="229">
        <v>9.2999999999999992E-3</v>
      </c>
      <c r="J69" s="228">
        <v>164.48</v>
      </c>
      <c r="K69" s="228">
        <v>163.22999999999999</v>
      </c>
      <c r="L69" s="228">
        <v>1.25</v>
      </c>
      <c r="M69" s="229">
        <v>7.7000000000000002E-3</v>
      </c>
      <c r="N69" s="228">
        <v>165.37</v>
      </c>
      <c r="O69" s="228">
        <v>163.84</v>
      </c>
      <c r="P69" s="228">
        <v>1.53</v>
      </c>
      <c r="Q69" s="229">
        <v>9.2999999999999992E-3</v>
      </c>
      <c r="R69" s="228">
        <v>166.26</v>
      </c>
      <c r="S69" s="228">
        <v>164.92</v>
      </c>
      <c r="T69" s="228">
        <v>1.34</v>
      </c>
      <c r="U69" s="229">
        <v>8.0999999999999996E-3</v>
      </c>
      <c r="V69" s="228">
        <v>167.71</v>
      </c>
      <c r="W69" s="228">
        <v>166</v>
      </c>
      <c r="X69" s="228">
        <v>1.71</v>
      </c>
      <c r="Y69" s="229">
        <v>1.03E-2</v>
      </c>
      <c r="Z69" s="228">
        <v>0.89</v>
      </c>
      <c r="AA69" s="228">
        <v>0.61</v>
      </c>
      <c r="AB69" s="228">
        <v>0.28000000000000003</v>
      </c>
      <c r="AC69" s="229">
        <v>5.4000000000000003E-3</v>
      </c>
      <c r="AD69" s="228">
        <v>0.89</v>
      </c>
      <c r="AE69" s="228">
        <v>0.61</v>
      </c>
      <c r="AF69" s="228">
        <v>0.28000000000000003</v>
      </c>
      <c r="AG69" s="229">
        <v>5.4000000000000003E-3</v>
      </c>
      <c r="AH69" s="228">
        <v>1.78</v>
      </c>
      <c r="AI69" s="228">
        <v>1.69</v>
      </c>
      <c r="AJ69" s="228">
        <v>0.09</v>
      </c>
      <c r="AK69" s="229">
        <v>1.0800000000000001E-2</v>
      </c>
      <c r="AL69" s="228">
        <v>3.23</v>
      </c>
      <c r="AM69" s="228">
        <v>2.77</v>
      </c>
      <c r="AN69" s="228">
        <v>0.46</v>
      </c>
      <c r="AO69" s="229">
        <v>1.9599999999999999E-2</v>
      </c>
      <c r="AP69" s="228">
        <v>166.83</v>
      </c>
      <c r="AQ69" s="228">
        <v>168.02</v>
      </c>
      <c r="AR69" s="228">
        <v>0</v>
      </c>
      <c r="AS69" s="228">
        <v>150</v>
      </c>
      <c r="AT69" s="228">
        <v>132</v>
      </c>
      <c r="AU69" s="228">
        <v>18</v>
      </c>
      <c r="AV69" s="229">
        <v>0.13930000000000001</v>
      </c>
      <c r="AW69" s="228">
        <v>139</v>
      </c>
      <c r="AX69" s="228">
        <v>125</v>
      </c>
      <c r="AY69" s="228">
        <v>14</v>
      </c>
      <c r="AZ69" s="229">
        <v>0.11459999999999999</v>
      </c>
      <c r="BA69" s="228">
        <v>11</v>
      </c>
      <c r="BB69" s="228">
        <v>7</v>
      </c>
      <c r="BC69" s="228">
        <v>4</v>
      </c>
      <c r="BD69" s="229">
        <v>0.60319999999999996</v>
      </c>
      <c r="BE69" s="228">
        <v>1</v>
      </c>
      <c r="BF69" s="228">
        <v>0</v>
      </c>
      <c r="BG69" s="228">
        <v>0</v>
      </c>
      <c r="BH69" s="229">
        <v>0.25</v>
      </c>
      <c r="BI69" s="228">
        <v>288</v>
      </c>
      <c r="BJ69" s="228">
        <v>205</v>
      </c>
      <c r="BK69" s="228">
        <v>83</v>
      </c>
      <c r="BL69" s="229">
        <v>0.40260000000000001</v>
      </c>
      <c r="BM69" s="228">
        <v>135</v>
      </c>
      <c r="BN69" s="228">
        <v>146</v>
      </c>
      <c r="BO69" s="228">
        <v>-10</v>
      </c>
      <c r="BP69" s="229">
        <v>-7.1499999999999994E-2</v>
      </c>
      <c r="BQ69" s="228">
        <v>573</v>
      </c>
      <c r="BR69" s="228">
        <v>483</v>
      </c>
      <c r="BS69" s="228">
        <v>91</v>
      </c>
      <c r="BT69" s="229">
        <v>0.1875</v>
      </c>
      <c r="BU69" s="230">
        <v>9212025</v>
      </c>
      <c r="BV69" s="230">
        <v>7841736</v>
      </c>
      <c r="BW69" s="230">
        <v>1370289</v>
      </c>
      <c r="BX69" s="229">
        <v>0.17469999999999999</v>
      </c>
      <c r="BY69" s="230">
        <v>1248</v>
      </c>
      <c r="BZ69" s="230">
        <v>1247</v>
      </c>
      <c r="CA69" s="228">
        <v>1</v>
      </c>
      <c r="CB69" s="229">
        <v>5.9999999999999995E-4</v>
      </c>
      <c r="CC69" s="230">
        <v>1150</v>
      </c>
      <c r="CD69" s="230">
        <v>1149</v>
      </c>
      <c r="CE69" s="228">
        <v>1</v>
      </c>
      <c r="CF69" s="229">
        <v>8.9999999999999998E-4</v>
      </c>
      <c r="CG69" s="228">
        <v>97</v>
      </c>
      <c r="CH69" s="228">
        <v>98</v>
      </c>
      <c r="CI69" s="228">
        <v>-1</v>
      </c>
      <c r="CJ69" s="229">
        <v>-5.7999999999999996E-3</v>
      </c>
      <c r="CK69" s="228">
        <v>1</v>
      </c>
      <c r="CL69" s="228">
        <v>0</v>
      </c>
      <c r="CM69" s="228">
        <v>0</v>
      </c>
      <c r="CN69" s="229">
        <v>0.71430000000000005</v>
      </c>
      <c r="CO69" s="228">
        <v>279</v>
      </c>
      <c r="CP69" s="228">
        <v>272</v>
      </c>
      <c r="CQ69" s="228">
        <v>7</v>
      </c>
      <c r="CR69" s="229">
        <v>2.6499999999999999E-2</v>
      </c>
      <c r="CS69" s="228">
        <v>295</v>
      </c>
      <c r="CT69" s="228">
        <v>290</v>
      </c>
      <c r="CU69" s="228">
        <v>5</v>
      </c>
      <c r="CV69" s="229">
        <v>1.7100000000000001E-2</v>
      </c>
      <c r="CW69" s="230">
        <v>1822</v>
      </c>
      <c r="CX69" s="230">
        <v>1809</v>
      </c>
      <c r="CY69" s="228">
        <v>13</v>
      </c>
      <c r="CZ69" s="229">
        <v>7.1000000000000004E-3</v>
      </c>
      <c r="DA69" s="228">
        <v>31.2</v>
      </c>
      <c r="DB69" s="228">
        <v>31.05</v>
      </c>
      <c r="DC69" s="228">
        <v>0.15</v>
      </c>
      <c r="DD69" s="228">
        <v>0.15</v>
      </c>
      <c r="DE69" s="228">
        <v>35.17</v>
      </c>
      <c r="DF69" s="228">
        <v>35.24</v>
      </c>
      <c r="DG69" s="228">
        <v>-3.97</v>
      </c>
      <c r="DH69" s="228">
        <v>-7.0000000000000007E-2</v>
      </c>
      <c r="DI69" s="228">
        <v>30.97</v>
      </c>
      <c r="DJ69" s="228">
        <v>30.42</v>
      </c>
      <c r="DK69" s="228">
        <v>0.55000000000000004</v>
      </c>
      <c r="DL69" s="228">
        <v>0.55000000000000004</v>
      </c>
      <c r="DM69" s="228">
        <v>31.71</v>
      </c>
      <c r="DN69" s="228">
        <v>31.94</v>
      </c>
      <c r="DO69" s="228">
        <v>-0.23</v>
      </c>
      <c r="DP69" s="228">
        <v>-0.23</v>
      </c>
      <c r="DQ69" s="228">
        <v>1.06</v>
      </c>
      <c r="DR69" s="228">
        <v>1.07</v>
      </c>
      <c r="DS69" s="228">
        <v>-0.01</v>
      </c>
      <c r="DT69" s="229">
        <v>-9.2999999999999992E-3</v>
      </c>
      <c r="DU69" s="228">
        <v>170</v>
      </c>
      <c r="DV69" s="228">
        <v>192</v>
      </c>
      <c r="DW69" s="228">
        <v>0.47</v>
      </c>
      <c r="DX69" s="228">
        <v>0.71</v>
      </c>
      <c r="DY69" s="228">
        <v>-0.24</v>
      </c>
      <c r="DZ69" s="229">
        <v>-0.33800000000000002</v>
      </c>
      <c r="EA69" s="229">
        <v>7.8600000000000003E-2</v>
      </c>
      <c r="EB69" s="230">
        <v>5950000</v>
      </c>
      <c r="EC69" s="229">
        <v>5.4000000000000003E-3</v>
      </c>
      <c r="ED69" s="229">
        <v>7.8600000000000003E-2</v>
      </c>
      <c r="EE69" s="228">
        <v>1.19</v>
      </c>
      <c r="EF69" s="229">
        <v>7.1000000000000004E-3</v>
      </c>
      <c r="EG69" s="230">
        <v>4793084</v>
      </c>
      <c r="EH69" s="230">
        <v>4450516</v>
      </c>
      <c r="EI69" s="229">
        <v>7.6999999999999999E-2</v>
      </c>
      <c r="EJ69" s="229">
        <v>0.52029999999999998</v>
      </c>
      <c r="EK69" s="228">
        <v>305.45</v>
      </c>
      <c r="EL69" s="228">
        <v>134.05000000000001</v>
      </c>
      <c r="EM69" s="228">
        <v>151.86000000000001</v>
      </c>
      <c r="EN69" s="228">
        <v>63.05</v>
      </c>
      <c r="EO69" s="228">
        <v>591.36</v>
      </c>
      <c r="EP69" s="228">
        <v>487.42</v>
      </c>
      <c r="EQ69" s="228">
        <v>103.94</v>
      </c>
      <c r="ER69" s="229">
        <v>0.21329999999999999</v>
      </c>
      <c r="ES69" s="228">
        <v>286.67</v>
      </c>
      <c r="ET69" s="228">
        <v>296.45999999999998</v>
      </c>
      <c r="EU69" s="231">
        <v>1248.68</v>
      </c>
      <c r="EV69" s="231">
        <v>471255857</v>
      </c>
      <c r="EW69" s="231">
        <v>1831.81</v>
      </c>
      <c r="EX69" s="231">
        <v>1805.77</v>
      </c>
      <c r="EY69" s="228">
        <v>26.04</v>
      </c>
      <c r="EZ69" s="229">
        <v>1.44E-2</v>
      </c>
      <c r="FA69" s="229">
        <v>0.23380000000000001</v>
      </c>
      <c r="FB69" s="227" t="s">
        <v>555</v>
      </c>
      <c r="FC69">
        <f t="shared" si="1"/>
        <v>98</v>
      </c>
    </row>
    <row r="70" spans="1:159" ht="17.25" thickBot="1" x14ac:dyDescent="0.3">
      <c r="A70" s="226">
        <v>46146</v>
      </c>
      <c r="B70" s="227" t="s">
        <v>170</v>
      </c>
      <c r="C70" s="227" t="s">
        <v>214</v>
      </c>
      <c r="D70" s="228">
        <v>375</v>
      </c>
      <c r="E70" s="228">
        <v>22</v>
      </c>
      <c r="F70" s="231">
        <v>2404.9</v>
      </c>
      <c r="G70" s="231">
        <v>2420.8000000000002</v>
      </c>
      <c r="H70" s="228">
        <v>-15.9</v>
      </c>
      <c r="I70" s="229">
        <v>-6.6E-3</v>
      </c>
      <c r="J70" s="231">
        <v>2393.6999999999998</v>
      </c>
      <c r="K70" s="231">
        <v>2406.3000000000002</v>
      </c>
      <c r="L70" s="228">
        <v>-12.6</v>
      </c>
      <c r="M70" s="229">
        <v>-5.1999999999999998E-3</v>
      </c>
      <c r="N70" s="231">
        <v>2404.9</v>
      </c>
      <c r="O70" s="231">
        <v>2420.8000000000002</v>
      </c>
      <c r="P70" s="228">
        <v>-15.9</v>
      </c>
      <c r="Q70" s="229">
        <v>-6.6E-3</v>
      </c>
      <c r="R70" s="231">
        <v>2419.8000000000002</v>
      </c>
      <c r="S70" s="231">
        <v>2438.6</v>
      </c>
      <c r="T70" s="228">
        <v>-18.8</v>
      </c>
      <c r="U70" s="229">
        <v>-7.7000000000000002E-3</v>
      </c>
      <c r="V70" s="231">
        <v>2451</v>
      </c>
      <c r="W70" s="231">
        <v>2449.6</v>
      </c>
      <c r="X70" s="228">
        <v>1.4</v>
      </c>
      <c r="Y70" s="229">
        <v>5.9999999999999995E-4</v>
      </c>
      <c r="Z70" s="228">
        <v>11.2</v>
      </c>
      <c r="AA70" s="228">
        <v>14.5</v>
      </c>
      <c r="AB70" s="228">
        <v>-3.3</v>
      </c>
      <c r="AC70" s="229">
        <v>4.7000000000000002E-3</v>
      </c>
      <c r="AD70" s="228">
        <v>11.2</v>
      </c>
      <c r="AE70" s="228">
        <v>14.5</v>
      </c>
      <c r="AF70" s="228">
        <v>-3.3</v>
      </c>
      <c r="AG70" s="229">
        <v>4.7000000000000002E-3</v>
      </c>
      <c r="AH70" s="228">
        <v>26.1</v>
      </c>
      <c r="AI70" s="228">
        <v>32.299999999999997</v>
      </c>
      <c r="AJ70" s="228">
        <v>-6.2</v>
      </c>
      <c r="AK70" s="229">
        <v>1.09E-2</v>
      </c>
      <c r="AL70" s="228">
        <v>57.3</v>
      </c>
      <c r="AM70" s="228">
        <v>43.3</v>
      </c>
      <c r="AN70" s="228">
        <v>14</v>
      </c>
      <c r="AO70" s="229">
        <v>2.3900000000000001E-2</v>
      </c>
      <c r="AP70" s="231">
        <v>2414.0500000000002</v>
      </c>
      <c r="AQ70" s="231">
        <v>2427.0300000000002</v>
      </c>
      <c r="AR70" s="228">
        <v>0</v>
      </c>
      <c r="AS70" s="228">
        <v>187</v>
      </c>
      <c r="AT70" s="228">
        <v>317</v>
      </c>
      <c r="AU70" s="228">
        <v>-130</v>
      </c>
      <c r="AV70" s="229">
        <v>-0.41070000000000001</v>
      </c>
      <c r="AW70" s="228">
        <v>183</v>
      </c>
      <c r="AX70" s="228">
        <v>311</v>
      </c>
      <c r="AY70" s="228">
        <v>-128</v>
      </c>
      <c r="AZ70" s="229">
        <v>-0.41070000000000001</v>
      </c>
      <c r="BA70" s="228">
        <v>3</v>
      </c>
      <c r="BB70" s="228">
        <v>6</v>
      </c>
      <c r="BC70" s="228">
        <v>-3</v>
      </c>
      <c r="BD70" s="229">
        <v>-0.43080000000000002</v>
      </c>
      <c r="BE70" s="228">
        <v>0</v>
      </c>
      <c r="BF70" s="228">
        <v>1</v>
      </c>
      <c r="BG70" s="228">
        <v>0</v>
      </c>
      <c r="BH70" s="229">
        <v>-0.16669999999999999</v>
      </c>
      <c r="BI70" s="228">
        <v>284</v>
      </c>
      <c r="BJ70" s="228">
        <v>529</v>
      </c>
      <c r="BK70" s="228">
        <v>-245</v>
      </c>
      <c r="BL70" s="229">
        <v>-0.46260000000000001</v>
      </c>
      <c r="BM70" s="228">
        <v>160</v>
      </c>
      <c r="BN70" s="228">
        <v>227</v>
      </c>
      <c r="BO70" s="228">
        <v>-67</v>
      </c>
      <c r="BP70" s="229">
        <v>-0.29399999999999998</v>
      </c>
      <c r="BQ70" s="228">
        <v>632</v>
      </c>
      <c r="BR70" s="230">
        <v>1073</v>
      </c>
      <c r="BS70" s="228">
        <v>-442</v>
      </c>
      <c r="BT70" s="229">
        <v>-0.41160000000000002</v>
      </c>
      <c r="BU70" s="230">
        <v>465777</v>
      </c>
      <c r="BV70" s="230">
        <v>813703</v>
      </c>
      <c r="BW70" s="230">
        <v>-347926</v>
      </c>
      <c r="BX70" s="229">
        <v>-0.42759999999999998</v>
      </c>
      <c r="BY70" s="230">
        <v>2700</v>
      </c>
      <c r="BZ70" s="230">
        <v>2707</v>
      </c>
      <c r="CA70" s="228">
        <v>-7</v>
      </c>
      <c r="CB70" s="229">
        <v>-2.5000000000000001E-3</v>
      </c>
      <c r="CC70" s="230">
        <v>2687</v>
      </c>
      <c r="CD70" s="230">
        <v>2694</v>
      </c>
      <c r="CE70" s="228">
        <v>-7</v>
      </c>
      <c r="CF70" s="229">
        <v>-2.7000000000000001E-3</v>
      </c>
      <c r="CG70" s="228">
        <v>12</v>
      </c>
      <c r="CH70" s="228">
        <v>12</v>
      </c>
      <c r="CI70" s="228">
        <v>0</v>
      </c>
      <c r="CJ70" s="229">
        <v>7.6E-3</v>
      </c>
      <c r="CK70" s="228">
        <v>1</v>
      </c>
      <c r="CL70" s="228">
        <v>1</v>
      </c>
      <c r="CM70" s="228">
        <v>0</v>
      </c>
      <c r="CN70" s="229">
        <v>0.5</v>
      </c>
      <c r="CO70" s="228">
        <v>409</v>
      </c>
      <c r="CP70" s="228">
        <v>375</v>
      </c>
      <c r="CQ70" s="228">
        <v>34</v>
      </c>
      <c r="CR70" s="229">
        <v>9.1499999999999998E-2</v>
      </c>
      <c r="CS70" s="228">
        <v>223</v>
      </c>
      <c r="CT70" s="228">
        <v>215</v>
      </c>
      <c r="CU70" s="228">
        <v>8</v>
      </c>
      <c r="CV70" s="229">
        <v>3.6999999999999998E-2</v>
      </c>
      <c r="CW70" s="230">
        <v>3332</v>
      </c>
      <c r="CX70" s="230">
        <v>3296</v>
      </c>
      <c r="CY70" s="228">
        <v>35</v>
      </c>
      <c r="CZ70" s="229">
        <v>1.0800000000000001E-2</v>
      </c>
      <c r="DA70" s="228">
        <v>37.89</v>
      </c>
      <c r="DB70" s="228">
        <v>37.43</v>
      </c>
      <c r="DC70" s="228">
        <v>0.46</v>
      </c>
      <c r="DD70" s="228">
        <v>0.46</v>
      </c>
      <c r="DE70" s="228">
        <v>36</v>
      </c>
      <c r="DF70" s="228">
        <v>36.08</v>
      </c>
      <c r="DG70" s="228">
        <v>1.89</v>
      </c>
      <c r="DH70" s="228">
        <v>-0.08</v>
      </c>
      <c r="DI70" s="228">
        <v>37.58</v>
      </c>
      <c r="DJ70" s="228">
        <v>37.33</v>
      </c>
      <c r="DK70" s="228">
        <v>0.25</v>
      </c>
      <c r="DL70" s="228">
        <v>0.25</v>
      </c>
      <c r="DM70" s="228">
        <v>38.450000000000003</v>
      </c>
      <c r="DN70" s="228">
        <v>37.67</v>
      </c>
      <c r="DO70" s="228">
        <v>0.78</v>
      </c>
      <c r="DP70" s="228">
        <v>0.78</v>
      </c>
      <c r="DQ70" s="228">
        <v>0.54</v>
      </c>
      <c r="DR70" s="228">
        <v>0.56999999999999995</v>
      </c>
      <c r="DS70" s="228">
        <v>-0.03</v>
      </c>
      <c r="DT70" s="229">
        <v>-5.2600000000000001E-2</v>
      </c>
      <c r="DU70" s="231">
        <v>2400</v>
      </c>
      <c r="DV70" s="231">
        <v>2300</v>
      </c>
      <c r="DW70" s="228">
        <v>0.56000000000000005</v>
      </c>
      <c r="DX70" s="228">
        <v>0.43</v>
      </c>
      <c r="DY70" s="228">
        <v>0.13</v>
      </c>
      <c r="DZ70" s="229">
        <v>0.30230000000000001</v>
      </c>
      <c r="EA70" s="229">
        <v>4.7999999999999996E-3</v>
      </c>
      <c r="EB70" s="230">
        <v>52500</v>
      </c>
      <c r="EC70" s="229">
        <v>6.1999999999999998E-3</v>
      </c>
      <c r="ED70" s="229">
        <v>4.7999999999999996E-3</v>
      </c>
      <c r="EE70" s="228">
        <v>12.98</v>
      </c>
      <c r="EF70" s="229">
        <v>5.4000000000000003E-3</v>
      </c>
      <c r="EG70" s="230">
        <v>231940</v>
      </c>
      <c r="EH70" s="230">
        <v>394682</v>
      </c>
      <c r="EI70" s="229">
        <v>-0.4123</v>
      </c>
      <c r="EJ70" s="229">
        <v>0.498</v>
      </c>
      <c r="EK70" s="228">
        <v>302.13</v>
      </c>
      <c r="EL70" s="228">
        <v>156.94999999999999</v>
      </c>
      <c r="EM70" s="228">
        <v>187.6</v>
      </c>
      <c r="EN70" s="228">
        <v>89.38</v>
      </c>
      <c r="EO70" s="228">
        <v>646.67999999999995</v>
      </c>
      <c r="EP70" s="231">
        <v>1108.72</v>
      </c>
      <c r="EQ70" s="228">
        <v>-462.04</v>
      </c>
      <c r="ER70" s="229">
        <v>-0.41670000000000001</v>
      </c>
      <c r="ES70" s="228">
        <v>414.76</v>
      </c>
      <c r="ET70" s="228">
        <v>207.58</v>
      </c>
      <c r="EU70" s="231">
        <v>2700.11</v>
      </c>
      <c r="EV70" s="231">
        <v>15844372</v>
      </c>
      <c r="EW70" s="231">
        <v>3322.45</v>
      </c>
      <c r="EX70" s="231">
        <v>3304.13</v>
      </c>
      <c r="EY70" s="228">
        <v>18.32</v>
      </c>
      <c r="EZ70" s="229">
        <v>5.4999999999999997E-3</v>
      </c>
      <c r="FA70" s="229">
        <v>0.87439999999999996</v>
      </c>
      <c r="FB70" s="227" t="s">
        <v>567</v>
      </c>
      <c r="FC70">
        <f t="shared" si="1"/>
        <v>13</v>
      </c>
    </row>
    <row r="71" spans="1:159" ht="17.25" thickBot="1" x14ac:dyDescent="0.3">
      <c r="A71" s="226">
        <v>46146</v>
      </c>
      <c r="B71" s="227" t="s">
        <v>215</v>
      </c>
      <c r="C71" s="227" t="s">
        <v>630</v>
      </c>
      <c r="D71" s="228">
        <v>6975</v>
      </c>
      <c r="E71" s="228">
        <v>22</v>
      </c>
      <c r="F71" s="228">
        <v>99.1</v>
      </c>
      <c r="G71" s="228">
        <v>96.96</v>
      </c>
      <c r="H71" s="228">
        <v>2.14</v>
      </c>
      <c r="I71" s="229">
        <v>2.2100000000000002E-2</v>
      </c>
      <c r="J71" s="228">
        <v>98.9</v>
      </c>
      <c r="K71" s="228">
        <v>96.43</v>
      </c>
      <c r="L71" s="228">
        <v>2.4700000000000002</v>
      </c>
      <c r="M71" s="229">
        <v>2.5600000000000001E-2</v>
      </c>
      <c r="N71" s="228">
        <v>99.1</v>
      </c>
      <c r="O71" s="228">
        <v>96.96</v>
      </c>
      <c r="P71" s="228">
        <v>2.14</v>
      </c>
      <c r="Q71" s="229">
        <v>2.2100000000000002E-2</v>
      </c>
      <c r="R71" s="228">
        <v>99.83</v>
      </c>
      <c r="S71" s="228">
        <v>97.66</v>
      </c>
      <c r="T71" s="228">
        <v>2.17</v>
      </c>
      <c r="U71" s="229">
        <v>2.2200000000000001E-2</v>
      </c>
      <c r="V71" s="228">
        <v>100.01</v>
      </c>
      <c r="W71" s="228">
        <v>98.06</v>
      </c>
      <c r="X71" s="228">
        <v>1.95</v>
      </c>
      <c r="Y71" s="229">
        <v>1.9900000000000001E-2</v>
      </c>
      <c r="Z71" s="228">
        <v>0.2</v>
      </c>
      <c r="AA71" s="228">
        <v>0.53</v>
      </c>
      <c r="AB71" s="228">
        <v>-0.33</v>
      </c>
      <c r="AC71" s="229">
        <v>2E-3</v>
      </c>
      <c r="AD71" s="228">
        <v>0.2</v>
      </c>
      <c r="AE71" s="228">
        <v>0.53</v>
      </c>
      <c r="AF71" s="228">
        <v>-0.33</v>
      </c>
      <c r="AG71" s="229">
        <v>2E-3</v>
      </c>
      <c r="AH71" s="228">
        <v>0.93</v>
      </c>
      <c r="AI71" s="228">
        <v>1.23</v>
      </c>
      <c r="AJ71" s="228">
        <v>-0.3</v>
      </c>
      <c r="AK71" s="229">
        <v>9.4000000000000004E-3</v>
      </c>
      <c r="AL71" s="228">
        <v>1.1100000000000001</v>
      </c>
      <c r="AM71" s="228">
        <v>1.63</v>
      </c>
      <c r="AN71" s="228">
        <v>-0.52</v>
      </c>
      <c r="AO71" s="229">
        <v>1.12E-2</v>
      </c>
      <c r="AP71" s="228">
        <v>98.95</v>
      </c>
      <c r="AQ71" s="228">
        <v>99.41</v>
      </c>
      <c r="AR71" s="228">
        <v>0</v>
      </c>
      <c r="AS71" s="228">
        <v>253</v>
      </c>
      <c r="AT71" s="228">
        <v>146</v>
      </c>
      <c r="AU71" s="228">
        <v>107</v>
      </c>
      <c r="AV71" s="229">
        <v>0.73140000000000005</v>
      </c>
      <c r="AW71" s="228">
        <v>236</v>
      </c>
      <c r="AX71" s="228">
        <v>136</v>
      </c>
      <c r="AY71" s="228">
        <v>100</v>
      </c>
      <c r="AZ71" s="229">
        <v>0.73399999999999999</v>
      </c>
      <c r="BA71" s="228">
        <v>16</v>
      </c>
      <c r="BB71" s="228">
        <v>10</v>
      </c>
      <c r="BC71" s="228">
        <v>6</v>
      </c>
      <c r="BD71" s="229">
        <v>0.64790000000000003</v>
      </c>
      <c r="BE71" s="228">
        <v>1</v>
      </c>
      <c r="BF71" s="228">
        <v>0</v>
      </c>
      <c r="BG71" s="228">
        <v>1</v>
      </c>
      <c r="BH71" s="229">
        <v>1.8332999999999999</v>
      </c>
      <c r="BI71" s="228">
        <v>720</v>
      </c>
      <c r="BJ71" s="228">
        <v>278</v>
      </c>
      <c r="BK71" s="228">
        <v>442</v>
      </c>
      <c r="BL71" s="229">
        <v>1.5873999999999999</v>
      </c>
      <c r="BM71" s="228">
        <v>309</v>
      </c>
      <c r="BN71" s="228">
        <v>155</v>
      </c>
      <c r="BO71" s="228">
        <v>154</v>
      </c>
      <c r="BP71" s="229">
        <v>0.99870000000000003</v>
      </c>
      <c r="BQ71" s="230">
        <v>1283</v>
      </c>
      <c r="BR71" s="228">
        <v>579</v>
      </c>
      <c r="BS71" s="228">
        <v>703</v>
      </c>
      <c r="BT71" s="229">
        <v>1.2139</v>
      </c>
      <c r="BU71" s="230">
        <v>20672000</v>
      </c>
      <c r="BV71" s="230">
        <v>9110130</v>
      </c>
      <c r="BW71" s="230">
        <v>11561870</v>
      </c>
      <c r="BX71" s="229">
        <v>1.2690999999999999</v>
      </c>
      <c r="BY71" s="230">
        <v>1325</v>
      </c>
      <c r="BZ71" s="230">
        <v>1325</v>
      </c>
      <c r="CA71" s="228">
        <v>0</v>
      </c>
      <c r="CB71" s="229">
        <v>0</v>
      </c>
      <c r="CC71" s="230">
        <v>1258</v>
      </c>
      <c r="CD71" s="230">
        <v>1257</v>
      </c>
      <c r="CE71" s="228">
        <v>1</v>
      </c>
      <c r="CF71" s="229">
        <v>8.0000000000000004E-4</v>
      </c>
      <c r="CG71" s="228">
        <v>65</v>
      </c>
      <c r="CH71" s="228">
        <v>66</v>
      </c>
      <c r="CI71" s="228">
        <v>-1</v>
      </c>
      <c r="CJ71" s="229">
        <v>-1.78E-2</v>
      </c>
      <c r="CK71" s="228">
        <v>1</v>
      </c>
      <c r="CL71" s="228">
        <v>1</v>
      </c>
      <c r="CM71" s="228">
        <v>0</v>
      </c>
      <c r="CN71" s="229">
        <v>0.1176</v>
      </c>
      <c r="CO71" s="228">
        <v>590</v>
      </c>
      <c r="CP71" s="228">
        <v>497</v>
      </c>
      <c r="CQ71" s="228">
        <v>93</v>
      </c>
      <c r="CR71" s="229">
        <v>0.18640000000000001</v>
      </c>
      <c r="CS71" s="228">
        <v>349</v>
      </c>
      <c r="CT71" s="228">
        <v>301</v>
      </c>
      <c r="CU71" s="228">
        <v>48</v>
      </c>
      <c r="CV71" s="229">
        <v>0.1593</v>
      </c>
      <c r="CW71" s="230">
        <v>2263</v>
      </c>
      <c r="CX71" s="230">
        <v>2122</v>
      </c>
      <c r="CY71" s="228">
        <v>141</v>
      </c>
      <c r="CZ71" s="229">
        <v>6.6199999999999995E-2</v>
      </c>
      <c r="DA71" s="228">
        <v>40.33</v>
      </c>
      <c r="DB71" s="228">
        <v>39.53</v>
      </c>
      <c r="DC71" s="228">
        <v>0.8</v>
      </c>
      <c r="DD71" s="228">
        <v>0.8</v>
      </c>
      <c r="DE71" s="228">
        <v>40.869999999999997</v>
      </c>
      <c r="DF71" s="228">
        <v>40.86</v>
      </c>
      <c r="DG71" s="228">
        <v>-0.54</v>
      </c>
      <c r="DH71" s="228">
        <v>0.01</v>
      </c>
      <c r="DI71" s="228">
        <v>40.200000000000003</v>
      </c>
      <c r="DJ71" s="228">
        <v>39.69</v>
      </c>
      <c r="DK71" s="228">
        <v>0.51</v>
      </c>
      <c r="DL71" s="228">
        <v>0.51</v>
      </c>
      <c r="DM71" s="228">
        <v>40.64</v>
      </c>
      <c r="DN71" s="228">
        <v>39.229999999999997</v>
      </c>
      <c r="DO71" s="228">
        <v>1.41</v>
      </c>
      <c r="DP71" s="228">
        <v>1.41</v>
      </c>
      <c r="DQ71" s="228">
        <v>0.59</v>
      </c>
      <c r="DR71" s="228">
        <v>0.6</v>
      </c>
      <c r="DS71" s="228">
        <v>-0.01</v>
      </c>
      <c r="DT71" s="229">
        <v>-1.67E-2</v>
      </c>
      <c r="DU71" s="228">
        <v>100</v>
      </c>
      <c r="DV71" s="228">
        <v>90</v>
      </c>
      <c r="DW71" s="228">
        <v>0.43</v>
      </c>
      <c r="DX71" s="228">
        <v>0.56000000000000005</v>
      </c>
      <c r="DY71" s="228">
        <v>-0.13</v>
      </c>
      <c r="DZ71" s="229">
        <v>-0.2321</v>
      </c>
      <c r="EA71" s="229">
        <v>4.99E-2</v>
      </c>
      <c r="EB71" s="230">
        <v>6779700</v>
      </c>
      <c r="EC71" s="229">
        <v>7.4000000000000003E-3</v>
      </c>
      <c r="ED71" s="229">
        <v>4.99E-2</v>
      </c>
      <c r="EE71" s="228">
        <v>0.46</v>
      </c>
      <c r="EF71" s="229">
        <v>4.5999999999999999E-3</v>
      </c>
      <c r="EG71" s="230">
        <v>10411841</v>
      </c>
      <c r="EH71" s="230">
        <v>3539498</v>
      </c>
      <c r="EI71" s="229">
        <v>1.9416</v>
      </c>
      <c r="EJ71" s="229">
        <v>0.50370000000000004</v>
      </c>
      <c r="EK71" s="228">
        <v>767.04</v>
      </c>
      <c r="EL71" s="228">
        <v>299.64999999999998</v>
      </c>
      <c r="EM71" s="228">
        <v>253.17</v>
      </c>
      <c r="EN71" s="228">
        <v>61.5</v>
      </c>
      <c r="EO71" s="231">
        <v>1319.86</v>
      </c>
      <c r="EP71" s="228">
        <v>577.53</v>
      </c>
      <c r="EQ71" s="228">
        <v>742.33</v>
      </c>
      <c r="ER71" s="229">
        <v>1.2854000000000001</v>
      </c>
      <c r="ES71" s="228">
        <v>608.39</v>
      </c>
      <c r="ET71" s="228">
        <v>330.16</v>
      </c>
      <c r="EU71" s="231">
        <v>1325.08</v>
      </c>
      <c r="EV71" s="231">
        <v>534704421</v>
      </c>
      <c r="EW71" s="231">
        <v>2263.63</v>
      </c>
      <c r="EX71" s="231">
        <v>2090.63</v>
      </c>
      <c r="EY71" s="228">
        <v>173</v>
      </c>
      <c r="EZ71" s="229">
        <v>8.2799999999999999E-2</v>
      </c>
      <c r="FA71" s="229">
        <v>0.42709999999999998</v>
      </c>
      <c r="FB71" s="227" t="s">
        <v>237</v>
      </c>
      <c r="FC71">
        <f t="shared" si="1"/>
        <v>67</v>
      </c>
    </row>
    <row r="72" spans="1:159" ht="17.25" thickBot="1" x14ac:dyDescent="0.3">
      <c r="A72" s="226">
        <v>46146</v>
      </c>
      <c r="B72" s="227" t="s">
        <v>168</v>
      </c>
      <c r="C72" s="227" t="s">
        <v>697</v>
      </c>
      <c r="D72" s="228">
        <v>275</v>
      </c>
      <c r="E72" s="228">
        <v>22</v>
      </c>
      <c r="F72" s="231">
        <v>2216.6</v>
      </c>
      <c r="G72" s="231">
        <v>2253.3000000000002</v>
      </c>
      <c r="H72" s="228">
        <v>-36.700000000000003</v>
      </c>
      <c r="I72" s="229">
        <v>-1.6299999999999999E-2</v>
      </c>
      <c r="J72" s="231">
        <v>2216.3000000000002</v>
      </c>
      <c r="K72" s="231">
        <v>2251</v>
      </c>
      <c r="L72" s="228">
        <v>-34.700000000000003</v>
      </c>
      <c r="M72" s="229">
        <v>-1.54E-2</v>
      </c>
      <c r="N72" s="231">
        <v>2216.6</v>
      </c>
      <c r="O72" s="231">
        <v>2253.3000000000002</v>
      </c>
      <c r="P72" s="228">
        <v>-36.700000000000003</v>
      </c>
      <c r="Q72" s="229">
        <v>-1.6299999999999999E-2</v>
      </c>
      <c r="R72" s="231">
        <v>2203.8000000000002</v>
      </c>
      <c r="S72" s="231">
        <v>2236.6</v>
      </c>
      <c r="T72" s="228">
        <v>-32.799999999999997</v>
      </c>
      <c r="U72" s="229">
        <v>-1.47E-2</v>
      </c>
      <c r="V72" s="231">
        <v>2205.1</v>
      </c>
      <c r="W72" s="231">
        <v>2237</v>
      </c>
      <c r="X72" s="228">
        <v>-31.9</v>
      </c>
      <c r="Y72" s="229">
        <v>-1.43E-2</v>
      </c>
      <c r="Z72" s="228">
        <v>0.3</v>
      </c>
      <c r="AA72" s="228">
        <v>2.2999999999999998</v>
      </c>
      <c r="AB72" s="228">
        <v>-2</v>
      </c>
      <c r="AC72" s="229">
        <v>1E-4</v>
      </c>
      <c r="AD72" s="228">
        <v>0.3</v>
      </c>
      <c r="AE72" s="228">
        <v>2.2999999999999998</v>
      </c>
      <c r="AF72" s="228">
        <v>-2</v>
      </c>
      <c r="AG72" s="229">
        <v>1E-4</v>
      </c>
      <c r="AH72" s="228">
        <v>-12.5</v>
      </c>
      <c r="AI72" s="228">
        <v>-14.4</v>
      </c>
      <c r="AJ72" s="228">
        <v>1.9</v>
      </c>
      <c r="AK72" s="229">
        <v>-5.5999999999999999E-3</v>
      </c>
      <c r="AL72" s="228">
        <v>-11.2</v>
      </c>
      <c r="AM72" s="228">
        <v>-14</v>
      </c>
      <c r="AN72" s="228">
        <v>2.8</v>
      </c>
      <c r="AO72" s="229">
        <v>-5.1000000000000004E-3</v>
      </c>
      <c r="AP72" s="231">
        <v>2246.33</v>
      </c>
      <c r="AQ72" s="231">
        <v>2231.42</v>
      </c>
      <c r="AR72" s="228">
        <v>0</v>
      </c>
      <c r="AS72" s="228">
        <v>69</v>
      </c>
      <c r="AT72" s="228">
        <v>139</v>
      </c>
      <c r="AU72" s="228">
        <v>-70</v>
      </c>
      <c r="AV72" s="229">
        <v>-0.50519999999999998</v>
      </c>
      <c r="AW72" s="228">
        <v>65</v>
      </c>
      <c r="AX72" s="228">
        <v>134</v>
      </c>
      <c r="AY72" s="228">
        <v>-70</v>
      </c>
      <c r="AZ72" s="229">
        <v>-0.51770000000000005</v>
      </c>
      <c r="BA72" s="228">
        <v>4</v>
      </c>
      <c r="BB72" s="228">
        <v>5</v>
      </c>
      <c r="BC72" s="228">
        <v>-1</v>
      </c>
      <c r="BD72" s="229">
        <v>-0.18990000000000001</v>
      </c>
      <c r="BE72" s="228">
        <v>0</v>
      </c>
      <c r="BF72" s="228">
        <v>0</v>
      </c>
      <c r="BG72" s="228">
        <v>0</v>
      </c>
      <c r="BH72" s="229">
        <v>0.33329999999999999</v>
      </c>
      <c r="BI72" s="228">
        <v>109</v>
      </c>
      <c r="BJ72" s="228">
        <v>233</v>
      </c>
      <c r="BK72" s="228">
        <v>-124</v>
      </c>
      <c r="BL72" s="229">
        <v>-0.53390000000000004</v>
      </c>
      <c r="BM72" s="228">
        <v>30</v>
      </c>
      <c r="BN72" s="228">
        <v>64</v>
      </c>
      <c r="BO72" s="228">
        <v>-34</v>
      </c>
      <c r="BP72" s="229">
        <v>-0.53090000000000004</v>
      </c>
      <c r="BQ72" s="228">
        <v>208</v>
      </c>
      <c r="BR72" s="228">
        <v>437</v>
      </c>
      <c r="BS72" s="228">
        <v>-229</v>
      </c>
      <c r="BT72" s="229">
        <v>-0.52429999999999999</v>
      </c>
      <c r="BU72" s="230">
        <v>493580</v>
      </c>
      <c r="BV72" s="230">
        <v>1147739</v>
      </c>
      <c r="BW72" s="230">
        <v>-654159</v>
      </c>
      <c r="BX72" s="229">
        <v>-0.56999999999999995</v>
      </c>
      <c r="BY72" s="228">
        <v>355</v>
      </c>
      <c r="BZ72" s="228">
        <v>347</v>
      </c>
      <c r="CA72" s="228">
        <v>8</v>
      </c>
      <c r="CB72" s="229">
        <v>2.2800000000000001E-2</v>
      </c>
      <c r="CC72" s="228">
        <v>346</v>
      </c>
      <c r="CD72" s="228">
        <v>339</v>
      </c>
      <c r="CE72" s="228">
        <v>7</v>
      </c>
      <c r="CF72" s="229">
        <v>2.1100000000000001E-2</v>
      </c>
      <c r="CG72" s="228">
        <v>8</v>
      </c>
      <c r="CH72" s="228">
        <v>8</v>
      </c>
      <c r="CI72" s="228">
        <v>1</v>
      </c>
      <c r="CJ72" s="229">
        <v>7.1999999999999995E-2</v>
      </c>
      <c r="CK72" s="228">
        <v>1</v>
      </c>
      <c r="CL72" s="228">
        <v>1</v>
      </c>
      <c r="CM72" s="228">
        <v>0</v>
      </c>
      <c r="CN72" s="229">
        <v>0.4</v>
      </c>
      <c r="CO72" s="228">
        <v>125</v>
      </c>
      <c r="CP72" s="228">
        <v>120</v>
      </c>
      <c r="CQ72" s="228">
        <v>5</v>
      </c>
      <c r="CR72" s="229">
        <v>3.8600000000000002E-2</v>
      </c>
      <c r="CS72" s="228">
        <v>49</v>
      </c>
      <c r="CT72" s="228">
        <v>49</v>
      </c>
      <c r="CU72" s="228">
        <v>1</v>
      </c>
      <c r="CV72" s="229">
        <v>1.38E-2</v>
      </c>
      <c r="CW72" s="228">
        <v>529</v>
      </c>
      <c r="CX72" s="228">
        <v>516</v>
      </c>
      <c r="CY72" s="228">
        <v>13</v>
      </c>
      <c r="CZ72" s="229">
        <v>2.5600000000000001E-2</v>
      </c>
      <c r="DA72" s="228">
        <v>54.96</v>
      </c>
      <c r="DB72" s="228">
        <v>54.67</v>
      </c>
      <c r="DC72" s="228">
        <v>0.28999999999999998</v>
      </c>
      <c r="DD72" s="228">
        <v>0.28999999999999998</v>
      </c>
      <c r="DE72" s="228">
        <v>70.52</v>
      </c>
      <c r="DF72" s="228">
        <v>70.66</v>
      </c>
      <c r="DG72" s="228">
        <v>-15.56</v>
      </c>
      <c r="DH72" s="228">
        <v>-0.14000000000000001</v>
      </c>
      <c r="DI72" s="228">
        <v>54.35</v>
      </c>
      <c r="DJ72" s="228">
        <v>54.22</v>
      </c>
      <c r="DK72" s="228">
        <v>0.13</v>
      </c>
      <c r="DL72" s="228">
        <v>0.13</v>
      </c>
      <c r="DM72" s="228">
        <v>57.13</v>
      </c>
      <c r="DN72" s="228">
        <v>56.31</v>
      </c>
      <c r="DO72" s="228">
        <v>0.82</v>
      </c>
      <c r="DP72" s="228">
        <v>0.82</v>
      </c>
      <c r="DQ72" s="228">
        <v>0.4</v>
      </c>
      <c r="DR72" s="228">
        <v>0.41</v>
      </c>
      <c r="DS72" s="228">
        <v>-0.01</v>
      </c>
      <c r="DT72" s="229">
        <v>-2.4400000000000002E-2</v>
      </c>
      <c r="DU72" s="231">
        <v>2500</v>
      </c>
      <c r="DV72" s="231">
        <v>2200</v>
      </c>
      <c r="DW72" s="228">
        <v>0.28000000000000003</v>
      </c>
      <c r="DX72" s="228">
        <v>0.28000000000000003</v>
      </c>
      <c r="DY72" s="228">
        <v>0</v>
      </c>
      <c r="DZ72" s="229">
        <v>0</v>
      </c>
      <c r="EA72" s="229">
        <v>2.5399999999999999E-2</v>
      </c>
      <c r="EB72" s="230">
        <v>37125</v>
      </c>
      <c r="EC72" s="229">
        <v>-5.7999999999999996E-3</v>
      </c>
      <c r="ED72" s="229">
        <v>2.5399999999999999E-2</v>
      </c>
      <c r="EE72" s="228">
        <v>-14.91</v>
      </c>
      <c r="EF72" s="229">
        <v>-6.6E-3</v>
      </c>
      <c r="EG72" s="230">
        <v>153523</v>
      </c>
      <c r="EH72" s="230">
        <v>318703</v>
      </c>
      <c r="EI72" s="229">
        <v>-0.51829999999999998</v>
      </c>
      <c r="EJ72" s="229">
        <v>0.311</v>
      </c>
      <c r="EK72" s="228">
        <v>119.1</v>
      </c>
      <c r="EL72" s="228">
        <v>29.37</v>
      </c>
      <c r="EM72" s="228">
        <v>69.900000000000006</v>
      </c>
      <c r="EN72" s="228">
        <v>44.95</v>
      </c>
      <c r="EO72" s="228">
        <v>218.36</v>
      </c>
      <c r="EP72" s="228">
        <v>462.82</v>
      </c>
      <c r="EQ72" s="228">
        <v>-244.45</v>
      </c>
      <c r="ER72" s="229">
        <v>-0.5282</v>
      </c>
      <c r="ES72" s="228">
        <v>131.76</v>
      </c>
      <c r="ET72" s="228">
        <v>47.09</v>
      </c>
      <c r="EU72" s="228">
        <v>354.78</v>
      </c>
      <c r="EV72" s="231">
        <v>6329596</v>
      </c>
      <c r="EW72" s="228">
        <v>533.62</v>
      </c>
      <c r="EX72" s="228">
        <v>525.65</v>
      </c>
      <c r="EY72" s="228">
        <v>7.97</v>
      </c>
      <c r="EZ72" s="229">
        <v>1.52E-2</v>
      </c>
      <c r="FA72" s="229">
        <v>0.37709999999999999</v>
      </c>
      <c r="FB72" s="227" t="s">
        <v>566</v>
      </c>
      <c r="FC72">
        <f t="shared" si="1"/>
        <v>9</v>
      </c>
    </row>
    <row r="73" spans="1:159" ht="17.25" thickBot="1" x14ac:dyDescent="0.3">
      <c r="A73" s="226">
        <v>46146</v>
      </c>
      <c r="B73" s="227" t="s">
        <v>168</v>
      </c>
      <c r="C73" s="227" t="s">
        <v>217</v>
      </c>
      <c r="D73" s="228">
        <v>500</v>
      </c>
      <c r="E73" s="228">
        <v>22</v>
      </c>
      <c r="F73" s="231">
        <v>1073.9000000000001</v>
      </c>
      <c r="G73" s="231">
        <v>1064.8</v>
      </c>
      <c r="H73" s="228">
        <v>9.1</v>
      </c>
      <c r="I73" s="229">
        <v>8.5000000000000006E-3</v>
      </c>
      <c r="J73" s="231">
        <v>1072.5</v>
      </c>
      <c r="K73" s="231">
        <v>1067.0999999999999</v>
      </c>
      <c r="L73" s="228">
        <v>5.4</v>
      </c>
      <c r="M73" s="229">
        <v>5.1000000000000004E-3</v>
      </c>
      <c r="N73" s="231">
        <v>1073.9000000000001</v>
      </c>
      <c r="O73" s="231">
        <v>1064.8</v>
      </c>
      <c r="P73" s="228">
        <v>9.1</v>
      </c>
      <c r="Q73" s="229">
        <v>8.5000000000000006E-3</v>
      </c>
      <c r="R73" s="231">
        <v>1081.5</v>
      </c>
      <c r="S73" s="231">
        <v>1070.45</v>
      </c>
      <c r="T73" s="228">
        <v>11.05</v>
      </c>
      <c r="U73" s="229">
        <v>1.03E-2</v>
      </c>
      <c r="V73" s="231">
        <v>1090</v>
      </c>
      <c r="W73" s="231">
        <v>1076.9000000000001</v>
      </c>
      <c r="X73" s="228">
        <v>13.1</v>
      </c>
      <c r="Y73" s="229">
        <v>1.2200000000000001E-2</v>
      </c>
      <c r="Z73" s="228">
        <v>1.4</v>
      </c>
      <c r="AA73" s="228">
        <v>-2.2999999999999998</v>
      </c>
      <c r="AB73" s="228">
        <v>3.7</v>
      </c>
      <c r="AC73" s="229">
        <v>1.2999999999999999E-3</v>
      </c>
      <c r="AD73" s="228">
        <v>1.4</v>
      </c>
      <c r="AE73" s="228">
        <v>-2.2999999999999998</v>
      </c>
      <c r="AF73" s="228">
        <v>3.7</v>
      </c>
      <c r="AG73" s="229">
        <v>1.2999999999999999E-3</v>
      </c>
      <c r="AH73" s="228">
        <v>9</v>
      </c>
      <c r="AI73" s="228">
        <v>3.35</v>
      </c>
      <c r="AJ73" s="228">
        <v>5.65</v>
      </c>
      <c r="AK73" s="229">
        <v>8.3999999999999995E-3</v>
      </c>
      <c r="AL73" s="228">
        <v>17.5</v>
      </c>
      <c r="AM73" s="228">
        <v>9.8000000000000007</v>
      </c>
      <c r="AN73" s="228">
        <v>7.7</v>
      </c>
      <c r="AO73" s="229">
        <v>1.6299999999999999E-2</v>
      </c>
      <c r="AP73" s="231">
        <v>1079.29</v>
      </c>
      <c r="AQ73" s="231">
        <v>1087.07</v>
      </c>
      <c r="AR73" s="228">
        <v>0</v>
      </c>
      <c r="AS73" s="228">
        <v>152</v>
      </c>
      <c r="AT73" s="228">
        <v>254</v>
      </c>
      <c r="AU73" s="228">
        <v>-102</v>
      </c>
      <c r="AV73" s="229">
        <v>-0.40089999999999998</v>
      </c>
      <c r="AW73" s="228">
        <v>149</v>
      </c>
      <c r="AX73" s="228">
        <v>249</v>
      </c>
      <c r="AY73" s="228">
        <v>-100</v>
      </c>
      <c r="AZ73" s="229">
        <v>-0.40229999999999999</v>
      </c>
      <c r="BA73" s="228">
        <v>3</v>
      </c>
      <c r="BB73" s="228">
        <v>4</v>
      </c>
      <c r="BC73" s="228">
        <v>-1</v>
      </c>
      <c r="BD73" s="229">
        <v>-0.27500000000000002</v>
      </c>
      <c r="BE73" s="228">
        <v>0</v>
      </c>
      <c r="BF73" s="228">
        <v>0</v>
      </c>
      <c r="BG73" s="228">
        <v>0</v>
      </c>
      <c r="BH73" s="229">
        <v>-0.875</v>
      </c>
      <c r="BI73" s="228">
        <v>152</v>
      </c>
      <c r="BJ73" s="228">
        <v>152</v>
      </c>
      <c r="BK73" s="228">
        <v>0</v>
      </c>
      <c r="BL73" s="229">
        <v>2.0999999999999999E-3</v>
      </c>
      <c r="BM73" s="228">
        <v>53</v>
      </c>
      <c r="BN73" s="228">
        <v>162</v>
      </c>
      <c r="BO73" s="228">
        <v>-109</v>
      </c>
      <c r="BP73" s="229">
        <v>-0.67179999999999995</v>
      </c>
      <c r="BQ73" s="228">
        <v>358</v>
      </c>
      <c r="BR73" s="228">
        <v>568</v>
      </c>
      <c r="BS73" s="228">
        <v>-211</v>
      </c>
      <c r="BT73" s="229">
        <v>-0.3705</v>
      </c>
      <c r="BU73" s="230">
        <v>1027990</v>
      </c>
      <c r="BV73" s="230">
        <v>1768931</v>
      </c>
      <c r="BW73" s="230">
        <v>-740941</v>
      </c>
      <c r="BX73" s="229">
        <v>-0.41889999999999999</v>
      </c>
      <c r="BY73" s="230">
        <v>1422</v>
      </c>
      <c r="BZ73" s="230">
        <v>1410</v>
      </c>
      <c r="CA73" s="228">
        <v>13</v>
      </c>
      <c r="CB73" s="229">
        <v>9.1000000000000004E-3</v>
      </c>
      <c r="CC73" s="230">
        <v>1351</v>
      </c>
      <c r="CD73" s="230">
        <v>1338</v>
      </c>
      <c r="CE73" s="228">
        <v>12</v>
      </c>
      <c r="CF73" s="229">
        <v>9.1000000000000004E-3</v>
      </c>
      <c r="CG73" s="228">
        <v>72</v>
      </c>
      <c r="CH73" s="228">
        <v>71</v>
      </c>
      <c r="CI73" s="228">
        <v>1</v>
      </c>
      <c r="CJ73" s="229">
        <v>9.1000000000000004E-3</v>
      </c>
      <c r="CK73" s="228">
        <v>0</v>
      </c>
      <c r="CL73" s="228">
        <v>0</v>
      </c>
      <c r="CM73" s="228">
        <v>0</v>
      </c>
      <c r="CN73" s="229">
        <v>-0.16669999999999999</v>
      </c>
      <c r="CO73" s="228">
        <v>115</v>
      </c>
      <c r="CP73" s="228">
        <v>91</v>
      </c>
      <c r="CQ73" s="228">
        <v>25</v>
      </c>
      <c r="CR73" s="229">
        <v>0.27050000000000002</v>
      </c>
      <c r="CS73" s="228">
        <v>88</v>
      </c>
      <c r="CT73" s="228">
        <v>85</v>
      </c>
      <c r="CU73" s="228">
        <v>3</v>
      </c>
      <c r="CV73" s="229">
        <v>3.0800000000000001E-2</v>
      </c>
      <c r="CW73" s="230">
        <v>1626</v>
      </c>
      <c r="CX73" s="230">
        <v>1586</v>
      </c>
      <c r="CY73" s="228">
        <v>40</v>
      </c>
      <c r="CZ73" s="229">
        <v>2.53E-2</v>
      </c>
      <c r="DA73" s="228">
        <v>34.369999999999997</v>
      </c>
      <c r="DB73" s="228">
        <v>32.75</v>
      </c>
      <c r="DC73" s="228">
        <v>1.62</v>
      </c>
      <c r="DD73" s="228">
        <v>1.62</v>
      </c>
      <c r="DE73" s="228">
        <v>30.61</v>
      </c>
      <c r="DF73" s="228">
        <v>30.68</v>
      </c>
      <c r="DG73" s="228">
        <v>3.76</v>
      </c>
      <c r="DH73" s="228">
        <v>-7.0000000000000007E-2</v>
      </c>
      <c r="DI73" s="228">
        <v>34.4</v>
      </c>
      <c r="DJ73" s="228">
        <v>32.799999999999997</v>
      </c>
      <c r="DK73" s="228">
        <v>1.6</v>
      </c>
      <c r="DL73" s="228">
        <v>1.6</v>
      </c>
      <c r="DM73" s="228">
        <v>34.26</v>
      </c>
      <c r="DN73" s="228">
        <v>32.700000000000003</v>
      </c>
      <c r="DO73" s="228">
        <v>1.56</v>
      </c>
      <c r="DP73" s="228">
        <v>1.56</v>
      </c>
      <c r="DQ73" s="228">
        <v>0.76</v>
      </c>
      <c r="DR73" s="228">
        <v>0.94</v>
      </c>
      <c r="DS73" s="228">
        <v>-0.18</v>
      </c>
      <c r="DT73" s="229">
        <v>-0.1915</v>
      </c>
      <c r="DU73" s="231">
        <v>1100</v>
      </c>
      <c r="DV73" s="231">
        <v>1000</v>
      </c>
      <c r="DW73" s="228">
        <v>0.35</v>
      </c>
      <c r="DX73" s="228">
        <v>1.07</v>
      </c>
      <c r="DY73" s="228">
        <v>-0.72</v>
      </c>
      <c r="DZ73" s="229">
        <v>-0.67290000000000005</v>
      </c>
      <c r="EA73" s="229">
        <v>5.0500000000000003E-2</v>
      </c>
      <c r="EB73" s="230">
        <v>663000</v>
      </c>
      <c r="EC73" s="229">
        <v>7.1000000000000004E-3</v>
      </c>
      <c r="ED73" s="229">
        <v>5.0500000000000003E-2</v>
      </c>
      <c r="EE73" s="228">
        <v>7.78</v>
      </c>
      <c r="EF73" s="229">
        <v>7.1999999999999998E-3</v>
      </c>
      <c r="EG73" s="230">
        <v>648009</v>
      </c>
      <c r="EH73" s="230">
        <v>1013624</v>
      </c>
      <c r="EI73" s="229">
        <v>-0.36070000000000002</v>
      </c>
      <c r="EJ73" s="229">
        <v>0.63039999999999996</v>
      </c>
      <c r="EK73" s="228">
        <v>162.35</v>
      </c>
      <c r="EL73" s="228">
        <v>53.46</v>
      </c>
      <c r="EM73" s="228">
        <v>152.74</v>
      </c>
      <c r="EN73" s="228">
        <v>82.68</v>
      </c>
      <c r="EO73" s="228">
        <v>368.56</v>
      </c>
      <c r="EP73" s="228">
        <v>575.08000000000004</v>
      </c>
      <c r="EQ73" s="228">
        <v>-206.52</v>
      </c>
      <c r="ER73" s="229">
        <v>-0.35909999999999997</v>
      </c>
      <c r="ES73" s="228">
        <v>122.9</v>
      </c>
      <c r="ET73" s="228">
        <v>85.16</v>
      </c>
      <c r="EU73" s="231">
        <v>1422.94</v>
      </c>
      <c r="EV73" s="231">
        <v>53250524</v>
      </c>
      <c r="EW73" s="231">
        <v>1631</v>
      </c>
      <c r="EX73" s="231">
        <v>1577.48</v>
      </c>
      <c r="EY73" s="228">
        <v>53.52</v>
      </c>
      <c r="EZ73" s="229">
        <v>3.39E-2</v>
      </c>
      <c r="FA73" s="229">
        <v>0.2843</v>
      </c>
      <c r="FB73" s="227" t="s">
        <v>555</v>
      </c>
      <c r="FC73">
        <f t="shared" si="1"/>
        <v>71</v>
      </c>
    </row>
    <row r="74" spans="1:159" ht="17.25" thickBot="1" x14ac:dyDescent="0.3">
      <c r="A74" s="226">
        <v>46146</v>
      </c>
      <c r="B74" s="227" t="s">
        <v>206</v>
      </c>
      <c r="C74" s="227" t="s">
        <v>218</v>
      </c>
      <c r="D74" s="228">
        <v>275</v>
      </c>
      <c r="E74" s="228">
        <v>22</v>
      </c>
      <c r="F74" s="231">
        <v>1911</v>
      </c>
      <c r="G74" s="231">
        <v>1841</v>
      </c>
      <c r="H74" s="228">
        <v>70</v>
      </c>
      <c r="I74" s="229">
        <v>3.7999999999999999E-2</v>
      </c>
      <c r="J74" s="231">
        <v>1899.8</v>
      </c>
      <c r="K74" s="231">
        <v>1835.2</v>
      </c>
      <c r="L74" s="228">
        <v>64.599999999999994</v>
      </c>
      <c r="M74" s="229">
        <v>3.5200000000000002E-2</v>
      </c>
      <c r="N74" s="231">
        <v>1911</v>
      </c>
      <c r="O74" s="231">
        <v>1841</v>
      </c>
      <c r="P74" s="228">
        <v>70</v>
      </c>
      <c r="Q74" s="229">
        <v>3.7999999999999999E-2</v>
      </c>
      <c r="R74" s="231">
        <v>1924.9</v>
      </c>
      <c r="S74" s="231">
        <v>1850.5</v>
      </c>
      <c r="T74" s="228">
        <v>74.400000000000006</v>
      </c>
      <c r="U74" s="229">
        <v>4.02E-2</v>
      </c>
      <c r="V74" s="231">
        <v>1920.4</v>
      </c>
      <c r="W74" s="231">
        <v>1868</v>
      </c>
      <c r="X74" s="228">
        <v>52.4</v>
      </c>
      <c r="Y74" s="229">
        <v>2.81E-2</v>
      </c>
      <c r="Z74" s="228">
        <v>11.2</v>
      </c>
      <c r="AA74" s="228">
        <v>5.8</v>
      </c>
      <c r="AB74" s="228">
        <v>5.4</v>
      </c>
      <c r="AC74" s="229">
        <v>5.8999999999999999E-3</v>
      </c>
      <c r="AD74" s="228">
        <v>11.2</v>
      </c>
      <c r="AE74" s="228">
        <v>5.8</v>
      </c>
      <c r="AF74" s="228">
        <v>5.4</v>
      </c>
      <c r="AG74" s="229">
        <v>5.8999999999999999E-3</v>
      </c>
      <c r="AH74" s="228">
        <v>25.1</v>
      </c>
      <c r="AI74" s="228">
        <v>15.3</v>
      </c>
      <c r="AJ74" s="228">
        <v>9.8000000000000007</v>
      </c>
      <c r="AK74" s="229">
        <v>1.32E-2</v>
      </c>
      <c r="AL74" s="228">
        <v>20.6</v>
      </c>
      <c r="AM74" s="228">
        <v>32.799999999999997</v>
      </c>
      <c r="AN74" s="228">
        <v>-12.2</v>
      </c>
      <c r="AO74" s="229">
        <v>1.0800000000000001E-2</v>
      </c>
      <c r="AP74" s="231">
        <v>1911.02</v>
      </c>
      <c r="AQ74" s="231">
        <v>1915.95</v>
      </c>
      <c r="AR74" s="228">
        <v>0</v>
      </c>
      <c r="AS74" s="228">
        <v>627</v>
      </c>
      <c r="AT74" s="228">
        <v>211</v>
      </c>
      <c r="AU74" s="228">
        <v>416</v>
      </c>
      <c r="AV74" s="229">
        <v>1.9778</v>
      </c>
      <c r="AW74" s="228">
        <v>606</v>
      </c>
      <c r="AX74" s="228">
        <v>204</v>
      </c>
      <c r="AY74" s="228">
        <v>401</v>
      </c>
      <c r="AZ74" s="229">
        <v>1.9637</v>
      </c>
      <c r="BA74" s="228">
        <v>19</v>
      </c>
      <c r="BB74" s="228">
        <v>6</v>
      </c>
      <c r="BC74" s="228">
        <v>13</v>
      </c>
      <c r="BD74" s="229">
        <v>2.1025999999999998</v>
      </c>
      <c r="BE74" s="228">
        <v>2</v>
      </c>
      <c r="BF74" s="228">
        <v>0</v>
      </c>
      <c r="BG74" s="228">
        <v>2</v>
      </c>
      <c r="BH74" s="229">
        <v>22</v>
      </c>
      <c r="BI74" s="230">
        <v>3159</v>
      </c>
      <c r="BJ74" s="228">
        <v>236</v>
      </c>
      <c r="BK74" s="230">
        <v>2923</v>
      </c>
      <c r="BL74" s="229">
        <v>12.406599999999999</v>
      </c>
      <c r="BM74" s="230">
        <v>1094</v>
      </c>
      <c r="BN74" s="228">
        <v>242</v>
      </c>
      <c r="BO74" s="228">
        <v>852</v>
      </c>
      <c r="BP74" s="229">
        <v>3.5192999999999999</v>
      </c>
      <c r="BQ74" s="230">
        <v>4879</v>
      </c>
      <c r="BR74" s="228">
        <v>688</v>
      </c>
      <c r="BS74" s="230">
        <v>4191</v>
      </c>
      <c r="BT74" s="229">
        <v>6.09</v>
      </c>
      <c r="BU74" s="230">
        <v>3041257</v>
      </c>
      <c r="BV74" s="230">
        <v>1189989</v>
      </c>
      <c r="BW74" s="230">
        <v>1851268</v>
      </c>
      <c r="BX74" s="229">
        <v>1.5557000000000001</v>
      </c>
      <c r="BY74" s="230">
        <v>1406</v>
      </c>
      <c r="BZ74" s="230">
        <v>1342</v>
      </c>
      <c r="CA74" s="228">
        <v>64</v>
      </c>
      <c r="CB74" s="229">
        <v>4.7699999999999999E-2</v>
      </c>
      <c r="CC74" s="230">
        <v>1254</v>
      </c>
      <c r="CD74" s="230">
        <v>1192</v>
      </c>
      <c r="CE74" s="228">
        <v>62</v>
      </c>
      <c r="CF74" s="229">
        <v>5.1999999999999998E-2</v>
      </c>
      <c r="CG74" s="228">
        <v>151</v>
      </c>
      <c r="CH74" s="228">
        <v>150</v>
      </c>
      <c r="CI74" s="228">
        <v>1</v>
      </c>
      <c r="CJ74" s="229">
        <v>6.3E-3</v>
      </c>
      <c r="CK74" s="228">
        <v>1</v>
      </c>
      <c r="CL74" s="228">
        <v>0</v>
      </c>
      <c r="CM74" s="228">
        <v>1</v>
      </c>
      <c r="CN74" s="229">
        <v>2.8332999999999999</v>
      </c>
      <c r="CO74" s="228">
        <v>475</v>
      </c>
      <c r="CP74" s="228">
        <v>255</v>
      </c>
      <c r="CQ74" s="228">
        <v>221</v>
      </c>
      <c r="CR74" s="229">
        <v>0.86709999999999998</v>
      </c>
      <c r="CS74" s="228">
        <v>284</v>
      </c>
      <c r="CT74" s="228">
        <v>207</v>
      </c>
      <c r="CU74" s="228">
        <v>77</v>
      </c>
      <c r="CV74" s="229">
        <v>0.36930000000000002</v>
      </c>
      <c r="CW74" s="230">
        <v>2165</v>
      </c>
      <c r="CX74" s="230">
        <v>1804</v>
      </c>
      <c r="CY74" s="228">
        <v>361</v>
      </c>
      <c r="CZ74" s="229">
        <v>0.20030000000000001</v>
      </c>
      <c r="DA74" s="228">
        <v>38.520000000000003</v>
      </c>
      <c r="DB74" s="228">
        <v>41.61</v>
      </c>
      <c r="DC74" s="228">
        <v>-3.09</v>
      </c>
      <c r="DD74" s="228">
        <v>-3.09</v>
      </c>
      <c r="DE74" s="228">
        <v>45.52</v>
      </c>
      <c r="DF74" s="228">
        <v>45.35</v>
      </c>
      <c r="DG74" s="228">
        <v>-7</v>
      </c>
      <c r="DH74" s="228">
        <v>0.17</v>
      </c>
      <c r="DI74" s="228">
        <v>37.54</v>
      </c>
      <c r="DJ74" s="228">
        <v>40.64</v>
      </c>
      <c r="DK74" s="228">
        <v>-3.1</v>
      </c>
      <c r="DL74" s="228">
        <v>-3.1</v>
      </c>
      <c r="DM74" s="228">
        <v>41.34</v>
      </c>
      <c r="DN74" s="228">
        <v>42.55</v>
      </c>
      <c r="DO74" s="228">
        <v>-1.21</v>
      </c>
      <c r="DP74" s="228">
        <v>-1.21</v>
      </c>
      <c r="DQ74" s="228">
        <v>0.6</v>
      </c>
      <c r="DR74" s="228">
        <v>0.81</v>
      </c>
      <c r="DS74" s="228">
        <v>-0.21</v>
      </c>
      <c r="DT74" s="229">
        <v>-0.25929999999999997</v>
      </c>
      <c r="DU74" s="231">
        <v>2000</v>
      </c>
      <c r="DV74" s="231">
        <v>1800</v>
      </c>
      <c r="DW74" s="228">
        <v>0.35</v>
      </c>
      <c r="DX74" s="228">
        <v>1.03</v>
      </c>
      <c r="DY74" s="228">
        <v>-0.68</v>
      </c>
      <c r="DZ74" s="229">
        <v>-0.66020000000000001</v>
      </c>
      <c r="EA74" s="229">
        <v>0.10829999999999999</v>
      </c>
      <c r="EB74" s="230">
        <v>785975</v>
      </c>
      <c r="EC74" s="229">
        <v>7.3000000000000001E-3</v>
      </c>
      <c r="ED74" s="229">
        <v>0.10829999999999999</v>
      </c>
      <c r="EE74" s="228">
        <v>4.93</v>
      </c>
      <c r="EF74" s="229">
        <v>2.5999999999999999E-3</v>
      </c>
      <c r="EG74" s="230">
        <v>864232</v>
      </c>
      <c r="EH74" s="230">
        <v>608144</v>
      </c>
      <c r="EI74" s="229">
        <v>0.42109999999999997</v>
      </c>
      <c r="EJ74" s="229">
        <v>0.28420000000000001</v>
      </c>
      <c r="EK74" s="231">
        <v>3342</v>
      </c>
      <c r="EL74" s="231">
        <v>1078.1099999999999</v>
      </c>
      <c r="EM74" s="228">
        <v>627.55999999999995</v>
      </c>
      <c r="EN74" s="228">
        <v>67.900000000000006</v>
      </c>
      <c r="EO74" s="231">
        <v>5047.66</v>
      </c>
      <c r="EP74" s="228">
        <v>679.9</v>
      </c>
      <c r="EQ74" s="231">
        <v>4367.7700000000004</v>
      </c>
      <c r="ER74" s="229">
        <v>6.4241999999999999</v>
      </c>
      <c r="ES74" s="228">
        <v>485.47</v>
      </c>
      <c r="ET74" s="228">
        <v>266.85000000000002</v>
      </c>
      <c r="EU74" s="231">
        <v>1407.05</v>
      </c>
      <c r="EV74" s="231">
        <v>23870110</v>
      </c>
      <c r="EW74" s="231">
        <v>2159.37</v>
      </c>
      <c r="EX74" s="231">
        <v>1736.84</v>
      </c>
      <c r="EY74" s="228">
        <v>422.53</v>
      </c>
      <c r="EZ74" s="229">
        <v>0.24329999999999999</v>
      </c>
      <c r="FA74" s="229">
        <v>0.47470000000000001</v>
      </c>
      <c r="FB74" s="227" t="s">
        <v>555</v>
      </c>
      <c r="FC74">
        <f t="shared" si="1"/>
        <v>152</v>
      </c>
    </row>
    <row r="75" spans="1:159" ht="17.25" thickBot="1" x14ac:dyDescent="0.3">
      <c r="A75" s="226">
        <v>46146</v>
      </c>
      <c r="B75" s="227" t="s">
        <v>157</v>
      </c>
      <c r="C75" s="227" t="s">
        <v>219</v>
      </c>
      <c r="D75" s="228">
        <v>250</v>
      </c>
      <c r="E75" s="228">
        <v>22</v>
      </c>
      <c r="F75" s="231">
        <v>2871.8</v>
      </c>
      <c r="G75" s="231">
        <v>2802.8</v>
      </c>
      <c r="H75" s="228">
        <v>69</v>
      </c>
      <c r="I75" s="229">
        <v>2.46E-2</v>
      </c>
      <c r="J75" s="231">
        <v>2856</v>
      </c>
      <c r="K75" s="231">
        <v>2794.5</v>
      </c>
      <c r="L75" s="228">
        <v>61.5</v>
      </c>
      <c r="M75" s="229">
        <v>2.1999999999999999E-2</v>
      </c>
      <c r="N75" s="231">
        <v>2871.8</v>
      </c>
      <c r="O75" s="231">
        <v>2802.8</v>
      </c>
      <c r="P75" s="228">
        <v>69</v>
      </c>
      <c r="Q75" s="229">
        <v>2.46E-2</v>
      </c>
      <c r="R75" s="231">
        <v>2891.8</v>
      </c>
      <c r="S75" s="231">
        <v>2821.8</v>
      </c>
      <c r="T75" s="228">
        <v>70</v>
      </c>
      <c r="U75" s="229">
        <v>2.4799999999999999E-2</v>
      </c>
      <c r="V75" s="231">
        <v>2886.2</v>
      </c>
      <c r="W75" s="231">
        <v>2838.6</v>
      </c>
      <c r="X75" s="228">
        <v>47.6</v>
      </c>
      <c r="Y75" s="229">
        <v>1.6799999999999999E-2</v>
      </c>
      <c r="Z75" s="228">
        <v>15.8</v>
      </c>
      <c r="AA75" s="228">
        <v>8.3000000000000007</v>
      </c>
      <c r="AB75" s="228">
        <v>7.5</v>
      </c>
      <c r="AC75" s="229">
        <v>5.4999999999999997E-3</v>
      </c>
      <c r="AD75" s="228">
        <v>15.8</v>
      </c>
      <c r="AE75" s="228">
        <v>8.3000000000000007</v>
      </c>
      <c r="AF75" s="228">
        <v>7.5</v>
      </c>
      <c r="AG75" s="229">
        <v>5.4999999999999997E-3</v>
      </c>
      <c r="AH75" s="228">
        <v>35.799999999999997</v>
      </c>
      <c r="AI75" s="228">
        <v>27.3</v>
      </c>
      <c r="AJ75" s="228">
        <v>8.5</v>
      </c>
      <c r="AK75" s="229">
        <v>1.2500000000000001E-2</v>
      </c>
      <c r="AL75" s="228">
        <v>30.2</v>
      </c>
      <c r="AM75" s="228">
        <v>44.1</v>
      </c>
      <c r="AN75" s="228">
        <v>-13.9</v>
      </c>
      <c r="AO75" s="229">
        <v>1.06E-2</v>
      </c>
      <c r="AP75" s="231">
        <v>2856.42</v>
      </c>
      <c r="AQ75" s="231">
        <v>2875.62</v>
      </c>
      <c r="AR75" s="228">
        <v>0</v>
      </c>
      <c r="AS75" s="228">
        <v>318</v>
      </c>
      <c r="AT75" s="228">
        <v>278</v>
      </c>
      <c r="AU75" s="228">
        <v>39</v>
      </c>
      <c r="AV75" s="229">
        <v>0.14130000000000001</v>
      </c>
      <c r="AW75" s="228">
        <v>302</v>
      </c>
      <c r="AX75" s="228">
        <v>271</v>
      </c>
      <c r="AY75" s="228">
        <v>32</v>
      </c>
      <c r="AZ75" s="229">
        <v>0.1164</v>
      </c>
      <c r="BA75" s="228">
        <v>15</v>
      </c>
      <c r="BB75" s="228">
        <v>7</v>
      </c>
      <c r="BC75" s="228">
        <v>8</v>
      </c>
      <c r="BD75" s="229">
        <v>1.1735</v>
      </c>
      <c r="BE75" s="228">
        <v>0</v>
      </c>
      <c r="BF75" s="228">
        <v>1</v>
      </c>
      <c r="BG75" s="228">
        <v>0</v>
      </c>
      <c r="BH75" s="229">
        <v>-0.6</v>
      </c>
      <c r="BI75" s="228">
        <v>576</v>
      </c>
      <c r="BJ75" s="228">
        <v>218</v>
      </c>
      <c r="BK75" s="228">
        <v>358</v>
      </c>
      <c r="BL75" s="229">
        <v>1.6413</v>
      </c>
      <c r="BM75" s="228">
        <v>173</v>
      </c>
      <c r="BN75" s="228">
        <v>109</v>
      </c>
      <c r="BO75" s="228">
        <v>64</v>
      </c>
      <c r="BP75" s="229">
        <v>0.5837</v>
      </c>
      <c r="BQ75" s="230">
        <v>1066</v>
      </c>
      <c r="BR75" s="228">
        <v>605</v>
      </c>
      <c r="BS75" s="228">
        <v>461</v>
      </c>
      <c r="BT75" s="229">
        <v>0.76090000000000002</v>
      </c>
      <c r="BU75" s="230">
        <v>1024502</v>
      </c>
      <c r="BV75" s="230">
        <v>1206394</v>
      </c>
      <c r="BW75" s="230">
        <v>-181892</v>
      </c>
      <c r="BX75" s="229">
        <v>-0.15079999999999999</v>
      </c>
      <c r="BY75" s="230">
        <v>4225</v>
      </c>
      <c r="BZ75" s="230">
        <v>4165</v>
      </c>
      <c r="CA75" s="228">
        <v>60</v>
      </c>
      <c r="CB75" s="229">
        <v>1.4500000000000001E-2</v>
      </c>
      <c r="CC75" s="230">
        <v>3995</v>
      </c>
      <c r="CD75" s="230">
        <v>3941</v>
      </c>
      <c r="CE75" s="228">
        <v>54</v>
      </c>
      <c r="CF75" s="229">
        <v>1.37E-2</v>
      </c>
      <c r="CG75" s="228">
        <v>229</v>
      </c>
      <c r="CH75" s="228">
        <v>223</v>
      </c>
      <c r="CI75" s="228">
        <v>6</v>
      </c>
      <c r="CJ75" s="229">
        <v>2.7699999999999999E-2</v>
      </c>
      <c r="CK75" s="228">
        <v>1</v>
      </c>
      <c r="CL75" s="228">
        <v>1</v>
      </c>
      <c r="CM75" s="228">
        <v>0</v>
      </c>
      <c r="CN75" s="229">
        <v>0.25</v>
      </c>
      <c r="CO75" s="228">
        <v>306</v>
      </c>
      <c r="CP75" s="228">
        <v>268</v>
      </c>
      <c r="CQ75" s="228">
        <v>38</v>
      </c>
      <c r="CR75" s="229">
        <v>0.14319999999999999</v>
      </c>
      <c r="CS75" s="228">
        <v>223</v>
      </c>
      <c r="CT75" s="228">
        <v>218</v>
      </c>
      <c r="CU75" s="228">
        <v>5</v>
      </c>
      <c r="CV75" s="229">
        <v>2.47E-2</v>
      </c>
      <c r="CW75" s="230">
        <v>4754</v>
      </c>
      <c r="CX75" s="230">
        <v>4650</v>
      </c>
      <c r="CY75" s="228">
        <v>104</v>
      </c>
      <c r="CZ75" s="229">
        <v>2.24E-2</v>
      </c>
      <c r="DA75" s="228">
        <v>27.46</v>
      </c>
      <c r="DB75" s="228">
        <v>27.72</v>
      </c>
      <c r="DC75" s="228">
        <v>-0.26</v>
      </c>
      <c r="DD75" s="228">
        <v>-0.26</v>
      </c>
      <c r="DE75" s="228">
        <v>28.08</v>
      </c>
      <c r="DF75" s="228">
        <v>27.96</v>
      </c>
      <c r="DG75" s="228">
        <v>-0.62</v>
      </c>
      <c r="DH75" s="228">
        <v>0.12</v>
      </c>
      <c r="DI75" s="228">
        <v>27.06</v>
      </c>
      <c r="DJ75" s="228">
        <v>27.46</v>
      </c>
      <c r="DK75" s="228">
        <v>-0.4</v>
      </c>
      <c r="DL75" s="228">
        <v>-0.4</v>
      </c>
      <c r="DM75" s="228">
        <v>28.78</v>
      </c>
      <c r="DN75" s="228">
        <v>28.24</v>
      </c>
      <c r="DO75" s="228">
        <v>0.54</v>
      </c>
      <c r="DP75" s="228">
        <v>0.54</v>
      </c>
      <c r="DQ75" s="228">
        <v>0.73</v>
      </c>
      <c r="DR75" s="228">
        <v>0.81</v>
      </c>
      <c r="DS75" s="228">
        <v>-0.08</v>
      </c>
      <c r="DT75" s="229">
        <v>-9.8799999999999999E-2</v>
      </c>
      <c r="DU75" s="231">
        <v>2800</v>
      </c>
      <c r="DV75" s="231">
        <v>2800</v>
      </c>
      <c r="DW75" s="228">
        <v>0.3</v>
      </c>
      <c r="DX75" s="228">
        <v>0.5</v>
      </c>
      <c r="DY75" s="228">
        <v>-0.2</v>
      </c>
      <c r="DZ75" s="229">
        <v>-0.4</v>
      </c>
      <c r="EA75" s="229">
        <v>5.4600000000000003E-2</v>
      </c>
      <c r="EB75" s="230">
        <v>780500</v>
      </c>
      <c r="EC75" s="229">
        <v>7.0000000000000001E-3</v>
      </c>
      <c r="ED75" s="229">
        <v>5.4600000000000003E-2</v>
      </c>
      <c r="EE75" s="228">
        <v>19.2</v>
      </c>
      <c r="EF75" s="229">
        <v>6.7000000000000002E-3</v>
      </c>
      <c r="EG75" s="230">
        <v>596864</v>
      </c>
      <c r="EH75" s="230">
        <v>721314</v>
      </c>
      <c r="EI75" s="229">
        <v>-0.17249999999999999</v>
      </c>
      <c r="EJ75" s="229">
        <v>0.58260000000000001</v>
      </c>
      <c r="EK75" s="228">
        <v>598.20000000000005</v>
      </c>
      <c r="EL75" s="228">
        <v>167.22</v>
      </c>
      <c r="EM75" s="228">
        <v>316.24</v>
      </c>
      <c r="EN75" s="228">
        <v>129.71</v>
      </c>
      <c r="EO75" s="231">
        <v>1081.6600000000001</v>
      </c>
      <c r="EP75" s="228">
        <v>595.11</v>
      </c>
      <c r="EQ75" s="228">
        <v>486.55</v>
      </c>
      <c r="ER75" s="229">
        <v>0.81759999999999999</v>
      </c>
      <c r="ES75" s="228">
        <v>314.11</v>
      </c>
      <c r="ET75" s="228">
        <v>210.6</v>
      </c>
      <c r="EU75" s="231">
        <v>4226.74</v>
      </c>
      <c r="EV75" s="231">
        <v>38401443</v>
      </c>
      <c r="EW75" s="231">
        <v>4751.45</v>
      </c>
      <c r="EX75" s="231">
        <v>4543.4799999999996</v>
      </c>
      <c r="EY75" s="228">
        <v>207.97</v>
      </c>
      <c r="EZ75" s="229">
        <v>4.58E-2</v>
      </c>
      <c r="FA75" s="229">
        <v>0.43109999999999998</v>
      </c>
      <c r="FB75" s="227" t="s">
        <v>555</v>
      </c>
      <c r="FC75">
        <f t="shared" si="1"/>
        <v>230</v>
      </c>
    </row>
    <row r="76" spans="1:159" ht="17.25" thickBot="1" x14ac:dyDescent="0.3">
      <c r="A76" s="226">
        <v>46146</v>
      </c>
      <c r="B76" s="227" t="s">
        <v>184</v>
      </c>
      <c r="C76" s="227" t="s">
        <v>513</v>
      </c>
      <c r="D76" s="228">
        <v>150</v>
      </c>
      <c r="E76" s="228">
        <v>22</v>
      </c>
      <c r="F76" s="231">
        <v>4580.2</v>
      </c>
      <c r="G76" s="231">
        <v>4364.2</v>
      </c>
      <c r="H76" s="228">
        <v>216</v>
      </c>
      <c r="I76" s="229">
        <v>4.9500000000000002E-2</v>
      </c>
      <c r="J76" s="231">
        <v>4559.5</v>
      </c>
      <c r="K76" s="231">
        <v>4338.8</v>
      </c>
      <c r="L76" s="228">
        <v>220.7</v>
      </c>
      <c r="M76" s="229">
        <v>5.0900000000000001E-2</v>
      </c>
      <c r="N76" s="231">
        <v>4580.2</v>
      </c>
      <c r="O76" s="231">
        <v>4364.2</v>
      </c>
      <c r="P76" s="228">
        <v>216</v>
      </c>
      <c r="Q76" s="229">
        <v>4.9500000000000002E-2</v>
      </c>
      <c r="R76" s="231">
        <v>4607.5</v>
      </c>
      <c r="S76" s="231">
        <v>4394.2</v>
      </c>
      <c r="T76" s="228">
        <v>213.3</v>
      </c>
      <c r="U76" s="229">
        <v>4.8500000000000001E-2</v>
      </c>
      <c r="V76" s="231">
        <v>4631.8</v>
      </c>
      <c r="W76" s="231">
        <v>4409.3999999999996</v>
      </c>
      <c r="X76" s="228">
        <v>222.4</v>
      </c>
      <c r="Y76" s="229">
        <v>5.04E-2</v>
      </c>
      <c r="Z76" s="228">
        <v>20.7</v>
      </c>
      <c r="AA76" s="228">
        <v>25.4</v>
      </c>
      <c r="AB76" s="228">
        <v>-4.7</v>
      </c>
      <c r="AC76" s="229">
        <v>4.4999999999999997E-3</v>
      </c>
      <c r="AD76" s="228">
        <v>20.7</v>
      </c>
      <c r="AE76" s="228">
        <v>25.4</v>
      </c>
      <c r="AF76" s="228">
        <v>-4.7</v>
      </c>
      <c r="AG76" s="229">
        <v>4.4999999999999997E-3</v>
      </c>
      <c r="AH76" s="228">
        <v>48</v>
      </c>
      <c r="AI76" s="228">
        <v>55.4</v>
      </c>
      <c r="AJ76" s="228">
        <v>-7.4</v>
      </c>
      <c r="AK76" s="229">
        <v>1.0500000000000001E-2</v>
      </c>
      <c r="AL76" s="228">
        <v>72.3</v>
      </c>
      <c r="AM76" s="228">
        <v>70.599999999999994</v>
      </c>
      <c r="AN76" s="228">
        <v>1.7</v>
      </c>
      <c r="AO76" s="229">
        <v>1.5900000000000001E-2</v>
      </c>
      <c r="AP76" s="231">
        <v>4551.78</v>
      </c>
      <c r="AQ76" s="231">
        <v>4571.25</v>
      </c>
      <c r="AR76" s="228">
        <v>0</v>
      </c>
      <c r="AS76" s="230">
        <v>1009</v>
      </c>
      <c r="AT76" s="228">
        <v>290</v>
      </c>
      <c r="AU76" s="228">
        <v>720</v>
      </c>
      <c r="AV76" s="229">
        <v>2.4847000000000001</v>
      </c>
      <c r="AW76" s="228">
        <v>944</v>
      </c>
      <c r="AX76" s="228">
        <v>273</v>
      </c>
      <c r="AY76" s="228">
        <v>671</v>
      </c>
      <c r="AZ76" s="229">
        <v>2.4529999999999998</v>
      </c>
      <c r="BA76" s="228">
        <v>59</v>
      </c>
      <c r="BB76" s="228">
        <v>12</v>
      </c>
      <c r="BC76" s="228">
        <v>46</v>
      </c>
      <c r="BD76" s="229">
        <v>3.7921</v>
      </c>
      <c r="BE76" s="228">
        <v>6</v>
      </c>
      <c r="BF76" s="228">
        <v>4</v>
      </c>
      <c r="BG76" s="228">
        <v>2</v>
      </c>
      <c r="BH76" s="229">
        <v>0.61399999999999999</v>
      </c>
      <c r="BI76" s="230">
        <v>5243</v>
      </c>
      <c r="BJ76" s="228">
        <v>907</v>
      </c>
      <c r="BK76" s="230">
        <v>4336</v>
      </c>
      <c r="BL76" s="229">
        <v>4.7778999999999998</v>
      </c>
      <c r="BM76" s="230">
        <v>2020</v>
      </c>
      <c r="BN76" s="228">
        <v>635</v>
      </c>
      <c r="BO76" s="230">
        <v>1385</v>
      </c>
      <c r="BP76" s="229">
        <v>2.1821000000000002</v>
      </c>
      <c r="BQ76" s="230">
        <v>8272</v>
      </c>
      <c r="BR76" s="230">
        <v>1832</v>
      </c>
      <c r="BS76" s="230">
        <v>6441</v>
      </c>
      <c r="BT76" s="229">
        <v>3.5158</v>
      </c>
      <c r="BU76" s="230">
        <v>3109208</v>
      </c>
      <c r="BV76" s="230">
        <v>871604</v>
      </c>
      <c r="BW76" s="230">
        <v>2237604</v>
      </c>
      <c r="BX76" s="229">
        <v>2.5672000000000001</v>
      </c>
      <c r="BY76" s="230">
        <v>3122</v>
      </c>
      <c r="BZ76" s="230">
        <v>3203</v>
      </c>
      <c r="CA76" s="228">
        <v>-80</v>
      </c>
      <c r="CB76" s="229">
        <v>-2.5000000000000001E-2</v>
      </c>
      <c r="CC76" s="230">
        <v>2713</v>
      </c>
      <c r="CD76" s="230">
        <v>2803</v>
      </c>
      <c r="CE76" s="228">
        <v>-91</v>
      </c>
      <c r="CF76" s="229">
        <v>-3.2399999999999998E-2</v>
      </c>
      <c r="CG76" s="228">
        <v>405</v>
      </c>
      <c r="CH76" s="228">
        <v>396</v>
      </c>
      <c r="CI76" s="228">
        <v>9</v>
      </c>
      <c r="CJ76" s="229">
        <v>2.3599999999999999E-2</v>
      </c>
      <c r="CK76" s="228">
        <v>5</v>
      </c>
      <c r="CL76" s="228">
        <v>4</v>
      </c>
      <c r="CM76" s="228">
        <v>1</v>
      </c>
      <c r="CN76" s="229">
        <v>0.33960000000000001</v>
      </c>
      <c r="CO76" s="230">
        <v>1022</v>
      </c>
      <c r="CP76" s="228">
        <v>801</v>
      </c>
      <c r="CQ76" s="228">
        <v>221</v>
      </c>
      <c r="CR76" s="229">
        <v>0.27610000000000001</v>
      </c>
      <c r="CS76" s="228">
        <v>882</v>
      </c>
      <c r="CT76" s="228">
        <v>700</v>
      </c>
      <c r="CU76" s="228">
        <v>181</v>
      </c>
      <c r="CV76" s="229">
        <v>0.25869999999999999</v>
      </c>
      <c r="CW76" s="230">
        <v>5026</v>
      </c>
      <c r="CX76" s="230">
        <v>4704</v>
      </c>
      <c r="CY76" s="228">
        <v>322</v>
      </c>
      <c r="CZ76" s="229">
        <v>6.8500000000000005E-2</v>
      </c>
      <c r="DA76" s="228">
        <v>34.520000000000003</v>
      </c>
      <c r="DB76" s="228">
        <v>33.33</v>
      </c>
      <c r="DC76" s="228">
        <v>1.19</v>
      </c>
      <c r="DD76" s="228">
        <v>1.19</v>
      </c>
      <c r="DE76" s="228">
        <v>38.979999999999997</v>
      </c>
      <c r="DF76" s="228">
        <v>38.53</v>
      </c>
      <c r="DG76" s="228">
        <v>-4.46</v>
      </c>
      <c r="DH76" s="228">
        <v>0.45</v>
      </c>
      <c r="DI76" s="228">
        <v>33.840000000000003</v>
      </c>
      <c r="DJ76" s="228">
        <v>32.409999999999997</v>
      </c>
      <c r="DK76" s="228">
        <v>1.43</v>
      </c>
      <c r="DL76" s="228">
        <v>1.43</v>
      </c>
      <c r="DM76" s="228">
        <v>36.28</v>
      </c>
      <c r="DN76" s="228">
        <v>34.65</v>
      </c>
      <c r="DO76" s="228">
        <v>1.63</v>
      </c>
      <c r="DP76" s="228">
        <v>1.63</v>
      </c>
      <c r="DQ76" s="228">
        <v>0.86</v>
      </c>
      <c r="DR76" s="228">
        <v>0.87</v>
      </c>
      <c r="DS76" s="228">
        <v>-0.01</v>
      </c>
      <c r="DT76" s="229">
        <v>-1.15E-2</v>
      </c>
      <c r="DU76" s="231">
        <v>4600</v>
      </c>
      <c r="DV76" s="231">
        <v>4300</v>
      </c>
      <c r="DW76" s="228">
        <v>0.39</v>
      </c>
      <c r="DX76" s="228">
        <v>0.7</v>
      </c>
      <c r="DY76" s="228">
        <v>-0.31</v>
      </c>
      <c r="DZ76" s="229">
        <v>-0.44290000000000002</v>
      </c>
      <c r="EA76" s="229">
        <v>0.13120000000000001</v>
      </c>
      <c r="EB76" s="230">
        <v>871500</v>
      </c>
      <c r="EC76" s="229">
        <v>6.0000000000000001E-3</v>
      </c>
      <c r="ED76" s="229">
        <v>0.13120000000000001</v>
      </c>
      <c r="EE76" s="228">
        <v>19.47</v>
      </c>
      <c r="EF76" s="229">
        <v>4.3E-3</v>
      </c>
      <c r="EG76" s="230">
        <v>1358084</v>
      </c>
      <c r="EH76" s="230">
        <v>419967</v>
      </c>
      <c r="EI76" s="229">
        <v>2.2338</v>
      </c>
      <c r="EJ76" s="229">
        <v>0.43680000000000002</v>
      </c>
      <c r="EK76" s="231">
        <v>5489.63</v>
      </c>
      <c r="EL76" s="231">
        <v>1962.88</v>
      </c>
      <c r="EM76" s="231">
        <v>1003.17</v>
      </c>
      <c r="EN76" s="228">
        <v>139.27000000000001</v>
      </c>
      <c r="EO76" s="231">
        <v>8455.67</v>
      </c>
      <c r="EP76" s="231">
        <v>1774.28</v>
      </c>
      <c r="EQ76" s="231">
        <v>6681.39</v>
      </c>
      <c r="ER76" s="229">
        <v>3.7656999999999998</v>
      </c>
      <c r="ES76" s="231">
        <v>1024.99</v>
      </c>
      <c r="ET76" s="228">
        <v>831.56</v>
      </c>
      <c r="EU76" s="231">
        <v>3124.95</v>
      </c>
      <c r="EV76" s="231">
        <v>28450886</v>
      </c>
      <c r="EW76" s="231">
        <v>4981.5</v>
      </c>
      <c r="EX76" s="231">
        <v>4495.28</v>
      </c>
      <c r="EY76" s="228">
        <v>486.22</v>
      </c>
      <c r="EZ76" s="229">
        <v>0.1082</v>
      </c>
      <c r="FA76" s="229">
        <v>0.38569999999999999</v>
      </c>
      <c r="FB76" s="227" t="s">
        <v>691</v>
      </c>
      <c r="FC76">
        <f t="shared" si="1"/>
        <v>409</v>
      </c>
    </row>
    <row r="77" spans="1:159" ht="17.25" thickBot="1" x14ac:dyDescent="0.3">
      <c r="A77" s="226">
        <v>46146</v>
      </c>
      <c r="B77" s="227" t="s">
        <v>184</v>
      </c>
      <c r="C77" s="227" t="s">
        <v>220</v>
      </c>
      <c r="D77" s="228">
        <v>500</v>
      </c>
      <c r="E77" s="228">
        <v>22</v>
      </c>
      <c r="F77" s="231">
        <v>1256.4000000000001</v>
      </c>
      <c r="G77" s="231">
        <v>1241.5</v>
      </c>
      <c r="H77" s="228">
        <v>14.9</v>
      </c>
      <c r="I77" s="229">
        <v>1.2E-2</v>
      </c>
      <c r="J77" s="231">
        <v>1256.5999999999999</v>
      </c>
      <c r="K77" s="231">
        <v>1240.5999999999999</v>
      </c>
      <c r="L77" s="228">
        <v>16</v>
      </c>
      <c r="M77" s="229">
        <v>1.29E-2</v>
      </c>
      <c r="N77" s="231">
        <v>1256.4000000000001</v>
      </c>
      <c r="O77" s="231">
        <v>1241.5</v>
      </c>
      <c r="P77" s="228">
        <v>14.9</v>
      </c>
      <c r="Q77" s="229">
        <v>1.2E-2</v>
      </c>
      <c r="R77" s="231">
        <v>1258.5</v>
      </c>
      <c r="S77" s="231">
        <v>1244.8</v>
      </c>
      <c r="T77" s="228">
        <v>13.7</v>
      </c>
      <c r="U77" s="229">
        <v>1.0999999999999999E-2</v>
      </c>
      <c r="V77" s="231">
        <v>1264.5</v>
      </c>
      <c r="W77" s="231">
        <v>1252</v>
      </c>
      <c r="X77" s="228">
        <v>12.5</v>
      </c>
      <c r="Y77" s="229">
        <v>0.01</v>
      </c>
      <c r="Z77" s="228">
        <v>-0.2</v>
      </c>
      <c r="AA77" s="228">
        <v>0.9</v>
      </c>
      <c r="AB77" s="228">
        <v>-1.1000000000000001</v>
      </c>
      <c r="AC77" s="229">
        <v>-2.0000000000000001E-4</v>
      </c>
      <c r="AD77" s="228">
        <v>-0.2</v>
      </c>
      <c r="AE77" s="228">
        <v>0.9</v>
      </c>
      <c r="AF77" s="228">
        <v>-1.1000000000000001</v>
      </c>
      <c r="AG77" s="229">
        <v>-2.0000000000000001E-4</v>
      </c>
      <c r="AH77" s="228">
        <v>1.9</v>
      </c>
      <c r="AI77" s="228">
        <v>4.2</v>
      </c>
      <c r="AJ77" s="228">
        <v>-2.2999999999999998</v>
      </c>
      <c r="AK77" s="229">
        <v>1.5E-3</v>
      </c>
      <c r="AL77" s="228">
        <v>7.9</v>
      </c>
      <c r="AM77" s="228">
        <v>11.4</v>
      </c>
      <c r="AN77" s="228">
        <v>-3.5</v>
      </c>
      <c r="AO77" s="229">
        <v>6.3E-3</v>
      </c>
      <c r="AP77" s="231">
        <v>1257.04</v>
      </c>
      <c r="AQ77" s="231">
        <v>1258.18</v>
      </c>
      <c r="AR77" s="228">
        <v>0</v>
      </c>
      <c r="AS77" s="228">
        <v>130</v>
      </c>
      <c r="AT77" s="228">
        <v>162</v>
      </c>
      <c r="AU77" s="228">
        <v>-32</v>
      </c>
      <c r="AV77" s="229">
        <v>-0.19769999999999999</v>
      </c>
      <c r="AW77" s="228">
        <v>124</v>
      </c>
      <c r="AX77" s="228">
        <v>154</v>
      </c>
      <c r="AY77" s="228">
        <v>-31</v>
      </c>
      <c r="AZ77" s="229">
        <v>-0.1981</v>
      </c>
      <c r="BA77" s="228">
        <v>6</v>
      </c>
      <c r="BB77" s="228">
        <v>7</v>
      </c>
      <c r="BC77" s="228">
        <v>-1</v>
      </c>
      <c r="BD77" s="229">
        <v>-0.2054</v>
      </c>
      <c r="BE77" s="228">
        <v>0</v>
      </c>
      <c r="BF77" s="228">
        <v>0</v>
      </c>
      <c r="BG77" s="228">
        <v>0</v>
      </c>
      <c r="BH77" s="229">
        <v>0.2</v>
      </c>
      <c r="BI77" s="228">
        <v>384</v>
      </c>
      <c r="BJ77" s="228">
        <v>401</v>
      </c>
      <c r="BK77" s="228">
        <v>-17</v>
      </c>
      <c r="BL77" s="229">
        <v>-4.3099999999999999E-2</v>
      </c>
      <c r="BM77" s="228">
        <v>126</v>
      </c>
      <c r="BN77" s="228">
        <v>168</v>
      </c>
      <c r="BO77" s="228">
        <v>-42</v>
      </c>
      <c r="BP77" s="229">
        <v>-0.25009999999999999</v>
      </c>
      <c r="BQ77" s="228">
        <v>639</v>
      </c>
      <c r="BR77" s="228">
        <v>731</v>
      </c>
      <c r="BS77" s="228">
        <v>-91</v>
      </c>
      <c r="BT77" s="229">
        <v>-0.12479999999999999</v>
      </c>
      <c r="BU77" s="230">
        <v>806092</v>
      </c>
      <c r="BV77" s="230">
        <v>1604771</v>
      </c>
      <c r="BW77" s="230">
        <v>-798679</v>
      </c>
      <c r="BX77" s="229">
        <v>-0.49769999999999998</v>
      </c>
      <c r="BY77" s="230">
        <v>1333</v>
      </c>
      <c r="BZ77" s="230">
        <v>1346</v>
      </c>
      <c r="CA77" s="228">
        <v>-13</v>
      </c>
      <c r="CB77" s="229">
        <v>-9.7999999999999997E-3</v>
      </c>
      <c r="CC77" s="230">
        <v>1274</v>
      </c>
      <c r="CD77" s="230">
        <v>1287</v>
      </c>
      <c r="CE77" s="228">
        <v>-14</v>
      </c>
      <c r="CF77" s="229">
        <v>-1.06E-2</v>
      </c>
      <c r="CG77" s="228">
        <v>59</v>
      </c>
      <c r="CH77" s="228">
        <v>58</v>
      </c>
      <c r="CI77" s="228">
        <v>0</v>
      </c>
      <c r="CJ77" s="229">
        <v>4.3E-3</v>
      </c>
      <c r="CK77" s="228">
        <v>1</v>
      </c>
      <c r="CL77" s="228">
        <v>1</v>
      </c>
      <c r="CM77" s="228">
        <v>0</v>
      </c>
      <c r="CN77" s="229">
        <v>0.44440000000000002</v>
      </c>
      <c r="CO77" s="228">
        <v>613</v>
      </c>
      <c r="CP77" s="228">
        <v>587</v>
      </c>
      <c r="CQ77" s="228">
        <v>26</v>
      </c>
      <c r="CR77" s="229">
        <v>4.3900000000000002E-2</v>
      </c>
      <c r="CS77" s="228">
        <v>292</v>
      </c>
      <c r="CT77" s="228">
        <v>289</v>
      </c>
      <c r="CU77" s="228">
        <v>3</v>
      </c>
      <c r="CV77" s="229">
        <v>0.01</v>
      </c>
      <c r="CW77" s="230">
        <v>2238</v>
      </c>
      <c r="CX77" s="230">
        <v>2222</v>
      </c>
      <c r="CY77" s="228">
        <v>16</v>
      </c>
      <c r="CZ77" s="229">
        <v>7.0000000000000001E-3</v>
      </c>
      <c r="DA77" s="228">
        <v>31.31</v>
      </c>
      <c r="DB77" s="228">
        <v>31.42</v>
      </c>
      <c r="DC77" s="228">
        <v>-0.11</v>
      </c>
      <c r="DD77" s="228">
        <v>-0.11</v>
      </c>
      <c r="DE77" s="228">
        <v>31.19</v>
      </c>
      <c r="DF77" s="228">
        <v>31.23</v>
      </c>
      <c r="DG77" s="228">
        <v>0.12</v>
      </c>
      <c r="DH77" s="228">
        <v>-0.04</v>
      </c>
      <c r="DI77" s="228">
        <v>31.57</v>
      </c>
      <c r="DJ77" s="228">
        <v>31.87</v>
      </c>
      <c r="DK77" s="228">
        <v>-0.3</v>
      </c>
      <c r="DL77" s="228">
        <v>-0.3</v>
      </c>
      <c r="DM77" s="228">
        <v>30.54</v>
      </c>
      <c r="DN77" s="228">
        <v>30.34</v>
      </c>
      <c r="DO77" s="228">
        <v>0.2</v>
      </c>
      <c r="DP77" s="228">
        <v>0.2</v>
      </c>
      <c r="DQ77" s="228">
        <v>0.48</v>
      </c>
      <c r="DR77" s="228">
        <v>0.49</v>
      </c>
      <c r="DS77" s="228">
        <v>-0.01</v>
      </c>
      <c r="DT77" s="229">
        <v>-2.0400000000000001E-2</v>
      </c>
      <c r="DU77" s="231">
        <v>1400</v>
      </c>
      <c r="DV77" s="231">
        <v>1200</v>
      </c>
      <c r="DW77" s="228">
        <v>0.33</v>
      </c>
      <c r="DX77" s="228">
        <v>0.42</v>
      </c>
      <c r="DY77" s="228">
        <v>-0.09</v>
      </c>
      <c r="DZ77" s="229">
        <v>-0.21429999999999999</v>
      </c>
      <c r="EA77" s="229">
        <v>4.4699999999999997E-2</v>
      </c>
      <c r="EB77" s="230">
        <v>470000</v>
      </c>
      <c r="EC77" s="229">
        <v>1.6999999999999999E-3</v>
      </c>
      <c r="ED77" s="229">
        <v>4.4699999999999997E-2</v>
      </c>
      <c r="EE77" s="228">
        <v>1.1399999999999999</v>
      </c>
      <c r="EF77" s="229">
        <v>8.9999999999999998E-4</v>
      </c>
      <c r="EG77" s="230">
        <v>377681</v>
      </c>
      <c r="EH77" s="230">
        <v>999778</v>
      </c>
      <c r="EI77" s="229">
        <v>-0.62219999999999998</v>
      </c>
      <c r="EJ77" s="229">
        <v>0.46850000000000003</v>
      </c>
      <c r="EK77" s="228">
        <v>412.85</v>
      </c>
      <c r="EL77" s="228">
        <v>124.94</v>
      </c>
      <c r="EM77" s="228">
        <v>129.86000000000001</v>
      </c>
      <c r="EN77" s="228">
        <v>72.760000000000005</v>
      </c>
      <c r="EO77" s="228">
        <v>667.65</v>
      </c>
      <c r="EP77" s="228">
        <v>757.48</v>
      </c>
      <c r="EQ77" s="228">
        <v>-89.83</v>
      </c>
      <c r="ER77" s="229">
        <v>-0.1186</v>
      </c>
      <c r="ES77" s="228">
        <v>669.04</v>
      </c>
      <c r="ET77" s="228">
        <v>286.45</v>
      </c>
      <c r="EU77" s="231">
        <v>1333.4</v>
      </c>
      <c r="EV77" s="231">
        <v>29751886</v>
      </c>
      <c r="EW77" s="231">
        <v>2288.89</v>
      </c>
      <c r="EX77" s="231">
        <v>2254.7199999999998</v>
      </c>
      <c r="EY77" s="228">
        <v>34.17</v>
      </c>
      <c r="EZ77" s="229">
        <v>1.52E-2</v>
      </c>
      <c r="FA77" s="229">
        <v>0.59860000000000002</v>
      </c>
      <c r="FB77" s="227" t="s">
        <v>691</v>
      </c>
      <c r="FC77">
        <f t="shared" si="1"/>
        <v>59</v>
      </c>
    </row>
    <row r="78" spans="1:159" ht="17.25" thickBot="1" x14ac:dyDescent="0.3">
      <c r="A78" s="226">
        <v>46146</v>
      </c>
      <c r="B78" s="227" t="s">
        <v>221</v>
      </c>
      <c r="C78" s="227" t="s">
        <v>222</v>
      </c>
      <c r="D78" s="228">
        <v>350</v>
      </c>
      <c r="E78" s="228">
        <v>22</v>
      </c>
      <c r="F78" s="231">
        <v>1201.4000000000001</v>
      </c>
      <c r="G78" s="231">
        <v>1201.7</v>
      </c>
      <c r="H78" s="228">
        <v>-0.3</v>
      </c>
      <c r="I78" s="229">
        <v>-2.0000000000000001E-4</v>
      </c>
      <c r="J78" s="231">
        <v>1200.5</v>
      </c>
      <c r="K78" s="231">
        <v>1199.0999999999999</v>
      </c>
      <c r="L78" s="228">
        <v>1.4</v>
      </c>
      <c r="M78" s="229">
        <v>1.1999999999999999E-3</v>
      </c>
      <c r="N78" s="231">
        <v>1201.4000000000001</v>
      </c>
      <c r="O78" s="231">
        <v>1201.7</v>
      </c>
      <c r="P78" s="228">
        <v>-0.3</v>
      </c>
      <c r="Q78" s="229">
        <v>-2.0000000000000001E-4</v>
      </c>
      <c r="R78" s="231">
        <v>1193.9000000000001</v>
      </c>
      <c r="S78" s="231">
        <v>1194.5</v>
      </c>
      <c r="T78" s="228">
        <v>-0.6</v>
      </c>
      <c r="U78" s="229">
        <v>-5.0000000000000001E-4</v>
      </c>
      <c r="V78" s="231">
        <v>1188.0999999999999</v>
      </c>
      <c r="W78" s="231">
        <v>1187.9000000000001</v>
      </c>
      <c r="X78" s="228">
        <v>0.2</v>
      </c>
      <c r="Y78" s="229">
        <v>2.0000000000000001E-4</v>
      </c>
      <c r="Z78" s="228">
        <v>0.9</v>
      </c>
      <c r="AA78" s="228">
        <v>2.6</v>
      </c>
      <c r="AB78" s="228">
        <v>-1.7</v>
      </c>
      <c r="AC78" s="229">
        <v>6.9999999999999999E-4</v>
      </c>
      <c r="AD78" s="228">
        <v>0.9</v>
      </c>
      <c r="AE78" s="228">
        <v>2.6</v>
      </c>
      <c r="AF78" s="228">
        <v>-1.7</v>
      </c>
      <c r="AG78" s="229">
        <v>6.9999999999999999E-4</v>
      </c>
      <c r="AH78" s="228">
        <v>-6.6</v>
      </c>
      <c r="AI78" s="228">
        <v>-4.5999999999999996</v>
      </c>
      <c r="AJ78" s="228">
        <v>-2</v>
      </c>
      <c r="AK78" s="229">
        <v>-5.4999999999999997E-3</v>
      </c>
      <c r="AL78" s="228">
        <v>-12.4</v>
      </c>
      <c r="AM78" s="228">
        <v>-11.2</v>
      </c>
      <c r="AN78" s="228">
        <v>-1.2</v>
      </c>
      <c r="AO78" s="229">
        <v>-1.03E-2</v>
      </c>
      <c r="AP78" s="231">
        <v>1200.05</v>
      </c>
      <c r="AQ78" s="231">
        <v>1192.8399999999999</v>
      </c>
      <c r="AR78" s="228">
        <v>0</v>
      </c>
      <c r="AS78" s="228">
        <v>350</v>
      </c>
      <c r="AT78" s="228">
        <v>530</v>
      </c>
      <c r="AU78" s="228">
        <v>-179</v>
      </c>
      <c r="AV78" s="229">
        <v>-0.33860000000000001</v>
      </c>
      <c r="AW78" s="228">
        <v>306</v>
      </c>
      <c r="AX78" s="228">
        <v>495</v>
      </c>
      <c r="AY78" s="228">
        <v>-190</v>
      </c>
      <c r="AZ78" s="229">
        <v>-0.3831</v>
      </c>
      <c r="BA78" s="228">
        <v>41</v>
      </c>
      <c r="BB78" s="228">
        <v>29</v>
      </c>
      <c r="BC78" s="228">
        <v>12</v>
      </c>
      <c r="BD78" s="229">
        <v>0.433</v>
      </c>
      <c r="BE78" s="228">
        <v>4</v>
      </c>
      <c r="BF78" s="228">
        <v>6</v>
      </c>
      <c r="BG78" s="228">
        <v>-2</v>
      </c>
      <c r="BH78" s="229">
        <v>-0.33579999999999999</v>
      </c>
      <c r="BI78" s="230">
        <v>1570</v>
      </c>
      <c r="BJ78" s="230">
        <v>1619</v>
      </c>
      <c r="BK78" s="228">
        <v>-48</v>
      </c>
      <c r="BL78" s="229">
        <v>-2.9899999999999999E-2</v>
      </c>
      <c r="BM78" s="228">
        <v>707</v>
      </c>
      <c r="BN78" s="228">
        <v>837</v>
      </c>
      <c r="BO78" s="228">
        <v>-130</v>
      </c>
      <c r="BP78" s="229">
        <v>-0.1547</v>
      </c>
      <c r="BQ78" s="230">
        <v>2628</v>
      </c>
      <c r="BR78" s="230">
        <v>2985</v>
      </c>
      <c r="BS78" s="228">
        <v>-357</v>
      </c>
      <c r="BT78" s="229">
        <v>-0.1197</v>
      </c>
      <c r="BU78" s="230">
        <v>3588826</v>
      </c>
      <c r="BV78" s="230">
        <v>5312743</v>
      </c>
      <c r="BW78" s="230">
        <v>-1723917</v>
      </c>
      <c r="BX78" s="229">
        <v>-0.32450000000000001</v>
      </c>
      <c r="BY78" s="230">
        <v>5294</v>
      </c>
      <c r="BZ78" s="230">
        <v>5233</v>
      </c>
      <c r="CA78" s="228">
        <v>61</v>
      </c>
      <c r="CB78" s="229">
        <v>1.17E-2</v>
      </c>
      <c r="CC78" s="230">
        <v>5040</v>
      </c>
      <c r="CD78" s="230">
        <v>5001</v>
      </c>
      <c r="CE78" s="228">
        <v>39</v>
      </c>
      <c r="CF78" s="229">
        <v>7.7999999999999996E-3</v>
      </c>
      <c r="CG78" s="228">
        <v>239</v>
      </c>
      <c r="CH78" s="228">
        <v>220</v>
      </c>
      <c r="CI78" s="228">
        <v>19</v>
      </c>
      <c r="CJ78" s="229">
        <v>8.7599999999999997E-2</v>
      </c>
      <c r="CK78" s="228">
        <v>15</v>
      </c>
      <c r="CL78" s="228">
        <v>12</v>
      </c>
      <c r="CM78" s="228">
        <v>3</v>
      </c>
      <c r="CN78" s="229">
        <v>0.24709999999999999</v>
      </c>
      <c r="CO78" s="230">
        <v>2651</v>
      </c>
      <c r="CP78" s="230">
        <v>2499</v>
      </c>
      <c r="CQ78" s="228">
        <v>151</v>
      </c>
      <c r="CR78" s="229">
        <v>6.0600000000000001E-2</v>
      </c>
      <c r="CS78" s="230">
        <v>1385</v>
      </c>
      <c r="CT78" s="230">
        <v>1346</v>
      </c>
      <c r="CU78" s="228">
        <v>38</v>
      </c>
      <c r="CV78" s="229">
        <v>2.8400000000000002E-2</v>
      </c>
      <c r="CW78" s="230">
        <v>9329</v>
      </c>
      <c r="CX78" s="230">
        <v>9078</v>
      </c>
      <c r="CY78" s="228">
        <v>251</v>
      </c>
      <c r="CZ78" s="229">
        <v>2.76E-2</v>
      </c>
      <c r="DA78" s="228">
        <v>30.38</v>
      </c>
      <c r="DB78" s="228">
        <v>29.97</v>
      </c>
      <c r="DC78" s="228">
        <v>0.41</v>
      </c>
      <c r="DD78" s="228">
        <v>0.41</v>
      </c>
      <c r="DE78" s="228">
        <v>33.22</v>
      </c>
      <c r="DF78" s="228">
        <v>33.31</v>
      </c>
      <c r="DG78" s="228">
        <v>-2.84</v>
      </c>
      <c r="DH78" s="228">
        <v>-0.09</v>
      </c>
      <c r="DI78" s="228">
        <v>30.91</v>
      </c>
      <c r="DJ78" s="228">
        <v>30.5</v>
      </c>
      <c r="DK78" s="228">
        <v>0.41</v>
      </c>
      <c r="DL78" s="228">
        <v>0.41</v>
      </c>
      <c r="DM78" s="228">
        <v>29.22</v>
      </c>
      <c r="DN78" s="228">
        <v>28.95</v>
      </c>
      <c r="DO78" s="228">
        <v>0.27</v>
      </c>
      <c r="DP78" s="228">
        <v>0.27</v>
      </c>
      <c r="DQ78" s="228">
        <v>0.52</v>
      </c>
      <c r="DR78" s="228">
        <v>0.54</v>
      </c>
      <c r="DS78" s="228">
        <v>-0.02</v>
      </c>
      <c r="DT78" s="229">
        <v>-3.6999999999999998E-2</v>
      </c>
      <c r="DU78" s="231">
        <v>1300</v>
      </c>
      <c r="DV78" s="231">
        <v>1200</v>
      </c>
      <c r="DW78" s="228">
        <v>0.45</v>
      </c>
      <c r="DX78" s="228">
        <v>0.52</v>
      </c>
      <c r="DY78" s="228">
        <v>-7.0000000000000007E-2</v>
      </c>
      <c r="DZ78" s="229">
        <v>-0.1346</v>
      </c>
      <c r="EA78" s="229">
        <v>4.8099999999999997E-2</v>
      </c>
      <c r="EB78" s="230">
        <v>1932500</v>
      </c>
      <c r="EC78" s="229">
        <v>-6.1999999999999998E-3</v>
      </c>
      <c r="ED78" s="229">
        <v>4.8099999999999997E-2</v>
      </c>
      <c r="EE78" s="228">
        <v>-7.21</v>
      </c>
      <c r="EF78" s="229">
        <v>-6.0000000000000001E-3</v>
      </c>
      <c r="EG78" s="230">
        <v>1843780</v>
      </c>
      <c r="EH78" s="230">
        <v>2815353</v>
      </c>
      <c r="EI78" s="229">
        <v>-0.34510000000000002</v>
      </c>
      <c r="EJ78" s="229">
        <v>0.51380000000000003</v>
      </c>
      <c r="EK78" s="231">
        <v>1688.22</v>
      </c>
      <c r="EL78" s="228">
        <v>702.79</v>
      </c>
      <c r="EM78" s="228">
        <v>350.21</v>
      </c>
      <c r="EN78" s="228">
        <v>360.28</v>
      </c>
      <c r="EO78" s="231">
        <v>2741.23</v>
      </c>
      <c r="EP78" s="231">
        <v>3103.61</v>
      </c>
      <c r="EQ78" s="228">
        <v>-362.39</v>
      </c>
      <c r="ER78" s="229">
        <v>-0.1168</v>
      </c>
      <c r="ES78" s="231">
        <v>2900.09</v>
      </c>
      <c r="ET78" s="231">
        <v>1377.91</v>
      </c>
      <c r="EU78" s="231">
        <v>5292.37</v>
      </c>
      <c r="EV78" s="231">
        <v>145140505</v>
      </c>
      <c r="EW78" s="231">
        <v>9570.36</v>
      </c>
      <c r="EX78" s="231">
        <v>9316.26</v>
      </c>
      <c r="EY78" s="228">
        <v>254.1</v>
      </c>
      <c r="EZ78" s="229">
        <v>2.7300000000000001E-2</v>
      </c>
      <c r="FA78" s="229">
        <v>0.53500000000000003</v>
      </c>
      <c r="FB78" s="227" t="s">
        <v>566</v>
      </c>
      <c r="FC78">
        <f t="shared" si="1"/>
        <v>254</v>
      </c>
    </row>
    <row r="79" spans="1:159" ht="17.25" thickBot="1" x14ac:dyDescent="0.3">
      <c r="A79" s="226">
        <v>46146</v>
      </c>
      <c r="B79" s="227" t="s">
        <v>175</v>
      </c>
      <c r="C79" s="227" t="s">
        <v>475</v>
      </c>
      <c r="D79" s="228">
        <v>300</v>
      </c>
      <c r="E79" s="228">
        <v>22</v>
      </c>
      <c r="F79" s="231">
        <v>2769.4</v>
      </c>
      <c r="G79" s="231">
        <v>2729.7</v>
      </c>
      <c r="H79" s="228">
        <v>39.700000000000003</v>
      </c>
      <c r="I79" s="229">
        <v>1.4500000000000001E-2</v>
      </c>
      <c r="J79" s="231">
        <v>2753.6</v>
      </c>
      <c r="K79" s="231">
        <v>2712.6</v>
      </c>
      <c r="L79" s="228">
        <v>41</v>
      </c>
      <c r="M79" s="229">
        <v>1.5100000000000001E-2</v>
      </c>
      <c r="N79" s="231">
        <v>2769.4</v>
      </c>
      <c r="O79" s="231">
        <v>2729.7</v>
      </c>
      <c r="P79" s="228">
        <v>39.700000000000003</v>
      </c>
      <c r="Q79" s="229">
        <v>1.4500000000000001E-2</v>
      </c>
      <c r="R79" s="231">
        <v>2782.5</v>
      </c>
      <c r="S79" s="231">
        <v>2747.3</v>
      </c>
      <c r="T79" s="228">
        <v>35.200000000000003</v>
      </c>
      <c r="U79" s="229">
        <v>1.2800000000000001E-2</v>
      </c>
      <c r="V79" s="231">
        <v>2790.2</v>
      </c>
      <c r="W79" s="231">
        <v>2764</v>
      </c>
      <c r="X79" s="228">
        <v>26.2</v>
      </c>
      <c r="Y79" s="229">
        <v>9.4999999999999998E-3</v>
      </c>
      <c r="Z79" s="228">
        <v>15.8</v>
      </c>
      <c r="AA79" s="228">
        <v>17.100000000000001</v>
      </c>
      <c r="AB79" s="228">
        <v>-1.3</v>
      </c>
      <c r="AC79" s="229">
        <v>5.7000000000000002E-3</v>
      </c>
      <c r="AD79" s="228">
        <v>15.8</v>
      </c>
      <c r="AE79" s="228">
        <v>17.100000000000001</v>
      </c>
      <c r="AF79" s="228">
        <v>-1.3</v>
      </c>
      <c r="AG79" s="229">
        <v>5.7000000000000002E-3</v>
      </c>
      <c r="AH79" s="228">
        <v>28.9</v>
      </c>
      <c r="AI79" s="228">
        <v>34.700000000000003</v>
      </c>
      <c r="AJ79" s="228">
        <v>-5.8</v>
      </c>
      <c r="AK79" s="229">
        <v>1.0500000000000001E-2</v>
      </c>
      <c r="AL79" s="228">
        <v>36.6</v>
      </c>
      <c r="AM79" s="228">
        <v>51.4</v>
      </c>
      <c r="AN79" s="228">
        <v>-14.8</v>
      </c>
      <c r="AO79" s="229">
        <v>1.3299999999999999E-2</v>
      </c>
      <c r="AP79" s="231">
        <v>2766.38</v>
      </c>
      <c r="AQ79" s="231">
        <v>2772.75</v>
      </c>
      <c r="AR79" s="228">
        <v>0</v>
      </c>
      <c r="AS79" s="228">
        <v>179</v>
      </c>
      <c r="AT79" s="228">
        <v>239</v>
      </c>
      <c r="AU79" s="228">
        <v>-60</v>
      </c>
      <c r="AV79" s="229">
        <v>-0.25119999999999998</v>
      </c>
      <c r="AW79" s="228">
        <v>163</v>
      </c>
      <c r="AX79" s="228">
        <v>231</v>
      </c>
      <c r="AY79" s="228">
        <v>-68</v>
      </c>
      <c r="AZ79" s="229">
        <v>-0.29459999999999997</v>
      </c>
      <c r="BA79" s="228">
        <v>15</v>
      </c>
      <c r="BB79" s="228">
        <v>8</v>
      </c>
      <c r="BC79" s="228">
        <v>7</v>
      </c>
      <c r="BD79" s="229">
        <v>0.93679999999999997</v>
      </c>
      <c r="BE79" s="228">
        <v>1</v>
      </c>
      <c r="BF79" s="228">
        <v>0</v>
      </c>
      <c r="BG79" s="228">
        <v>1</v>
      </c>
      <c r="BH79" s="229">
        <v>1.75</v>
      </c>
      <c r="BI79" s="228">
        <v>192</v>
      </c>
      <c r="BJ79" s="228">
        <v>185</v>
      </c>
      <c r="BK79" s="228">
        <v>7</v>
      </c>
      <c r="BL79" s="229">
        <v>3.8100000000000002E-2</v>
      </c>
      <c r="BM79" s="228">
        <v>107</v>
      </c>
      <c r="BN79" s="228">
        <v>128</v>
      </c>
      <c r="BO79" s="228">
        <v>-21</v>
      </c>
      <c r="BP79" s="229">
        <v>-0.16339999999999999</v>
      </c>
      <c r="BQ79" s="228">
        <v>478</v>
      </c>
      <c r="BR79" s="228">
        <v>552</v>
      </c>
      <c r="BS79" s="228">
        <v>-74</v>
      </c>
      <c r="BT79" s="229">
        <v>-0.13389999999999999</v>
      </c>
      <c r="BU79" s="230">
        <v>499396</v>
      </c>
      <c r="BV79" s="230">
        <v>1284477</v>
      </c>
      <c r="BW79" s="230">
        <v>-785081</v>
      </c>
      <c r="BX79" s="229">
        <v>-0.61119999999999997</v>
      </c>
      <c r="BY79" s="230">
        <v>1525</v>
      </c>
      <c r="BZ79" s="230">
        <v>1496</v>
      </c>
      <c r="CA79" s="228">
        <v>29</v>
      </c>
      <c r="CB79" s="229">
        <v>1.9400000000000001E-2</v>
      </c>
      <c r="CC79" s="230">
        <v>1500</v>
      </c>
      <c r="CD79" s="230">
        <v>1466</v>
      </c>
      <c r="CE79" s="228">
        <v>33</v>
      </c>
      <c r="CF79" s="229">
        <v>2.2700000000000001E-2</v>
      </c>
      <c r="CG79" s="228">
        <v>24</v>
      </c>
      <c r="CH79" s="228">
        <v>29</v>
      </c>
      <c r="CI79" s="228">
        <v>-5</v>
      </c>
      <c r="CJ79" s="229">
        <v>-0.16619999999999999</v>
      </c>
      <c r="CK79" s="228">
        <v>1</v>
      </c>
      <c r="CL79" s="228">
        <v>0</v>
      </c>
      <c r="CM79" s="228">
        <v>1</v>
      </c>
      <c r="CN79" s="229">
        <v>2</v>
      </c>
      <c r="CO79" s="228">
        <v>233</v>
      </c>
      <c r="CP79" s="228">
        <v>205</v>
      </c>
      <c r="CQ79" s="228">
        <v>28</v>
      </c>
      <c r="CR79" s="229">
        <v>0.1348</v>
      </c>
      <c r="CS79" s="228">
        <v>162</v>
      </c>
      <c r="CT79" s="228">
        <v>151</v>
      </c>
      <c r="CU79" s="228">
        <v>11</v>
      </c>
      <c r="CV79" s="229">
        <v>7.2599999999999998E-2</v>
      </c>
      <c r="CW79" s="230">
        <v>1920</v>
      </c>
      <c r="CX79" s="230">
        <v>1852</v>
      </c>
      <c r="CY79" s="228">
        <v>68</v>
      </c>
      <c r="CZ79" s="229">
        <v>3.6600000000000001E-2</v>
      </c>
      <c r="DA79" s="228">
        <v>32.159999999999997</v>
      </c>
      <c r="DB79" s="228">
        <v>31.95</v>
      </c>
      <c r="DC79" s="228">
        <v>0.21</v>
      </c>
      <c r="DD79" s="228">
        <v>0.21</v>
      </c>
      <c r="DE79" s="228">
        <v>38.89</v>
      </c>
      <c r="DF79" s="228">
        <v>38.94</v>
      </c>
      <c r="DG79" s="228">
        <v>-6.73</v>
      </c>
      <c r="DH79" s="228">
        <v>-0.05</v>
      </c>
      <c r="DI79" s="228">
        <v>31.55</v>
      </c>
      <c r="DJ79" s="228">
        <v>31.67</v>
      </c>
      <c r="DK79" s="228">
        <v>-0.12</v>
      </c>
      <c r="DL79" s="228">
        <v>-0.12</v>
      </c>
      <c r="DM79" s="228">
        <v>33.26</v>
      </c>
      <c r="DN79" s="228">
        <v>32.369999999999997</v>
      </c>
      <c r="DO79" s="228">
        <v>0.89</v>
      </c>
      <c r="DP79" s="228">
        <v>0.89</v>
      </c>
      <c r="DQ79" s="228">
        <v>0.7</v>
      </c>
      <c r="DR79" s="228">
        <v>0.74</v>
      </c>
      <c r="DS79" s="228">
        <v>-0.04</v>
      </c>
      <c r="DT79" s="229">
        <v>-5.4100000000000002E-2</v>
      </c>
      <c r="DU79" s="231">
        <v>2800</v>
      </c>
      <c r="DV79" s="231">
        <v>2700</v>
      </c>
      <c r="DW79" s="228">
        <v>0.56000000000000005</v>
      </c>
      <c r="DX79" s="228">
        <v>0.69</v>
      </c>
      <c r="DY79" s="228">
        <v>-0.13</v>
      </c>
      <c r="DZ79" s="229">
        <v>-0.18840000000000001</v>
      </c>
      <c r="EA79" s="229">
        <v>1.6500000000000001E-2</v>
      </c>
      <c r="EB79" s="230">
        <v>105900</v>
      </c>
      <c r="EC79" s="229">
        <v>4.7000000000000002E-3</v>
      </c>
      <c r="ED79" s="229">
        <v>1.6500000000000001E-2</v>
      </c>
      <c r="EE79" s="228">
        <v>6.37</v>
      </c>
      <c r="EF79" s="229">
        <v>2.3E-3</v>
      </c>
      <c r="EG79" s="230">
        <v>276418</v>
      </c>
      <c r="EH79" s="230">
        <v>868012</v>
      </c>
      <c r="EI79" s="229">
        <v>-0.68159999999999998</v>
      </c>
      <c r="EJ79" s="229">
        <v>0.55349999999999999</v>
      </c>
      <c r="EK79" s="228">
        <v>203.68</v>
      </c>
      <c r="EL79" s="228">
        <v>103.08</v>
      </c>
      <c r="EM79" s="228">
        <v>179.14</v>
      </c>
      <c r="EN79" s="228">
        <v>50.23</v>
      </c>
      <c r="EO79" s="228">
        <v>485.9</v>
      </c>
      <c r="EP79" s="228">
        <v>555.61</v>
      </c>
      <c r="EQ79" s="228">
        <v>-69.709999999999994</v>
      </c>
      <c r="ER79" s="229">
        <v>-0.1255</v>
      </c>
      <c r="ES79" s="228">
        <v>241.72</v>
      </c>
      <c r="ET79" s="228">
        <v>152.72999999999999</v>
      </c>
      <c r="EU79" s="231">
        <v>1525.01</v>
      </c>
      <c r="EV79" s="231">
        <v>30592324</v>
      </c>
      <c r="EW79" s="231">
        <v>1919.46</v>
      </c>
      <c r="EX79" s="231">
        <v>1828.47</v>
      </c>
      <c r="EY79" s="228">
        <v>90.99</v>
      </c>
      <c r="EZ79" s="229">
        <v>4.9799999999999997E-2</v>
      </c>
      <c r="FA79" s="229">
        <v>0.2266</v>
      </c>
      <c r="FB79" s="227" t="s">
        <v>555</v>
      </c>
      <c r="FC79">
        <f t="shared" si="1"/>
        <v>25</v>
      </c>
    </row>
    <row r="80" spans="1:159" ht="17.25" thickBot="1" x14ac:dyDescent="0.3">
      <c r="A80" s="226">
        <v>46146</v>
      </c>
      <c r="B80" s="227" t="s">
        <v>172</v>
      </c>
      <c r="C80" s="227" t="s">
        <v>224</v>
      </c>
      <c r="D80" s="228">
        <v>550</v>
      </c>
      <c r="E80" s="228">
        <v>22</v>
      </c>
      <c r="F80" s="228">
        <v>782.7</v>
      </c>
      <c r="G80" s="228">
        <v>776.1</v>
      </c>
      <c r="H80" s="228">
        <v>6.6</v>
      </c>
      <c r="I80" s="229">
        <v>8.5000000000000006E-3</v>
      </c>
      <c r="J80" s="228">
        <v>779.4</v>
      </c>
      <c r="K80" s="228">
        <v>771.7</v>
      </c>
      <c r="L80" s="228">
        <v>7.7</v>
      </c>
      <c r="M80" s="229">
        <v>0.01</v>
      </c>
      <c r="N80" s="228">
        <v>782.7</v>
      </c>
      <c r="O80" s="228">
        <v>776.1</v>
      </c>
      <c r="P80" s="228">
        <v>6.6</v>
      </c>
      <c r="Q80" s="229">
        <v>8.5000000000000006E-3</v>
      </c>
      <c r="R80" s="228">
        <v>773.6</v>
      </c>
      <c r="S80" s="228">
        <v>768.45</v>
      </c>
      <c r="T80" s="228">
        <v>5.15</v>
      </c>
      <c r="U80" s="229">
        <v>6.7000000000000002E-3</v>
      </c>
      <c r="V80" s="228">
        <v>777.75</v>
      </c>
      <c r="W80" s="228">
        <v>772.3</v>
      </c>
      <c r="X80" s="228">
        <v>5.45</v>
      </c>
      <c r="Y80" s="229">
        <v>7.1000000000000004E-3</v>
      </c>
      <c r="Z80" s="228">
        <v>3.3</v>
      </c>
      <c r="AA80" s="228">
        <v>4.4000000000000004</v>
      </c>
      <c r="AB80" s="228">
        <v>-1.1000000000000001</v>
      </c>
      <c r="AC80" s="229">
        <v>4.1999999999999997E-3</v>
      </c>
      <c r="AD80" s="228">
        <v>3.3</v>
      </c>
      <c r="AE80" s="228">
        <v>4.4000000000000004</v>
      </c>
      <c r="AF80" s="228">
        <v>-1.1000000000000001</v>
      </c>
      <c r="AG80" s="229">
        <v>4.1999999999999997E-3</v>
      </c>
      <c r="AH80" s="228">
        <v>-5.8</v>
      </c>
      <c r="AI80" s="228">
        <v>-3.25</v>
      </c>
      <c r="AJ80" s="228">
        <v>-2.5499999999999998</v>
      </c>
      <c r="AK80" s="229">
        <v>-7.4000000000000003E-3</v>
      </c>
      <c r="AL80" s="228">
        <v>-1.65</v>
      </c>
      <c r="AM80" s="228">
        <v>0.6</v>
      </c>
      <c r="AN80" s="228">
        <v>-2.25</v>
      </c>
      <c r="AO80" s="229">
        <v>-2.0999999999999999E-3</v>
      </c>
      <c r="AP80" s="228">
        <v>783.81</v>
      </c>
      <c r="AQ80" s="228">
        <v>775.92</v>
      </c>
      <c r="AR80" s="228">
        <v>0</v>
      </c>
      <c r="AS80" s="230">
        <v>1566</v>
      </c>
      <c r="AT80" s="230">
        <v>1884</v>
      </c>
      <c r="AU80" s="228">
        <v>-318</v>
      </c>
      <c r="AV80" s="229">
        <v>-0.1686</v>
      </c>
      <c r="AW80" s="230">
        <v>1298</v>
      </c>
      <c r="AX80" s="230">
        <v>1628</v>
      </c>
      <c r="AY80" s="228">
        <v>-330</v>
      </c>
      <c r="AZ80" s="229">
        <v>-0.20269999999999999</v>
      </c>
      <c r="BA80" s="228">
        <v>248</v>
      </c>
      <c r="BB80" s="228">
        <v>222</v>
      </c>
      <c r="BC80" s="228">
        <v>26</v>
      </c>
      <c r="BD80" s="229">
        <v>0.1172</v>
      </c>
      <c r="BE80" s="228">
        <v>20</v>
      </c>
      <c r="BF80" s="228">
        <v>34</v>
      </c>
      <c r="BG80" s="228">
        <v>-14</v>
      </c>
      <c r="BH80" s="229">
        <v>-0.40689999999999998</v>
      </c>
      <c r="BI80" s="230">
        <v>4659</v>
      </c>
      <c r="BJ80" s="230">
        <v>5847</v>
      </c>
      <c r="BK80" s="230">
        <v>-1188</v>
      </c>
      <c r="BL80" s="229">
        <v>-0.2031</v>
      </c>
      <c r="BM80" s="230">
        <v>2745</v>
      </c>
      <c r="BN80" s="230">
        <v>2904</v>
      </c>
      <c r="BO80" s="228">
        <v>-159</v>
      </c>
      <c r="BP80" s="229">
        <v>-5.4699999999999999E-2</v>
      </c>
      <c r="BQ80" s="230">
        <v>8970</v>
      </c>
      <c r="BR80" s="230">
        <v>10634</v>
      </c>
      <c r="BS80" s="230">
        <v>-1664</v>
      </c>
      <c r="BT80" s="229">
        <v>-0.1565</v>
      </c>
      <c r="BU80" s="230">
        <v>29726783</v>
      </c>
      <c r="BV80" s="230">
        <v>51835071</v>
      </c>
      <c r="BW80" s="230">
        <v>-22108288</v>
      </c>
      <c r="BX80" s="229">
        <v>-0.42649999999999999</v>
      </c>
      <c r="BY80" s="230">
        <v>26448</v>
      </c>
      <c r="BZ80" s="230">
        <v>26306</v>
      </c>
      <c r="CA80" s="228">
        <v>142</v>
      </c>
      <c r="CB80" s="229">
        <v>5.4000000000000003E-3</v>
      </c>
      <c r="CC80" s="230">
        <v>20121</v>
      </c>
      <c r="CD80" s="230">
        <v>20152</v>
      </c>
      <c r="CE80" s="228">
        <v>-31</v>
      </c>
      <c r="CF80" s="229">
        <v>-1.6000000000000001E-3</v>
      </c>
      <c r="CG80" s="230">
        <v>6264</v>
      </c>
      <c r="CH80" s="230">
        <v>6100</v>
      </c>
      <c r="CI80" s="228">
        <v>164</v>
      </c>
      <c r="CJ80" s="229">
        <v>2.69E-2</v>
      </c>
      <c r="CK80" s="228">
        <v>63</v>
      </c>
      <c r="CL80" s="228">
        <v>54</v>
      </c>
      <c r="CM80" s="228">
        <v>9</v>
      </c>
      <c r="CN80" s="229">
        <v>0.17280000000000001</v>
      </c>
      <c r="CO80" s="230">
        <v>5229</v>
      </c>
      <c r="CP80" s="230">
        <v>4852</v>
      </c>
      <c r="CQ80" s="228">
        <v>377</v>
      </c>
      <c r="CR80" s="229">
        <v>7.7700000000000005E-2</v>
      </c>
      <c r="CS80" s="230">
        <v>2852</v>
      </c>
      <c r="CT80" s="230">
        <v>2682</v>
      </c>
      <c r="CU80" s="228">
        <v>171</v>
      </c>
      <c r="CV80" s="229">
        <v>6.3600000000000004E-2</v>
      </c>
      <c r="CW80" s="230">
        <v>34529</v>
      </c>
      <c r="CX80" s="230">
        <v>33840</v>
      </c>
      <c r="CY80" s="228">
        <v>690</v>
      </c>
      <c r="CZ80" s="229">
        <v>2.0400000000000001E-2</v>
      </c>
      <c r="DA80" s="228">
        <v>26.02</v>
      </c>
      <c r="DB80" s="228">
        <v>26.49</v>
      </c>
      <c r="DC80" s="228">
        <v>-0.47</v>
      </c>
      <c r="DD80" s="228">
        <v>-0.47</v>
      </c>
      <c r="DE80" s="228">
        <v>25.21</v>
      </c>
      <c r="DF80" s="228">
        <v>25.24</v>
      </c>
      <c r="DG80" s="228">
        <v>0.81</v>
      </c>
      <c r="DH80" s="228">
        <v>-0.03</v>
      </c>
      <c r="DI80" s="228">
        <v>25.72</v>
      </c>
      <c r="DJ80" s="228">
        <v>26.51</v>
      </c>
      <c r="DK80" s="228">
        <v>-0.79</v>
      </c>
      <c r="DL80" s="228">
        <v>-0.79</v>
      </c>
      <c r="DM80" s="228">
        <v>26.53</v>
      </c>
      <c r="DN80" s="228">
        <v>26.46</v>
      </c>
      <c r="DO80" s="228">
        <v>7.0000000000000007E-2</v>
      </c>
      <c r="DP80" s="228">
        <v>7.0000000000000007E-2</v>
      </c>
      <c r="DQ80" s="228">
        <v>0.55000000000000004</v>
      </c>
      <c r="DR80" s="228">
        <v>0.55000000000000004</v>
      </c>
      <c r="DS80" s="228">
        <v>0</v>
      </c>
      <c r="DT80" s="229">
        <v>0</v>
      </c>
      <c r="DU80" s="228">
        <v>800</v>
      </c>
      <c r="DV80" s="228">
        <v>800</v>
      </c>
      <c r="DW80" s="228">
        <v>0.59</v>
      </c>
      <c r="DX80" s="228">
        <v>0.5</v>
      </c>
      <c r="DY80" s="228">
        <v>0.09</v>
      </c>
      <c r="DZ80" s="229">
        <v>0.18</v>
      </c>
      <c r="EA80" s="229">
        <v>0.2392</v>
      </c>
      <c r="EB80" s="230">
        <v>78625550</v>
      </c>
      <c r="EC80" s="229">
        <v>-1.1599999999999999E-2</v>
      </c>
      <c r="ED80" s="229">
        <v>0.2392</v>
      </c>
      <c r="EE80" s="228">
        <v>-7.89</v>
      </c>
      <c r="EF80" s="229">
        <v>-1.01E-2</v>
      </c>
      <c r="EG80" s="230">
        <v>17419547</v>
      </c>
      <c r="EH80" s="230">
        <v>24131748</v>
      </c>
      <c r="EI80" s="229">
        <v>-0.27810000000000001</v>
      </c>
      <c r="EJ80" s="229">
        <v>0.58599999999999997</v>
      </c>
      <c r="EK80" s="231">
        <v>4902.2299999999996</v>
      </c>
      <c r="EL80" s="231">
        <v>2702.05</v>
      </c>
      <c r="EM80" s="231">
        <v>1569.3</v>
      </c>
      <c r="EN80" s="231">
        <v>1286</v>
      </c>
      <c r="EO80" s="231">
        <v>9173.58</v>
      </c>
      <c r="EP80" s="231">
        <v>10849.49</v>
      </c>
      <c r="EQ80" s="231">
        <v>-1675.91</v>
      </c>
      <c r="ER80" s="229">
        <v>-0.1545</v>
      </c>
      <c r="ES80" s="231">
        <v>5530.81</v>
      </c>
      <c r="ET80" s="231">
        <v>2829.9</v>
      </c>
      <c r="EU80" s="231">
        <v>26375.03</v>
      </c>
      <c r="EV80" s="231">
        <v>1496665645</v>
      </c>
      <c r="EW80" s="231">
        <v>34735.74</v>
      </c>
      <c r="EX80" s="231">
        <v>33826.660000000003</v>
      </c>
      <c r="EY80" s="228">
        <v>909.08</v>
      </c>
      <c r="EZ80" s="229">
        <v>2.69E-2</v>
      </c>
      <c r="FA80" s="229">
        <v>0.29480000000000001</v>
      </c>
      <c r="FB80" s="227" t="s">
        <v>555</v>
      </c>
      <c r="FC80">
        <f t="shared" si="1"/>
        <v>6327</v>
      </c>
    </row>
    <row r="81" spans="1:159" ht="17.25" thickBot="1" x14ac:dyDescent="0.3">
      <c r="A81" s="226">
        <v>46146</v>
      </c>
      <c r="B81" s="227" t="s">
        <v>175</v>
      </c>
      <c r="C81" s="227" t="s">
        <v>225</v>
      </c>
      <c r="D81" s="228">
        <v>1100</v>
      </c>
      <c r="E81" s="228">
        <v>22</v>
      </c>
      <c r="F81" s="228">
        <v>591.75</v>
      </c>
      <c r="G81" s="228">
        <v>590</v>
      </c>
      <c r="H81" s="228">
        <v>1.75</v>
      </c>
      <c r="I81" s="229">
        <v>3.0000000000000001E-3</v>
      </c>
      <c r="J81" s="228">
        <v>588.35</v>
      </c>
      <c r="K81" s="228">
        <v>586.9</v>
      </c>
      <c r="L81" s="228">
        <v>1.45</v>
      </c>
      <c r="M81" s="229">
        <v>2.5000000000000001E-3</v>
      </c>
      <c r="N81" s="228">
        <v>591.75</v>
      </c>
      <c r="O81" s="228">
        <v>590</v>
      </c>
      <c r="P81" s="228">
        <v>1.75</v>
      </c>
      <c r="Q81" s="229">
        <v>3.0000000000000001E-3</v>
      </c>
      <c r="R81" s="228">
        <v>593.45000000000005</v>
      </c>
      <c r="S81" s="228">
        <v>590.85</v>
      </c>
      <c r="T81" s="228">
        <v>2.6</v>
      </c>
      <c r="U81" s="229">
        <v>4.4000000000000003E-3</v>
      </c>
      <c r="V81" s="228">
        <v>597.70000000000005</v>
      </c>
      <c r="W81" s="228">
        <v>594.04999999999995</v>
      </c>
      <c r="X81" s="228">
        <v>3.65</v>
      </c>
      <c r="Y81" s="229">
        <v>6.1000000000000004E-3</v>
      </c>
      <c r="Z81" s="228">
        <v>3.4</v>
      </c>
      <c r="AA81" s="228">
        <v>3.1</v>
      </c>
      <c r="AB81" s="228">
        <v>0.3</v>
      </c>
      <c r="AC81" s="229">
        <v>5.7999999999999996E-3</v>
      </c>
      <c r="AD81" s="228">
        <v>3.4</v>
      </c>
      <c r="AE81" s="228">
        <v>3.1</v>
      </c>
      <c r="AF81" s="228">
        <v>0.3</v>
      </c>
      <c r="AG81" s="229">
        <v>5.7999999999999996E-3</v>
      </c>
      <c r="AH81" s="228">
        <v>5.0999999999999996</v>
      </c>
      <c r="AI81" s="228">
        <v>3.95</v>
      </c>
      <c r="AJ81" s="228">
        <v>1.1499999999999999</v>
      </c>
      <c r="AK81" s="229">
        <v>8.6999999999999994E-3</v>
      </c>
      <c r="AL81" s="228">
        <v>9.35</v>
      </c>
      <c r="AM81" s="228">
        <v>7.15</v>
      </c>
      <c r="AN81" s="228">
        <v>2.2000000000000002</v>
      </c>
      <c r="AO81" s="229">
        <v>1.5900000000000001E-2</v>
      </c>
      <c r="AP81" s="228">
        <v>592.67999999999995</v>
      </c>
      <c r="AQ81" s="228">
        <v>593.51</v>
      </c>
      <c r="AR81" s="228">
        <v>0</v>
      </c>
      <c r="AS81" s="228">
        <v>159</v>
      </c>
      <c r="AT81" s="228">
        <v>261</v>
      </c>
      <c r="AU81" s="228">
        <v>-103</v>
      </c>
      <c r="AV81" s="229">
        <v>-0.3926</v>
      </c>
      <c r="AW81" s="228">
        <v>134</v>
      </c>
      <c r="AX81" s="228">
        <v>237</v>
      </c>
      <c r="AY81" s="228">
        <v>-103</v>
      </c>
      <c r="AZ81" s="229">
        <v>-0.435</v>
      </c>
      <c r="BA81" s="228">
        <v>23</v>
      </c>
      <c r="BB81" s="228">
        <v>22</v>
      </c>
      <c r="BC81" s="228">
        <v>2</v>
      </c>
      <c r="BD81" s="229">
        <v>7.2499999999999995E-2</v>
      </c>
      <c r="BE81" s="228">
        <v>2</v>
      </c>
      <c r="BF81" s="228">
        <v>3</v>
      </c>
      <c r="BG81" s="228">
        <v>-1</v>
      </c>
      <c r="BH81" s="229">
        <v>-0.38100000000000001</v>
      </c>
      <c r="BI81" s="228">
        <v>466</v>
      </c>
      <c r="BJ81" s="228">
        <v>761</v>
      </c>
      <c r="BK81" s="228">
        <v>-295</v>
      </c>
      <c r="BL81" s="229">
        <v>-0.38800000000000001</v>
      </c>
      <c r="BM81" s="228">
        <v>244</v>
      </c>
      <c r="BN81" s="228">
        <v>408</v>
      </c>
      <c r="BO81" s="228">
        <v>-164</v>
      </c>
      <c r="BP81" s="229">
        <v>-0.40279999999999999</v>
      </c>
      <c r="BQ81" s="228">
        <v>868</v>
      </c>
      <c r="BR81" s="230">
        <v>1431</v>
      </c>
      <c r="BS81" s="228">
        <v>-562</v>
      </c>
      <c r="BT81" s="229">
        <v>-0.39300000000000002</v>
      </c>
      <c r="BU81" s="230">
        <v>2695028</v>
      </c>
      <c r="BV81" s="230">
        <v>6378607</v>
      </c>
      <c r="BW81" s="230">
        <v>-3683579</v>
      </c>
      <c r="BX81" s="229">
        <v>-0.57750000000000001</v>
      </c>
      <c r="BY81" s="230">
        <v>2624</v>
      </c>
      <c r="BZ81" s="230">
        <v>2578</v>
      </c>
      <c r="CA81" s="228">
        <v>46</v>
      </c>
      <c r="CB81" s="229">
        <v>1.7999999999999999E-2</v>
      </c>
      <c r="CC81" s="230">
        <v>2369</v>
      </c>
      <c r="CD81" s="230">
        <v>2336</v>
      </c>
      <c r="CE81" s="228">
        <v>33</v>
      </c>
      <c r="CF81" s="229">
        <v>1.43E-2</v>
      </c>
      <c r="CG81" s="228">
        <v>252</v>
      </c>
      <c r="CH81" s="228">
        <v>240</v>
      </c>
      <c r="CI81" s="228">
        <v>12</v>
      </c>
      <c r="CJ81" s="229">
        <v>5.0500000000000003E-2</v>
      </c>
      <c r="CK81" s="228">
        <v>3</v>
      </c>
      <c r="CL81" s="228">
        <v>2</v>
      </c>
      <c r="CM81" s="228">
        <v>1</v>
      </c>
      <c r="CN81" s="229">
        <v>0.4</v>
      </c>
      <c r="CO81" s="228">
        <v>812</v>
      </c>
      <c r="CP81" s="228">
        <v>736</v>
      </c>
      <c r="CQ81" s="228">
        <v>76</v>
      </c>
      <c r="CR81" s="229">
        <v>0.10299999999999999</v>
      </c>
      <c r="CS81" s="228">
        <v>498</v>
      </c>
      <c r="CT81" s="228">
        <v>461</v>
      </c>
      <c r="CU81" s="228">
        <v>37</v>
      </c>
      <c r="CV81" s="229">
        <v>8.1000000000000003E-2</v>
      </c>
      <c r="CW81" s="230">
        <v>3934</v>
      </c>
      <c r="CX81" s="230">
        <v>3775</v>
      </c>
      <c r="CY81" s="228">
        <v>160</v>
      </c>
      <c r="CZ81" s="229">
        <v>4.2299999999999997E-2</v>
      </c>
      <c r="DA81" s="228">
        <v>27.55</v>
      </c>
      <c r="DB81" s="228">
        <v>27.33</v>
      </c>
      <c r="DC81" s="228">
        <v>0.22</v>
      </c>
      <c r="DD81" s="228">
        <v>0.22</v>
      </c>
      <c r="DE81" s="228">
        <v>27.56</v>
      </c>
      <c r="DF81" s="228">
        <v>27.63</v>
      </c>
      <c r="DG81" s="228">
        <v>-0.01</v>
      </c>
      <c r="DH81" s="228">
        <v>-7.0000000000000007E-2</v>
      </c>
      <c r="DI81" s="228">
        <v>27</v>
      </c>
      <c r="DJ81" s="228">
        <v>26.6</v>
      </c>
      <c r="DK81" s="228">
        <v>0.4</v>
      </c>
      <c r="DL81" s="228">
        <v>0.4</v>
      </c>
      <c r="DM81" s="228">
        <v>28.59</v>
      </c>
      <c r="DN81" s="228">
        <v>28.68</v>
      </c>
      <c r="DO81" s="228">
        <v>-0.09</v>
      </c>
      <c r="DP81" s="228">
        <v>-0.09</v>
      </c>
      <c r="DQ81" s="228">
        <v>0.61</v>
      </c>
      <c r="DR81" s="228">
        <v>0.63</v>
      </c>
      <c r="DS81" s="228">
        <v>-0.02</v>
      </c>
      <c r="DT81" s="229">
        <v>-3.1699999999999999E-2</v>
      </c>
      <c r="DU81" s="228">
        <v>600</v>
      </c>
      <c r="DV81" s="228">
        <v>560</v>
      </c>
      <c r="DW81" s="228">
        <v>0.52</v>
      </c>
      <c r="DX81" s="228">
        <v>0.54</v>
      </c>
      <c r="DY81" s="228">
        <v>-0.02</v>
      </c>
      <c r="DZ81" s="229">
        <v>-3.6999999999999998E-2</v>
      </c>
      <c r="EA81" s="229">
        <v>9.7199999999999995E-2</v>
      </c>
      <c r="EB81" s="230">
        <v>4090900</v>
      </c>
      <c r="EC81" s="229">
        <v>2.8999999999999998E-3</v>
      </c>
      <c r="ED81" s="229">
        <v>9.7199999999999995E-2</v>
      </c>
      <c r="EE81" s="228">
        <v>0.83</v>
      </c>
      <c r="EF81" s="229">
        <v>1.4E-3</v>
      </c>
      <c r="EG81" s="230">
        <v>1502853</v>
      </c>
      <c r="EH81" s="230">
        <v>4234431</v>
      </c>
      <c r="EI81" s="229">
        <v>-0.64510000000000001</v>
      </c>
      <c r="EJ81" s="229">
        <v>0.55759999999999998</v>
      </c>
      <c r="EK81" s="228">
        <v>493.73</v>
      </c>
      <c r="EL81" s="228">
        <v>237.22</v>
      </c>
      <c r="EM81" s="228">
        <v>159.12</v>
      </c>
      <c r="EN81" s="228">
        <v>104.67</v>
      </c>
      <c r="EO81" s="228">
        <v>890.07</v>
      </c>
      <c r="EP81" s="231">
        <v>1458.18</v>
      </c>
      <c r="EQ81" s="228">
        <v>-568.11</v>
      </c>
      <c r="ER81" s="229">
        <v>-0.3896</v>
      </c>
      <c r="ES81" s="228">
        <v>864.66</v>
      </c>
      <c r="ET81" s="228">
        <v>480.85</v>
      </c>
      <c r="EU81" s="231">
        <v>2625.02</v>
      </c>
      <c r="EV81" s="231">
        <v>156090005</v>
      </c>
      <c r="EW81" s="231">
        <v>3970.54</v>
      </c>
      <c r="EX81" s="231">
        <v>3799.84</v>
      </c>
      <c r="EY81" s="228">
        <v>170.7</v>
      </c>
      <c r="EZ81" s="229">
        <v>4.4900000000000002E-2</v>
      </c>
      <c r="FA81" s="229">
        <v>0.4259</v>
      </c>
      <c r="FB81" s="227" t="s">
        <v>555</v>
      </c>
      <c r="FC81">
        <f t="shared" si="1"/>
        <v>255</v>
      </c>
    </row>
    <row r="82" spans="1:159" ht="17.25" thickBot="1" x14ac:dyDescent="0.3">
      <c r="A82" s="226">
        <v>46146</v>
      </c>
      <c r="B82" s="227" t="s">
        <v>162</v>
      </c>
      <c r="C82" s="227" t="s">
        <v>226</v>
      </c>
      <c r="D82" s="228">
        <v>150</v>
      </c>
      <c r="E82" s="228">
        <v>22</v>
      </c>
      <c r="F82" s="231">
        <v>5082.5</v>
      </c>
      <c r="G82" s="231">
        <v>5124</v>
      </c>
      <c r="H82" s="228">
        <v>-41.5</v>
      </c>
      <c r="I82" s="229">
        <v>-8.0999999999999996E-3</v>
      </c>
      <c r="J82" s="231">
        <v>5066.5</v>
      </c>
      <c r="K82" s="231">
        <v>5099</v>
      </c>
      <c r="L82" s="228">
        <v>-32.5</v>
      </c>
      <c r="M82" s="229">
        <v>-6.4000000000000003E-3</v>
      </c>
      <c r="N82" s="231">
        <v>5082.5</v>
      </c>
      <c r="O82" s="231">
        <v>5124</v>
      </c>
      <c r="P82" s="228">
        <v>-41.5</v>
      </c>
      <c r="Q82" s="229">
        <v>-8.0999999999999996E-3</v>
      </c>
      <c r="R82" s="231">
        <v>5114.5</v>
      </c>
      <c r="S82" s="231">
        <v>5159</v>
      </c>
      <c r="T82" s="228">
        <v>-44.5</v>
      </c>
      <c r="U82" s="229">
        <v>-8.6E-3</v>
      </c>
      <c r="V82" s="231">
        <v>5091</v>
      </c>
      <c r="W82" s="231">
        <v>5133.5</v>
      </c>
      <c r="X82" s="228">
        <v>-42.5</v>
      </c>
      <c r="Y82" s="229">
        <v>-8.3000000000000001E-3</v>
      </c>
      <c r="Z82" s="228">
        <v>16</v>
      </c>
      <c r="AA82" s="228">
        <v>25</v>
      </c>
      <c r="AB82" s="228">
        <v>-9</v>
      </c>
      <c r="AC82" s="229">
        <v>3.2000000000000002E-3</v>
      </c>
      <c r="AD82" s="228">
        <v>16</v>
      </c>
      <c r="AE82" s="228">
        <v>25</v>
      </c>
      <c r="AF82" s="228">
        <v>-9</v>
      </c>
      <c r="AG82" s="229">
        <v>3.2000000000000002E-3</v>
      </c>
      <c r="AH82" s="228">
        <v>48</v>
      </c>
      <c r="AI82" s="228">
        <v>60</v>
      </c>
      <c r="AJ82" s="228">
        <v>-12</v>
      </c>
      <c r="AK82" s="229">
        <v>9.4999999999999998E-3</v>
      </c>
      <c r="AL82" s="228">
        <v>24.5</v>
      </c>
      <c r="AM82" s="228">
        <v>34.5</v>
      </c>
      <c r="AN82" s="228">
        <v>-10</v>
      </c>
      <c r="AO82" s="229">
        <v>4.7999999999999996E-3</v>
      </c>
      <c r="AP82" s="231">
        <v>5124.18</v>
      </c>
      <c r="AQ82" s="231">
        <v>5176.29</v>
      </c>
      <c r="AR82" s="228">
        <v>0</v>
      </c>
      <c r="AS82" s="228">
        <v>490</v>
      </c>
      <c r="AT82" s="228">
        <v>322</v>
      </c>
      <c r="AU82" s="228">
        <v>167</v>
      </c>
      <c r="AV82" s="229">
        <v>0.51959999999999995</v>
      </c>
      <c r="AW82" s="228">
        <v>463</v>
      </c>
      <c r="AX82" s="228">
        <v>309</v>
      </c>
      <c r="AY82" s="228">
        <v>154</v>
      </c>
      <c r="AZ82" s="229">
        <v>0.49719999999999998</v>
      </c>
      <c r="BA82" s="228">
        <v>23</v>
      </c>
      <c r="BB82" s="228">
        <v>12</v>
      </c>
      <c r="BC82" s="228">
        <v>11</v>
      </c>
      <c r="BD82" s="229">
        <v>0.97370000000000001</v>
      </c>
      <c r="BE82" s="228">
        <v>4</v>
      </c>
      <c r="BF82" s="228">
        <v>2</v>
      </c>
      <c r="BG82" s="228">
        <v>3</v>
      </c>
      <c r="BH82" s="229">
        <v>1.4782999999999999</v>
      </c>
      <c r="BI82" s="230">
        <v>1816</v>
      </c>
      <c r="BJ82" s="228">
        <v>981</v>
      </c>
      <c r="BK82" s="228">
        <v>835</v>
      </c>
      <c r="BL82" s="229">
        <v>0.85070000000000001</v>
      </c>
      <c r="BM82" s="228">
        <v>617</v>
      </c>
      <c r="BN82" s="228">
        <v>440</v>
      </c>
      <c r="BO82" s="228">
        <v>176</v>
      </c>
      <c r="BP82" s="229">
        <v>0.40029999999999999</v>
      </c>
      <c r="BQ82" s="230">
        <v>2922</v>
      </c>
      <c r="BR82" s="230">
        <v>1744</v>
      </c>
      <c r="BS82" s="230">
        <v>1178</v>
      </c>
      <c r="BT82" s="229">
        <v>0.67579999999999996</v>
      </c>
      <c r="BU82" s="230">
        <v>654995</v>
      </c>
      <c r="BV82" s="230">
        <v>492867</v>
      </c>
      <c r="BW82" s="230">
        <v>162128</v>
      </c>
      <c r="BX82" s="229">
        <v>0.32890000000000003</v>
      </c>
      <c r="BY82" s="230">
        <v>2269</v>
      </c>
      <c r="BZ82" s="230">
        <v>2197</v>
      </c>
      <c r="CA82" s="228">
        <v>72</v>
      </c>
      <c r="CB82" s="229">
        <v>3.2500000000000001E-2</v>
      </c>
      <c r="CC82" s="230">
        <v>2116</v>
      </c>
      <c r="CD82" s="230">
        <v>2057</v>
      </c>
      <c r="CE82" s="228">
        <v>60</v>
      </c>
      <c r="CF82" s="229">
        <v>2.9000000000000001E-2</v>
      </c>
      <c r="CG82" s="228">
        <v>148</v>
      </c>
      <c r="CH82" s="228">
        <v>139</v>
      </c>
      <c r="CI82" s="228">
        <v>9</v>
      </c>
      <c r="CJ82" s="229">
        <v>6.5799999999999997E-2</v>
      </c>
      <c r="CK82" s="228">
        <v>4</v>
      </c>
      <c r="CL82" s="228">
        <v>2</v>
      </c>
      <c r="CM82" s="228">
        <v>3</v>
      </c>
      <c r="CN82" s="229">
        <v>1.75</v>
      </c>
      <c r="CO82" s="228">
        <v>768</v>
      </c>
      <c r="CP82" s="228">
        <v>588</v>
      </c>
      <c r="CQ82" s="228">
        <v>179</v>
      </c>
      <c r="CR82" s="229">
        <v>0.30459999999999998</v>
      </c>
      <c r="CS82" s="228">
        <v>454</v>
      </c>
      <c r="CT82" s="228">
        <v>380</v>
      </c>
      <c r="CU82" s="228">
        <v>74</v>
      </c>
      <c r="CV82" s="229">
        <v>0.19470000000000001</v>
      </c>
      <c r="CW82" s="230">
        <v>3490</v>
      </c>
      <c r="CX82" s="230">
        <v>3166</v>
      </c>
      <c r="CY82" s="228">
        <v>325</v>
      </c>
      <c r="CZ82" s="229">
        <v>0.1026</v>
      </c>
      <c r="DA82" s="228">
        <v>36.42</v>
      </c>
      <c r="DB82" s="228">
        <v>34.93</v>
      </c>
      <c r="DC82" s="228">
        <v>1.49</v>
      </c>
      <c r="DD82" s="228">
        <v>1.49</v>
      </c>
      <c r="DE82" s="228">
        <v>33.25</v>
      </c>
      <c r="DF82" s="228">
        <v>33.32</v>
      </c>
      <c r="DG82" s="228">
        <v>3.17</v>
      </c>
      <c r="DH82" s="228">
        <v>-7.0000000000000007E-2</v>
      </c>
      <c r="DI82" s="228">
        <v>36.619999999999997</v>
      </c>
      <c r="DJ82" s="228">
        <v>35</v>
      </c>
      <c r="DK82" s="228">
        <v>1.62</v>
      </c>
      <c r="DL82" s="228">
        <v>1.62</v>
      </c>
      <c r="DM82" s="228">
        <v>35.83</v>
      </c>
      <c r="DN82" s="228">
        <v>34.78</v>
      </c>
      <c r="DO82" s="228">
        <v>1.05</v>
      </c>
      <c r="DP82" s="228">
        <v>1.05</v>
      </c>
      <c r="DQ82" s="228">
        <v>0.59</v>
      </c>
      <c r="DR82" s="228">
        <v>0.65</v>
      </c>
      <c r="DS82" s="228">
        <v>-0.06</v>
      </c>
      <c r="DT82" s="229">
        <v>-9.2299999999999993E-2</v>
      </c>
      <c r="DU82" s="231">
        <v>5500</v>
      </c>
      <c r="DV82" s="231">
        <v>5000</v>
      </c>
      <c r="DW82" s="228">
        <v>0.34</v>
      </c>
      <c r="DX82" s="228">
        <v>0.45</v>
      </c>
      <c r="DY82" s="228">
        <v>-0.11</v>
      </c>
      <c r="DZ82" s="229">
        <v>-0.24440000000000001</v>
      </c>
      <c r="EA82" s="229">
        <v>6.7199999999999996E-2</v>
      </c>
      <c r="EB82" s="230">
        <v>276600</v>
      </c>
      <c r="EC82" s="229">
        <v>6.3E-3</v>
      </c>
      <c r="ED82" s="229">
        <v>6.7199999999999996E-2</v>
      </c>
      <c r="EE82" s="228">
        <v>52.11</v>
      </c>
      <c r="EF82" s="229">
        <v>1.0200000000000001E-2</v>
      </c>
      <c r="EG82" s="230">
        <v>277261</v>
      </c>
      <c r="EH82" s="230">
        <v>230710</v>
      </c>
      <c r="EI82" s="229">
        <v>0.20180000000000001</v>
      </c>
      <c r="EJ82" s="229">
        <v>0.42330000000000001</v>
      </c>
      <c r="EK82" s="231">
        <v>1959.56</v>
      </c>
      <c r="EL82" s="228">
        <v>619.13</v>
      </c>
      <c r="EM82" s="228">
        <v>494.08</v>
      </c>
      <c r="EN82" s="228">
        <v>92.07</v>
      </c>
      <c r="EO82" s="231">
        <v>3072.77</v>
      </c>
      <c r="EP82" s="231">
        <v>1817.47</v>
      </c>
      <c r="EQ82" s="231">
        <v>1255.3</v>
      </c>
      <c r="ER82" s="229">
        <v>0.69069999999999998</v>
      </c>
      <c r="ES82" s="228">
        <v>814.75</v>
      </c>
      <c r="ET82" s="228">
        <v>442.75</v>
      </c>
      <c r="EU82" s="231">
        <v>2269.69</v>
      </c>
      <c r="EV82" s="231">
        <v>19589014</v>
      </c>
      <c r="EW82" s="231">
        <v>3527.2</v>
      </c>
      <c r="EX82" s="231">
        <v>3211.15</v>
      </c>
      <c r="EY82" s="228">
        <v>316.05</v>
      </c>
      <c r="EZ82" s="229">
        <v>9.8400000000000001E-2</v>
      </c>
      <c r="FA82" s="229">
        <v>0.35060000000000002</v>
      </c>
      <c r="FB82" s="227" t="s">
        <v>566</v>
      </c>
      <c r="FC82">
        <f t="shared" si="1"/>
        <v>153</v>
      </c>
    </row>
    <row r="83" spans="1:159" ht="17.25" thickBot="1" x14ac:dyDescent="0.3">
      <c r="A83" s="226">
        <v>46146</v>
      </c>
      <c r="B83" s="227" t="s">
        <v>227</v>
      </c>
      <c r="C83" s="227" t="s">
        <v>228</v>
      </c>
      <c r="D83" s="228">
        <v>700</v>
      </c>
      <c r="E83" s="228">
        <v>22</v>
      </c>
      <c r="F83" s="231">
        <v>1048.5</v>
      </c>
      <c r="G83" s="231">
        <v>1042.3</v>
      </c>
      <c r="H83" s="228">
        <v>6.2</v>
      </c>
      <c r="I83" s="229">
        <v>5.8999999999999999E-3</v>
      </c>
      <c r="J83" s="231">
        <v>1042.7</v>
      </c>
      <c r="K83" s="231">
        <v>1038</v>
      </c>
      <c r="L83" s="228">
        <v>4.7</v>
      </c>
      <c r="M83" s="229">
        <v>4.4999999999999997E-3</v>
      </c>
      <c r="N83" s="231">
        <v>1048.5</v>
      </c>
      <c r="O83" s="231">
        <v>1042.3</v>
      </c>
      <c r="P83" s="228">
        <v>6.2</v>
      </c>
      <c r="Q83" s="229">
        <v>5.8999999999999999E-3</v>
      </c>
      <c r="R83" s="231">
        <v>1055</v>
      </c>
      <c r="S83" s="231">
        <v>1047.9000000000001</v>
      </c>
      <c r="T83" s="228">
        <v>7.1</v>
      </c>
      <c r="U83" s="229">
        <v>6.7999999999999996E-3</v>
      </c>
      <c r="V83" s="231">
        <v>1059.0999999999999</v>
      </c>
      <c r="W83" s="231">
        <v>1055.0999999999999</v>
      </c>
      <c r="X83" s="228">
        <v>4</v>
      </c>
      <c r="Y83" s="229">
        <v>3.8E-3</v>
      </c>
      <c r="Z83" s="228">
        <v>5.8</v>
      </c>
      <c r="AA83" s="228">
        <v>4.3</v>
      </c>
      <c r="AB83" s="228">
        <v>1.5</v>
      </c>
      <c r="AC83" s="229">
        <v>5.5999999999999999E-3</v>
      </c>
      <c r="AD83" s="228">
        <v>5.8</v>
      </c>
      <c r="AE83" s="228">
        <v>4.3</v>
      </c>
      <c r="AF83" s="228">
        <v>1.5</v>
      </c>
      <c r="AG83" s="229">
        <v>5.5999999999999999E-3</v>
      </c>
      <c r="AH83" s="228">
        <v>12.3</v>
      </c>
      <c r="AI83" s="228">
        <v>9.9</v>
      </c>
      <c r="AJ83" s="228">
        <v>2.4</v>
      </c>
      <c r="AK83" s="229">
        <v>1.18E-2</v>
      </c>
      <c r="AL83" s="228">
        <v>16.399999999999999</v>
      </c>
      <c r="AM83" s="228">
        <v>17.100000000000001</v>
      </c>
      <c r="AN83" s="228">
        <v>-0.7</v>
      </c>
      <c r="AO83" s="229">
        <v>1.5699999999999999E-2</v>
      </c>
      <c r="AP83" s="231">
        <v>1047.82</v>
      </c>
      <c r="AQ83" s="231">
        <v>1055.48</v>
      </c>
      <c r="AR83" s="228">
        <v>0</v>
      </c>
      <c r="AS83" s="228">
        <v>410</v>
      </c>
      <c r="AT83" s="228">
        <v>720</v>
      </c>
      <c r="AU83" s="228">
        <v>-310</v>
      </c>
      <c r="AV83" s="229">
        <v>-0.43099999999999999</v>
      </c>
      <c r="AW83" s="228">
        <v>369</v>
      </c>
      <c r="AX83" s="228">
        <v>689</v>
      </c>
      <c r="AY83" s="228">
        <v>-320</v>
      </c>
      <c r="AZ83" s="229">
        <v>-0.46489999999999998</v>
      </c>
      <c r="BA83" s="228">
        <v>41</v>
      </c>
      <c r="BB83" s="228">
        <v>27</v>
      </c>
      <c r="BC83" s="228">
        <v>14</v>
      </c>
      <c r="BD83" s="229">
        <v>0.496</v>
      </c>
      <c r="BE83" s="228">
        <v>1</v>
      </c>
      <c r="BF83" s="228">
        <v>4</v>
      </c>
      <c r="BG83" s="228">
        <v>-4</v>
      </c>
      <c r="BH83" s="229">
        <v>-0.86439999999999995</v>
      </c>
      <c r="BI83" s="228">
        <v>974</v>
      </c>
      <c r="BJ83" s="228">
        <v>994</v>
      </c>
      <c r="BK83" s="228">
        <v>-20</v>
      </c>
      <c r="BL83" s="229">
        <v>-2.0400000000000001E-2</v>
      </c>
      <c r="BM83" s="228">
        <v>584</v>
      </c>
      <c r="BN83" s="228">
        <v>846</v>
      </c>
      <c r="BO83" s="228">
        <v>-262</v>
      </c>
      <c r="BP83" s="229">
        <v>-0.30969999999999998</v>
      </c>
      <c r="BQ83" s="230">
        <v>1968</v>
      </c>
      <c r="BR83" s="230">
        <v>2561</v>
      </c>
      <c r="BS83" s="228">
        <v>-593</v>
      </c>
      <c r="BT83" s="229">
        <v>-0.23150000000000001</v>
      </c>
      <c r="BU83" s="230">
        <v>3432608</v>
      </c>
      <c r="BV83" s="230">
        <v>4507546</v>
      </c>
      <c r="BW83" s="230">
        <v>-1074938</v>
      </c>
      <c r="BX83" s="229">
        <v>-0.23849999999999999</v>
      </c>
      <c r="BY83" s="230">
        <v>3573</v>
      </c>
      <c r="BZ83" s="230">
        <v>3558</v>
      </c>
      <c r="CA83" s="228">
        <v>14</v>
      </c>
      <c r="CB83" s="229">
        <v>4.0000000000000001E-3</v>
      </c>
      <c r="CC83" s="230">
        <v>3235</v>
      </c>
      <c r="CD83" s="230">
        <v>3245</v>
      </c>
      <c r="CE83" s="228">
        <v>-11</v>
      </c>
      <c r="CF83" s="229">
        <v>-3.3E-3</v>
      </c>
      <c r="CG83" s="228">
        <v>335</v>
      </c>
      <c r="CH83" s="228">
        <v>310</v>
      </c>
      <c r="CI83" s="228">
        <v>25</v>
      </c>
      <c r="CJ83" s="229">
        <v>7.9500000000000001E-2</v>
      </c>
      <c r="CK83" s="228">
        <v>4</v>
      </c>
      <c r="CL83" s="228">
        <v>3</v>
      </c>
      <c r="CM83" s="228">
        <v>1</v>
      </c>
      <c r="CN83" s="229">
        <v>0.16669999999999999</v>
      </c>
      <c r="CO83" s="228">
        <v>656</v>
      </c>
      <c r="CP83" s="228">
        <v>570</v>
      </c>
      <c r="CQ83" s="228">
        <v>86</v>
      </c>
      <c r="CR83" s="229">
        <v>0.15140000000000001</v>
      </c>
      <c r="CS83" s="228">
        <v>498</v>
      </c>
      <c r="CT83" s="228">
        <v>431</v>
      </c>
      <c r="CU83" s="228">
        <v>67</v>
      </c>
      <c r="CV83" s="229">
        <v>0.15509999999999999</v>
      </c>
      <c r="CW83" s="230">
        <v>4726</v>
      </c>
      <c r="CX83" s="230">
        <v>4559</v>
      </c>
      <c r="CY83" s="228">
        <v>167</v>
      </c>
      <c r="CZ83" s="229">
        <v>3.6700000000000003E-2</v>
      </c>
      <c r="DA83" s="228">
        <v>34.78</v>
      </c>
      <c r="DB83" s="228">
        <v>33.86</v>
      </c>
      <c r="DC83" s="228">
        <v>0.92</v>
      </c>
      <c r="DD83" s="228">
        <v>0.92</v>
      </c>
      <c r="DE83" s="228">
        <v>36.19</v>
      </c>
      <c r="DF83" s="228">
        <v>36.28</v>
      </c>
      <c r="DG83" s="228">
        <v>-1.41</v>
      </c>
      <c r="DH83" s="228">
        <v>-0.09</v>
      </c>
      <c r="DI83" s="228">
        <v>34.49</v>
      </c>
      <c r="DJ83" s="228">
        <v>34.04</v>
      </c>
      <c r="DK83" s="228">
        <v>0.45</v>
      </c>
      <c r="DL83" s="228">
        <v>0.45</v>
      </c>
      <c r="DM83" s="228">
        <v>35.26</v>
      </c>
      <c r="DN83" s="228">
        <v>33.64</v>
      </c>
      <c r="DO83" s="228">
        <v>1.62</v>
      </c>
      <c r="DP83" s="228">
        <v>1.62</v>
      </c>
      <c r="DQ83" s="228">
        <v>0.76</v>
      </c>
      <c r="DR83" s="228">
        <v>0.76</v>
      </c>
      <c r="DS83" s="228">
        <v>0</v>
      </c>
      <c r="DT83" s="229">
        <v>0</v>
      </c>
      <c r="DU83" s="231">
        <v>1070</v>
      </c>
      <c r="DV83" s="231">
        <v>1000</v>
      </c>
      <c r="DW83" s="228">
        <v>0.6</v>
      </c>
      <c r="DX83" s="228">
        <v>0.85</v>
      </c>
      <c r="DY83" s="228">
        <v>-0.25</v>
      </c>
      <c r="DZ83" s="229">
        <v>-0.29409999999999997</v>
      </c>
      <c r="EA83" s="229">
        <v>9.4700000000000006E-2</v>
      </c>
      <c r="EB83" s="230">
        <v>2986900</v>
      </c>
      <c r="EC83" s="229">
        <v>6.1999999999999998E-3</v>
      </c>
      <c r="ED83" s="229">
        <v>9.4700000000000006E-2</v>
      </c>
      <c r="EE83" s="228">
        <v>7.66</v>
      </c>
      <c r="EF83" s="229">
        <v>7.3000000000000001E-3</v>
      </c>
      <c r="EG83" s="230">
        <v>2033479</v>
      </c>
      <c r="EH83" s="230">
        <v>2539368</v>
      </c>
      <c r="EI83" s="229">
        <v>-0.19919999999999999</v>
      </c>
      <c r="EJ83" s="229">
        <v>0.59240000000000004</v>
      </c>
      <c r="EK83" s="231">
        <v>1030.03</v>
      </c>
      <c r="EL83" s="228">
        <v>583.24</v>
      </c>
      <c r="EM83" s="228">
        <v>409.87</v>
      </c>
      <c r="EN83" s="228">
        <v>165.39</v>
      </c>
      <c r="EO83" s="231">
        <v>2023.15</v>
      </c>
      <c r="EP83" s="231">
        <v>2626.8</v>
      </c>
      <c r="EQ83" s="228">
        <v>-603.64</v>
      </c>
      <c r="ER83" s="229">
        <v>-0.2298</v>
      </c>
      <c r="ES83" s="228">
        <v>678.4</v>
      </c>
      <c r="ET83" s="228">
        <v>475.66</v>
      </c>
      <c r="EU83" s="231">
        <v>3574.98</v>
      </c>
      <c r="EV83" s="231">
        <v>218611634</v>
      </c>
      <c r="EW83" s="231">
        <v>4729.04</v>
      </c>
      <c r="EX83" s="231">
        <v>4536.76</v>
      </c>
      <c r="EY83" s="228">
        <v>192.28</v>
      </c>
      <c r="EZ83" s="229">
        <v>4.24E-2</v>
      </c>
      <c r="FA83" s="229">
        <v>0.20619999999999999</v>
      </c>
      <c r="FB83" s="227" t="s">
        <v>555</v>
      </c>
      <c r="FC83">
        <f t="shared" si="1"/>
        <v>338</v>
      </c>
    </row>
    <row r="84" spans="1:159" ht="17.25" thickBot="1" x14ac:dyDescent="0.3">
      <c r="A84" s="226">
        <v>46146</v>
      </c>
      <c r="B84" s="227" t="s">
        <v>193</v>
      </c>
      <c r="C84" s="227" t="s">
        <v>229</v>
      </c>
      <c r="D84" s="228">
        <v>2025</v>
      </c>
      <c r="E84" s="228">
        <v>22</v>
      </c>
      <c r="F84" s="228">
        <v>376.1</v>
      </c>
      <c r="G84" s="228">
        <v>376.85</v>
      </c>
      <c r="H84" s="228">
        <v>-0.75</v>
      </c>
      <c r="I84" s="229">
        <v>-2E-3</v>
      </c>
      <c r="J84" s="228">
        <v>373.85</v>
      </c>
      <c r="K84" s="228">
        <v>374.55</v>
      </c>
      <c r="L84" s="228">
        <v>-0.7</v>
      </c>
      <c r="M84" s="229">
        <v>-1.9E-3</v>
      </c>
      <c r="N84" s="228">
        <v>376.1</v>
      </c>
      <c r="O84" s="228">
        <v>376.85</v>
      </c>
      <c r="P84" s="228">
        <v>-0.75</v>
      </c>
      <c r="Q84" s="229">
        <v>-2E-3</v>
      </c>
      <c r="R84" s="228">
        <v>378.35</v>
      </c>
      <c r="S84" s="228">
        <v>379.1</v>
      </c>
      <c r="T84" s="228">
        <v>-0.75</v>
      </c>
      <c r="U84" s="229">
        <v>-2E-3</v>
      </c>
      <c r="V84" s="228">
        <v>380</v>
      </c>
      <c r="W84" s="228">
        <v>379.35</v>
      </c>
      <c r="X84" s="228">
        <v>0.65</v>
      </c>
      <c r="Y84" s="229">
        <v>1.6999999999999999E-3</v>
      </c>
      <c r="Z84" s="228">
        <v>2.25</v>
      </c>
      <c r="AA84" s="228">
        <v>2.2999999999999998</v>
      </c>
      <c r="AB84" s="228">
        <v>-0.05</v>
      </c>
      <c r="AC84" s="229">
        <v>6.0000000000000001E-3</v>
      </c>
      <c r="AD84" s="228">
        <v>2.25</v>
      </c>
      <c r="AE84" s="228">
        <v>2.2999999999999998</v>
      </c>
      <c r="AF84" s="228">
        <v>-0.05</v>
      </c>
      <c r="AG84" s="229">
        <v>6.0000000000000001E-3</v>
      </c>
      <c r="AH84" s="228">
        <v>4.5</v>
      </c>
      <c r="AI84" s="228">
        <v>4.55</v>
      </c>
      <c r="AJ84" s="228">
        <v>-0.05</v>
      </c>
      <c r="AK84" s="229">
        <v>1.2E-2</v>
      </c>
      <c r="AL84" s="228">
        <v>6.15</v>
      </c>
      <c r="AM84" s="228">
        <v>4.8</v>
      </c>
      <c r="AN84" s="228">
        <v>1.35</v>
      </c>
      <c r="AO84" s="229">
        <v>1.6500000000000001E-2</v>
      </c>
      <c r="AP84" s="228">
        <v>377.71</v>
      </c>
      <c r="AQ84" s="228">
        <v>379.86</v>
      </c>
      <c r="AR84" s="228">
        <v>0</v>
      </c>
      <c r="AS84" s="228">
        <v>215</v>
      </c>
      <c r="AT84" s="228">
        <v>290</v>
      </c>
      <c r="AU84" s="228">
        <v>-75</v>
      </c>
      <c r="AV84" s="229">
        <v>-0.25940000000000002</v>
      </c>
      <c r="AW84" s="228">
        <v>205</v>
      </c>
      <c r="AX84" s="228">
        <v>281</v>
      </c>
      <c r="AY84" s="228">
        <v>-76</v>
      </c>
      <c r="AZ84" s="229">
        <v>-0.26939999999999997</v>
      </c>
      <c r="BA84" s="228">
        <v>9</v>
      </c>
      <c r="BB84" s="228">
        <v>8</v>
      </c>
      <c r="BC84" s="228">
        <v>1</v>
      </c>
      <c r="BD84" s="229">
        <v>0.1414</v>
      </c>
      <c r="BE84" s="228">
        <v>1</v>
      </c>
      <c r="BF84" s="228">
        <v>2</v>
      </c>
      <c r="BG84" s="228">
        <v>-1</v>
      </c>
      <c r="BH84" s="229">
        <v>-0.4</v>
      </c>
      <c r="BI84" s="228">
        <v>288</v>
      </c>
      <c r="BJ84" s="228">
        <v>345</v>
      </c>
      <c r="BK84" s="228">
        <v>-58</v>
      </c>
      <c r="BL84" s="229">
        <v>-0.16719999999999999</v>
      </c>
      <c r="BM84" s="228">
        <v>274</v>
      </c>
      <c r="BN84" s="228">
        <v>295</v>
      </c>
      <c r="BO84" s="228">
        <v>-21</v>
      </c>
      <c r="BP84" s="229">
        <v>-7.2099999999999997E-2</v>
      </c>
      <c r="BQ84" s="228">
        <v>776</v>
      </c>
      <c r="BR84" s="228">
        <v>930</v>
      </c>
      <c r="BS84" s="228">
        <v>-154</v>
      </c>
      <c r="BT84" s="229">
        <v>-0.1658</v>
      </c>
      <c r="BU84" s="230">
        <v>7530207</v>
      </c>
      <c r="BV84" s="230">
        <v>5554027</v>
      </c>
      <c r="BW84" s="230">
        <v>1976180</v>
      </c>
      <c r="BX84" s="229">
        <v>0.35580000000000001</v>
      </c>
      <c r="BY84" s="230">
        <v>1414</v>
      </c>
      <c r="BZ84" s="230">
        <v>1347</v>
      </c>
      <c r="CA84" s="228">
        <v>66</v>
      </c>
      <c r="CB84" s="229">
        <v>4.9099999999999998E-2</v>
      </c>
      <c r="CC84" s="230">
        <v>1365</v>
      </c>
      <c r="CD84" s="230">
        <v>1302</v>
      </c>
      <c r="CE84" s="228">
        <v>62</v>
      </c>
      <c r="CF84" s="229">
        <v>4.7899999999999998E-2</v>
      </c>
      <c r="CG84" s="228">
        <v>48</v>
      </c>
      <c r="CH84" s="228">
        <v>44</v>
      </c>
      <c r="CI84" s="228">
        <v>3</v>
      </c>
      <c r="CJ84" s="229">
        <v>7.7200000000000005E-2</v>
      </c>
      <c r="CK84" s="228">
        <v>1</v>
      </c>
      <c r="CL84" s="228">
        <v>1</v>
      </c>
      <c r="CM84" s="228">
        <v>0</v>
      </c>
      <c r="CN84" s="229">
        <v>0.5</v>
      </c>
      <c r="CO84" s="228">
        <v>371</v>
      </c>
      <c r="CP84" s="228">
        <v>323</v>
      </c>
      <c r="CQ84" s="228">
        <v>48</v>
      </c>
      <c r="CR84" s="229">
        <v>0.1479</v>
      </c>
      <c r="CS84" s="228">
        <v>426</v>
      </c>
      <c r="CT84" s="228">
        <v>338</v>
      </c>
      <c r="CU84" s="228">
        <v>88</v>
      </c>
      <c r="CV84" s="229">
        <v>0.2586</v>
      </c>
      <c r="CW84" s="230">
        <v>2210</v>
      </c>
      <c r="CX84" s="230">
        <v>2009</v>
      </c>
      <c r="CY84" s="228">
        <v>201</v>
      </c>
      <c r="CZ84" s="229">
        <v>0.1003</v>
      </c>
      <c r="DA84" s="228">
        <v>45.47</v>
      </c>
      <c r="DB84" s="228">
        <v>45.91</v>
      </c>
      <c r="DC84" s="228">
        <v>-0.44</v>
      </c>
      <c r="DD84" s="228">
        <v>-0.44</v>
      </c>
      <c r="DE84" s="228">
        <v>43.53</v>
      </c>
      <c r="DF84" s="228">
        <v>43.64</v>
      </c>
      <c r="DG84" s="228">
        <v>1.94</v>
      </c>
      <c r="DH84" s="228">
        <v>-0.11</v>
      </c>
      <c r="DI84" s="228">
        <v>44.7</v>
      </c>
      <c r="DJ84" s="228">
        <v>45.53</v>
      </c>
      <c r="DK84" s="228">
        <v>-0.83</v>
      </c>
      <c r="DL84" s="228">
        <v>-0.83</v>
      </c>
      <c r="DM84" s="228">
        <v>46.28</v>
      </c>
      <c r="DN84" s="228">
        <v>46.36</v>
      </c>
      <c r="DO84" s="228">
        <v>-0.08</v>
      </c>
      <c r="DP84" s="228">
        <v>-0.08</v>
      </c>
      <c r="DQ84" s="228">
        <v>1.1499999999999999</v>
      </c>
      <c r="DR84" s="228">
        <v>1.05</v>
      </c>
      <c r="DS84" s="228">
        <v>0.1</v>
      </c>
      <c r="DT84" s="229">
        <v>9.5200000000000007E-2</v>
      </c>
      <c r="DU84" s="228">
        <v>400</v>
      </c>
      <c r="DV84" s="228">
        <v>380</v>
      </c>
      <c r="DW84" s="228">
        <v>0.95</v>
      </c>
      <c r="DX84" s="228">
        <v>0.85</v>
      </c>
      <c r="DY84" s="228">
        <v>0.1</v>
      </c>
      <c r="DZ84" s="229">
        <v>0.1176</v>
      </c>
      <c r="EA84" s="229">
        <v>3.4599999999999999E-2</v>
      </c>
      <c r="EB84" s="230">
        <v>1200825</v>
      </c>
      <c r="EC84" s="229">
        <v>6.0000000000000001E-3</v>
      </c>
      <c r="ED84" s="229">
        <v>3.4599999999999999E-2</v>
      </c>
      <c r="EE84" s="228">
        <v>2.15</v>
      </c>
      <c r="EF84" s="229">
        <v>5.7000000000000002E-3</v>
      </c>
      <c r="EG84" s="230">
        <v>4577560</v>
      </c>
      <c r="EH84" s="230">
        <v>2581958</v>
      </c>
      <c r="EI84" s="229">
        <v>0.77290000000000003</v>
      </c>
      <c r="EJ84" s="229">
        <v>0.6079</v>
      </c>
      <c r="EK84" s="228">
        <v>309.64999999999998</v>
      </c>
      <c r="EL84" s="228">
        <v>264.70999999999998</v>
      </c>
      <c r="EM84" s="228">
        <v>215.98</v>
      </c>
      <c r="EN84" s="228">
        <v>75.739999999999995</v>
      </c>
      <c r="EO84" s="228">
        <v>790.34</v>
      </c>
      <c r="EP84" s="228">
        <v>953.78</v>
      </c>
      <c r="EQ84" s="228">
        <v>-163.44</v>
      </c>
      <c r="ER84" s="229">
        <v>-0.1714</v>
      </c>
      <c r="ES84" s="228">
        <v>389.42</v>
      </c>
      <c r="ET84" s="228">
        <v>410.12</v>
      </c>
      <c r="EU84" s="231">
        <v>1413.91</v>
      </c>
      <c r="EV84" s="231">
        <v>143933168</v>
      </c>
      <c r="EW84" s="231">
        <v>2213.4499999999998</v>
      </c>
      <c r="EX84" s="231">
        <v>2020.29</v>
      </c>
      <c r="EY84" s="228">
        <v>193.16</v>
      </c>
      <c r="EZ84" s="229">
        <v>9.5600000000000004E-2</v>
      </c>
      <c r="FA84" s="229">
        <v>0.4083</v>
      </c>
      <c r="FB84" s="227" t="s">
        <v>566</v>
      </c>
      <c r="FC84">
        <f t="shared" si="1"/>
        <v>49</v>
      </c>
    </row>
    <row r="85" spans="1:159" ht="17.25" thickBot="1" x14ac:dyDescent="0.3">
      <c r="A85" s="226">
        <v>46146</v>
      </c>
      <c r="B85" s="227" t="s">
        <v>168</v>
      </c>
      <c r="C85" s="227" t="s">
        <v>230</v>
      </c>
      <c r="D85" s="228">
        <v>300</v>
      </c>
      <c r="E85" s="228">
        <v>22</v>
      </c>
      <c r="F85" s="231">
        <v>2320.1999999999998</v>
      </c>
      <c r="G85" s="231">
        <v>2259.6999999999998</v>
      </c>
      <c r="H85" s="228">
        <v>60.5</v>
      </c>
      <c r="I85" s="229">
        <v>2.6800000000000001E-2</v>
      </c>
      <c r="J85" s="231">
        <v>2309.3000000000002</v>
      </c>
      <c r="K85" s="231">
        <v>2250.9</v>
      </c>
      <c r="L85" s="228">
        <v>58.4</v>
      </c>
      <c r="M85" s="229">
        <v>2.5899999999999999E-2</v>
      </c>
      <c r="N85" s="231">
        <v>2320.1999999999998</v>
      </c>
      <c r="O85" s="231">
        <v>2259.6999999999998</v>
      </c>
      <c r="P85" s="228">
        <v>60.5</v>
      </c>
      <c r="Q85" s="229">
        <v>2.6800000000000001E-2</v>
      </c>
      <c r="R85" s="231">
        <v>2310.5</v>
      </c>
      <c r="S85" s="231">
        <v>2248.1</v>
      </c>
      <c r="T85" s="228">
        <v>62.4</v>
      </c>
      <c r="U85" s="229">
        <v>2.7799999999999998E-2</v>
      </c>
      <c r="V85" s="231">
        <v>2323.3000000000002</v>
      </c>
      <c r="W85" s="231">
        <v>2262.5</v>
      </c>
      <c r="X85" s="228">
        <v>60.8</v>
      </c>
      <c r="Y85" s="229">
        <v>2.69E-2</v>
      </c>
      <c r="Z85" s="228">
        <v>10.9</v>
      </c>
      <c r="AA85" s="228">
        <v>8.8000000000000007</v>
      </c>
      <c r="AB85" s="228">
        <v>2.1</v>
      </c>
      <c r="AC85" s="229">
        <v>4.7000000000000002E-3</v>
      </c>
      <c r="AD85" s="228">
        <v>10.9</v>
      </c>
      <c r="AE85" s="228">
        <v>8.8000000000000007</v>
      </c>
      <c r="AF85" s="228">
        <v>2.1</v>
      </c>
      <c r="AG85" s="229">
        <v>4.7000000000000002E-3</v>
      </c>
      <c r="AH85" s="228">
        <v>1.2</v>
      </c>
      <c r="AI85" s="228">
        <v>-2.8</v>
      </c>
      <c r="AJ85" s="228">
        <v>4</v>
      </c>
      <c r="AK85" s="229">
        <v>5.0000000000000001E-4</v>
      </c>
      <c r="AL85" s="228">
        <v>14</v>
      </c>
      <c r="AM85" s="228">
        <v>11.6</v>
      </c>
      <c r="AN85" s="228">
        <v>2.4</v>
      </c>
      <c r="AO85" s="229">
        <v>6.1000000000000004E-3</v>
      </c>
      <c r="AP85" s="231">
        <v>2340.15</v>
      </c>
      <c r="AQ85" s="231">
        <v>2331.87</v>
      </c>
      <c r="AR85" s="228">
        <v>0</v>
      </c>
      <c r="AS85" s="230">
        <v>1038</v>
      </c>
      <c r="AT85" s="230">
        <v>2370</v>
      </c>
      <c r="AU85" s="230">
        <v>-1331</v>
      </c>
      <c r="AV85" s="229">
        <v>-0.56189999999999996</v>
      </c>
      <c r="AW85" s="228">
        <v>970</v>
      </c>
      <c r="AX85" s="230">
        <v>2249</v>
      </c>
      <c r="AY85" s="230">
        <v>-1279</v>
      </c>
      <c r="AZ85" s="229">
        <v>-0.56879999999999997</v>
      </c>
      <c r="BA85" s="228">
        <v>63</v>
      </c>
      <c r="BB85" s="228">
        <v>111</v>
      </c>
      <c r="BC85" s="228">
        <v>-48</v>
      </c>
      <c r="BD85" s="229">
        <v>-0.43630000000000002</v>
      </c>
      <c r="BE85" s="228">
        <v>6</v>
      </c>
      <c r="BF85" s="228">
        <v>10</v>
      </c>
      <c r="BG85" s="228">
        <v>-4</v>
      </c>
      <c r="BH85" s="229">
        <v>-0.38890000000000002</v>
      </c>
      <c r="BI85" s="230">
        <v>7061</v>
      </c>
      <c r="BJ85" s="230">
        <v>10240</v>
      </c>
      <c r="BK85" s="230">
        <v>-3178</v>
      </c>
      <c r="BL85" s="229">
        <v>-0.31040000000000001</v>
      </c>
      <c r="BM85" s="230">
        <v>3332</v>
      </c>
      <c r="BN85" s="230">
        <v>5167</v>
      </c>
      <c r="BO85" s="230">
        <v>-1835</v>
      </c>
      <c r="BP85" s="229">
        <v>-0.35510000000000003</v>
      </c>
      <c r="BQ85" s="230">
        <v>11432</v>
      </c>
      <c r="BR85" s="230">
        <v>17777</v>
      </c>
      <c r="BS85" s="230">
        <v>-6345</v>
      </c>
      <c r="BT85" s="229">
        <v>-0.3569</v>
      </c>
      <c r="BU85" s="230">
        <v>2665824</v>
      </c>
      <c r="BV85" s="230">
        <v>4739789</v>
      </c>
      <c r="BW85" s="230">
        <v>-2073965</v>
      </c>
      <c r="BX85" s="229">
        <v>-0.43759999999999999</v>
      </c>
      <c r="BY85" s="230">
        <v>3503</v>
      </c>
      <c r="BZ85" s="230">
        <v>3693</v>
      </c>
      <c r="CA85" s="228">
        <v>-189</v>
      </c>
      <c r="CB85" s="229">
        <v>-5.1299999999999998E-2</v>
      </c>
      <c r="CC85" s="230">
        <v>3355</v>
      </c>
      <c r="CD85" s="230">
        <v>3548</v>
      </c>
      <c r="CE85" s="228">
        <v>-193</v>
      </c>
      <c r="CF85" s="229">
        <v>-5.4300000000000001E-2</v>
      </c>
      <c r="CG85" s="228">
        <v>142</v>
      </c>
      <c r="CH85" s="228">
        <v>138</v>
      </c>
      <c r="CI85" s="228">
        <v>4</v>
      </c>
      <c r="CJ85" s="229">
        <v>2.6800000000000001E-2</v>
      </c>
      <c r="CK85" s="228">
        <v>7</v>
      </c>
      <c r="CL85" s="228">
        <v>7</v>
      </c>
      <c r="CM85" s="228">
        <v>-1</v>
      </c>
      <c r="CN85" s="229">
        <v>-7.6200000000000004E-2</v>
      </c>
      <c r="CO85" s="230">
        <v>1636</v>
      </c>
      <c r="CP85" s="230">
        <v>1669</v>
      </c>
      <c r="CQ85" s="228">
        <v>-33</v>
      </c>
      <c r="CR85" s="229">
        <v>-1.9900000000000001E-2</v>
      </c>
      <c r="CS85" s="228">
        <v>980</v>
      </c>
      <c r="CT85" s="228">
        <v>898</v>
      </c>
      <c r="CU85" s="228">
        <v>82</v>
      </c>
      <c r="CV85" s="229">
        <v>9.0999999999999998E-2</v>
      </c>
      <c r="CW85" s="230">
        <v>6119</v>
      </c>
      <c r="CX85" s="230">
        <v>6260</v>
      </c>
      <c r="CY85" s="228">
        <v>-141</v>
      </c>
      <c r="CZ85" s="229">
        <v>-2.2499999999999999E-2</v>
      </c>
      <c r="DA85" s="228">
        <v>23.55</v>
      </c>
      <c r="DB85" s="228">
        <v>25.61</v>
      </c>
      <c r="DC85" s="228">
        <v>-2.06</v>
      </c>
      <c r="DD85" s="228">
        <v>-2.06</v>
      </c>
      <c r="DE85" s="228">
        <v>24.8</v>
      </c>
      <c r="DF85" s="228">
        <v>24.62</v>
      </c>
      <c r="DG85" s="228">
        <v>-1.25</v>
      </c>
      <c r="DH85" s="228">
        <v>0.18</v>
      </c>
      <c r="DI85" s="228">
        <v>23.47</v>
      </c>
      <c r="DJ85" s="228">
        <v>25.76</v>
      </c>
      <c r="DK85" s="228">
        <v>-2.29</v>
      </c>
      <c r="DL85" s="228">
        <v>-2.29</v>
      </c>
      <c r="DM85" s="228">
        <v>23.71</v>
      </c>
      <c r="DN85" s="228">
        <v>25.33</v>
      </c>
      <c r="DO85" s="228">
        <v>-1.62</v>
      </c>
      <c r="DP85" s="228">
        <v>-1.62</v>
      </c>
      <c r="DQ85" s="228">
        <v>0.6</v>
      </c>
      <c r="DR85" s="228">
        <v>0.54</v>
      </c>
      <c r="DS85" s="228">
        <v>0.06</v>
      </c>
      <c r="DT85" s="229">
        <v>0.1111</v>
      </c>
      <c r="DU85" s="231">
        <v>2400</v>
      </c>
      <c r="DV85" s="231">
        <v>2300</v>
      </c>
      <c r="DW85" s="228">
        <v>0.47</v>
      </c>
      <c r="DX85" s="228">
        <v>0.5</v>
      </c>
      <c r="DY85" s="228">
        <v>-0.03</v>
      </c>
      <c r="DZ85" s="229">
        <v>-0.06</v>
      </c>
      <c r="EA85" s="229">
        <v>4.2299999999999997E-2</v>
      </c>
      <c r="EB85" s="230">
        <v>625800</v>
      </c>
      <c r="EC85" s="229">
        <v>-4.1999999999999997E-3</v>
      </c>
      <c r="ED85" s="229">
        <v>4.2299999999999997E-2</v>
      </c>
      <c r="EE85" s="228">
        <v>-8.2799999999999994</v>
      </c>
      <c r="EF85" s="229">
        <v>-3.5000000000000001E-3</v>
      </c>
      <c r="EG85" s="230">
        <v>1146616</v>
      </c>
      <c r="EH85" s="230">
        <v>1514245</v>
      </c>
      <c r="EI85" s="229">
        <v>-0.24279999999999999</v>
      </c>
      <c r="EJ85" s="229">
        <v>0.43009999999999998</v>
      </c>
      <c r="EK85" s="231">
        <v>7449.47</v>
      </c>
      <c r="EL85" s="231">
        <v>3292.51</v>
      </c>
      <c r="EM85" s="231">
        <v>1046.95</v>
      </c>
      <c r="EN85" s="228">
        <v>215.64</v>
      </c>
      <c r="EO85" s="231">
        <v>11788.93</v>
      </c>
      <c r="EP85" s="231">
        <v>18083.830000000002</v>
      </c>
      <c r="EQ85" s="231">
        <v>-6294.89</v>
      </c>
      <c r="ER85" s="229">
        <v>-0.34810000000000002</v>
      </c>
      <c r="ES85" s="231">
        <v>1707.53</v>
      </c>
      <c r="ET85" s="228">
        <v>940.94</v>
      </c>
      <c r="EU85" s="231">
        <v>3502.9</v>
      </c>
      <c r="EV85" s="231">
        <v>89517840</v>
      </c>
      <c r="EW85" s="231">
        <v>6151.37</v>
      </c>
      <c r="EX85" s="231">
        <v>6182.05</v>
      </c>
      <c r="EY85" s="228">
        <v>-30.68</v>
      </c>
      <c r="EZ85" s="229">
        <v>-5.0000000000000001E-3</v>
      </c>
      <c r="FA85" s="229">
        <v>0.29459999999999997</v>
      </c>
      <c r="FB85" s="227" t="s">
        <v>691</v>
      </c>
      <c r="FC85">
        <f t="shared" si="1"/>
        <v>148</v>
      </c>
    </row>
    <row r="86" spans="1:159" ht="17.25" thickBot="1" x14ac:dyDescent="0.3">
      <c r="A86" s="226">
        <v>46146</v>
      </c>
      <c r="B86" s="227" t="s">
        <v>227</v>
      </c>
      <c r="C86" s="227" t="s">
        <v>665</v>
      </c>
      <c r="D86" s="228">
        <v>1225</v>
      </c>
      <c r="E86" s="228">
        <v>22</v>
      </c>
      <c r="F86" s="228">
        <v>607.5</v>
      </c>
      <c r="G86" s="228">
        <v>597.70000000000005</v>
      </c>
      <c r="H86" s="228">
        <v>9.8000000000000007</v>
      </c>
      <c r="I86" s="229">
        <v>1.6400000000000001E-2</v>
      </c>
      <c r="J86" s="228">
        <v>605.54999999999995</v>
      </c>
      <c r="K86" s="228">
        <v>595.95000000000005</v>
      </c>
      <c r="L86" s="228">
        <v>9.6</v>
      </c>
      <c r="M86" s="229">
        <v>1.61E-2</v>
      </c>
      <c r="N86" s="228">
        <v>607.5</v>
      </c>
      <c r="O86" s="228">
        <v>597.70000000000005</v>
      </c>
      <c r="P86" s="228">
        <v>9.8000000000000007</v>
      </c>
      <c r="Q86" s="229">
        <v>1.6400000000000001E-2</v>
      </c>
      <c r="R86" s="228">
        <v>611.85</v>
      </c>
      <c r="S86" s="228">
        <v>601.04999999999995</v>
      </c>
      <c r="T86" s="228">
        <v>10.8</v>
      </c>
      <c r="U86" s="229">
        <v>1.7999999999999999E-2</v>
      </c>
      <c r="V86" s="228">
        <v>616.25</v>
      </c>
      <c r="W86" s="228">
        <v>604.6</v>
      </c>
      <c r="X86" s="228">
        <v>11.65</v>
      </c>
      <c r="Y86" s="229">
        <v>1.9300000000000001E-2</v>
      </c>
      <c r="Z86" s="228">
        <v>1.95</v>
      </c>
      <c r="AA86" s="228">
        <v>1.75</v>
      </c>
      <c r="AB86" s="228">
        <v>0.2</v>
      </c>
      <c r="AC86" s="229">
        <v>3.2000000000000002E-3</v>
      </c>
      <c r="AD86" s="228">
        <v>1.95</v>
      </c>
      <c r="AE86" s="228">
        <v>1.75</v>
      </c>
      <c r="AF86" s="228">
        <v>0.2</v>
      </c>
      <c r="AG86" s="229">
        <v>3.2000000000000002E-3</v>
      </c>
      <c r="AH86" s="228">
        <v>6.3</v>
      </c>
      <c r="AI86" s="228">
        <v>5.0999999999999996</v>
      </c>
      <c r="AJ86" s="228">
        <v>1.2</v>
      </c>
      <c r="AK86" s="229">
        <v>1.04E-2</v>
      </c>
      <c r="AL86" s="228">
        <v>10.7</v>
      </c>
      <c r="AM86" s="228">
        <v>8.65</v>
      </c>
      <c r="AN86" s="228">
        <v>2.0499999999999998</v>
      </c>
      <c r="AO86" s="229">
        <v>1.77E-2</v>
      </c>
      <c r="AP86" s="228">
        <v>608.63</v>
      </c>
      <c r="AQ86" s="228">
        <v>612.71</v>
      </c>
      <c r="AR86" s="228">
        <v>0</v>
      </c>
      <c r="AS86" s="228">
        <v>267</v>
      </c>
      <c r="AT86" s="228">
        <v>413</v>
      </c>
      <c r="AU86" s="228">
        <v>-146</v>
      </c>
      <c r="AV86" s="229">
        <v>-0.35339999999999999</v>
      </c>
      <c r="AW86" s="228">
        <v>242</v>
      </c>
      <c r="AX86" s="228">
        <v>393</v>
      </c>
      <c r="AY86" s="228">
        <v>-151</v>
      </c>
      <c r="AZ86" s="229">
        <v>-0.38329999999999997</v>
      </c>
      <c r="BA86" s="228">
        <v>22</v>
      </c>
      <c r="BB86" s="228">
        <v>16</v>
      </c>
      <c r="BC86" s="228">
        <v>6</v>
      </c>
      <c r="BD86" s="229">
        <v>0.35620000000000002</v>
      </c>
      <c r="BE86" s="228">
        <v>3</v>
      </c>
      <c r="BF86" s="228">
        <v>4</v>
      </c>
      <c r="BG86" s="228">
        <v>-1</v>
      </c>
      <c r="BH86" s="229">
        <v>-0.3</v>
      </c>
      <c r="BI86" s="230">
        <v>1026</v>
      </c>
      <c r="BJ86" s="230">
        <v>1223</v>
      </c>
      <c r="BK86" s="228">
        <v>-197</v>
      </c>
      <c r="BL86" s="229">
        <v>-0.161</v>
      </c>
      <c r="BM86" s="228">
        <v>547</v>
      </c>
      <c r="BN86" s="228">
        <v>760</v>
      </c>
      <c r="BO86" s="228">
        <v>-214</v>
      </c>
      <c r="BP86" s="229">
        <v>-0.28100000000000003</v>
      </c>
      <c r="BQ86" s="230">
        <v>1840</v>
      </c>
      <c r="BR86" s="230">
        <v>2396</v>
      </c>
      <c r="BS86" s="228">
        <v>-557</v>
      </c>
      <c r="BT86" s="229">
        <v>-0.23230000000000001</v>
      </c>
      <c r="BU86" s="230">
        <v>5407321</v>
      </c>
      <c r="BV86" s="230">
        <v>7148401</v>
      </c>
      <c r="BW86" s="230">
        <v>-1741080</v>
      </c>
      <c r="BX86" s="229">
        <v>-0.24360000000000001</v>
      </c>
      <c r="BY86" s="230">
        <v>2109</v>
      </c>
      <c r="BZ86" s="230">
        <v>2108</v>
      </c>
      <c r="CA86" s="228">
        <v>1</v>
      </c>
      <c r="CB86" s="229">
        <v>5.0000000000000001E-4</v>
      </c>
      <c r="CC86" s="230">
        <v>2038</v>
      </c>
      <c r="CD86" s="230">
        <v>2046</v>
      </c>
      <c r="CE86" s="228">
        <v>-8</v>
      </c>
      <c r="CF86" s="229">
        <v>-3.7000000000000002E-3</v>
      </c>
      <c r="CG86" s="228">
        <v>67</v>
      </c>
      <c r="CH86" s="228">
        <v>58</v>
      </c>
      <c r="CI86" s="228">
        <v>8</v>
      </c>
      <c r="CJ86" s="229">
        <v>0.1416</v>
      </c>
      <c r="CK86" s="228">
        <v>4</v>
      </c>
      <c r="CL86" s="228">
        <v>4</v>
      </c>
      <c r="CM86" s="228">
        <v>0</v>
      </c>
      <c r="CN86" s="229">
        <v>0.1</v>
      </c>
      <c r="CO86" s="228">
        <v>989</v>
      </c>
      <c r="CP86" s="228">
        <v>970</v>
      </c>
      <c r="CQ86" s="228">
        <v>18</v>
      </c>
      <c r="CR86" s="229">
        <v>1.9E-2</v>
      </c>
      <c r="CS86" s="228">
        <v>624</v>
      </c>
      <c r="CT86" s="228">
        <v>611</v>
      </c>
      <c r="CU86" s="228">
        <v>13</v>
      </c>
      <c r="CV86" s="229">
        <v>2.1899999999999999E-2</v>
      </c>
      <c r="CW86" s="230">
        <v>3722</v>
      </c>
      <c r="CX86" s="230">
        <v>3689</v>
      </c>
      <c r="CY86" s="228">
        <v>33</v>
      </c>
      <c r="CZ86" s="229">
        <v>8.8999999999999999E-3</v>
      </c>
      <c r="DA86" s="228">
        <v>36.380000000000003</v>
      </c>
      <c r="DB86" s="228">
        <v>36.51</v>
      </c>
      <c r="DC86" s="228">
        <v>-0.13</v>
      </c>
      <c r="DD86" s="228">
        <v>-0.13</v>
      </c>
      <c r="DE86" s="228">
        <v>50.35</v>
      </c>
      <c r="DF86" s="228">
        <v>50.42</v>
      </c>
      <c r="DG86" s="228">
        <v>-13.97</v>
      </c>
      <c r="DH86" s="228">
        <v>-7.0000000000000007E-2</v>
      </c>
      <c r="DI86" s="228">
        <v>36.24</v>
      </c>
      <c r="DJ86" s="228">
        <v>36.51</v>
      </c>
      <c r="DK86" s="228">
        <v>-0.27</v>
      </c>
      <c r="DL86" s="228">
        <v>-0.27</v>
      </c>
      <c r="DM86" s="228">
        <v>36.64</v>
      </c>
      <c r="DN86" s="228">
        <v>36.51</v>
      </c>
      <c r="DO86" s="228">
        <v>0.13</v>
      </c>
      <c r="DP86" s="228">
        <v>0.13</v>
      </c>
      <c r="DQ86" s="228">
        <v>0.63</v>
      </c>
      <c r="DR86" s="228">
        <v>0.63</v>
      </c>
      <c r="DS86" s="228">
        <v>0</v>
      </c>
      <c r="DT86" s="229">
        <v>0</v>
      </c>
      <c r="DU86" s="228">
        <v>650</v>
      </c>
      <c r="DV86" s="228">
        <v>600</v>
      </c>
      <c r="DW86" s="228">
        <v>0.53</v>
      </c>
      <c r="DX86" s="228">
        <v>0.62</v>
      </c>
      <c r="DY86" s="228">
        <v>-0.09</v>
      </c>
      <c r="DZ86" s="229">
        <v>-0.1452</v>
      </c>
      <c r="EA86" s="229">
        <v>3.3500000000000002E-2</v>
      </c>
      <c r="EB86" s="230">
        <v>1021650</v>
      </c>
      <c r="EC86" s="229">
        <v>7.1999999999999998E-3</v>
      </c>
      <c r="ED86" s="229">
        <v>3.3500000000000002E-2</v>
      </c>
      <c r="EE86" s="228">
        <v>4.08</v>
      </c>
      <c r="EF86" s="229">
        <v>6.7000000000000002E-3</v>
      </c>
      <c r="EG86" s="230">
        <v>2434918</v>
      </c>
      <c r="EH86" s="230">
        <v>3208314</v>
      </c>
      <c r="EI86" s="229">
        <v>-0.24110000000000001</v>
      </c>
      <c r="EJ86" s="229">
        <v>0.45029999999999998</v>
      </c>
      <c r="EK86" s="231">
        <v>1093.98</v>
      </c>
      <c r="EL86" s="228">
        <v>532.61</v>
      </c>
      <c r="EM86" s="228">
        <v>267.83999999999997</v>
      </c>
      <c r="EN86" s="228">
        <v>119.26</v>
      </c>
      <c r="EO86" s="231">
        <v>1894.43</v>
      </c>
      <c r="EP86" s="231">
        <v>2432.86</v>
      </c>
      <c r="EQ86" s="228">
        <v>-538.42999999999995</v>
      </c>
      <c r="ER86" s="229">
        <v>-0.2213</v>
      </c>
      <c r="ES86" s="231">
        <v>1034.58</v>
      </c>
      <c r="ET86" s="228">
        <v>594.46</v>
      </c>
      <c r="EU86" s="231">
        <v>2109.71</v>
      </c>
      <c r="EV86" s="231">
        <v>241870587</v>
      </c>
      <c r="EW86" s="231">
        <v>3738.76</v>
      </c>
      <c r="EX86" s="231">
        <v>3665.14</v>
      </c>
      <c r="EY86" s="228">
        <v>73.62</v>
      </c>
      <c r="EZ86" s="229">
        <v>2.01E-2</v>
      </c>
      <c r="FA86" s="229">
        <v>0.25330000000000003</v>
      </c>
      <c r="FB86" s="227" t="s">
        <v>555</v>
      </c>
      <c r="FC86">
        <f t="shared" si="1"/>
        <v>71</v>
      </c>
    </row>
    <row r="87" spans="1:159" ht="17.25" thickBot="1" x14ac:dyDescent="0.3">
      <c r="A87" s="226">
        <v>46146</v>
      </c>
      <c r="B87" s="227" t="s">
        <v>162</v>
      </c>
      <c r="C87" s="227" t="s">
        <v>692</v>
      </c>
      <c r="D87" s="228">
        <v>275</v>
      </c>
      <c r="E87" s="228">
        <v>22</v>
      </c>
      <c r="F87" s="231">
        <v>1815.4</v>
      </c>
      <c r="G87" s="231">
        <v>1807.6</v>
      </c>
      <c r="H87" s="228">
        <v>7.8</v>
      </c>
      <c r="I87" s="229">
        <v>4.3E-3</v>
      </c>
      <c r="J87" s="231">
        <v>1844.5</v>
      </c>
      <c r="K87" s="231">
        <v>1817.6</v>
      </c>
      <c r="L87" s="228">
        <v>26.9</v>
      </c>
      <c r="M87" s="229">
        <v>1.4800000000000001E-2</v>
      </c>
      <c r="N87" s="231">
        <v>1815.4</v>
      </c>
      <c r="O87" s="231">
        <v>1807.6</v>
      </c>
      <c r="P87" s="228">
        <v>7.8</v>
      </c>
      <c r="Q87" s="229">
        <v>4.3E-3</v>
      </c>
      <c r="R87" s="231">
        <v>1779.3</v>
      </c>
      <c r="S87" s="231">
        <v>1777.5</v>
      </c>
      <c r="T87" s="228">
        <v>1.8</v>
      </c>
      <c r="U87" s="229">
        <v>1E-3</v>
      </c>
      <c r="V87" s="231">
        <v>1764.5</v>
      </c>
      <c r="W87" s="231">
        <v>1755.4</v>
      </c>
      <c r="X87" s="228">
        <v>9.1</v>
      </c>
      <c r="Y87" s="229">
        <v>5.1999999999999998E-3</v>
      </c>
      <c r="Z87" s="228">
        <v>-29.1</v>
      </c>
      <c r="AA87" s="228">
        <v>-10</v>
      </c>
      <c r="AB87" s="228">
        <v>-19.100000000000001</v>
      </c>
      <c r="AC87" s="229">
        <v>-1.5800000000000002E-2</v>
      </c>
      <c r="AD87" s="228">
        <v>-29.1</v>
      </c>
      <c r="AE87" s="228">
        <v>-10</v>
      </c>
      <c r="AF87" s="228">
        <v>-19.100000000000001</v>
      </c>
      <c r="AG87" s="229">
        <v>-1.5800000000000002E-2</v>
      </c>
      <c r="AH87" s="228">
        <v>-65.2</v>
      </c>
      <c r="AI87" s="228">
        <v>-40.1</v>
      </c>
      <c r="AJ87" s="228">
        <v>-25.1</v>
      </c>
      <c r="AK87" s="229">
        <v>-3.5299999999999998E-2</v>
      </c>
      <c r="AL87" s="228">
        <v>-80</v>
      </c>
      <c r="AM87" s="228">
        <v>-62.2</v>
      </c>
      <c r="AN87" s="228">
        <v>-17.8</v>
      </c>
      <c r="AO87" s="229">
        <v>-4.3400000000000001E-2</v>
      </c>
      <c r="AP87" s="231">
        <v>1823.77</v>
      </c>
      <c r="AQ87" s="231">
        <v>1781.88</v>
      </c>
      <c r="AR87" s="228">
        <v>0</v>
      </c>
      <c r="AS87" s="228">
        <v>178</v>
      </c>
      <c r="AT87" s="228">
        <v>210</v>
      </c>
      <c r="AU87" s="228">
        <v>-33</v>
      </c>
      <c r="AV87" s="229">
        <v>-0.1565</v>
      </c>
      <c r="AW87" s="228">
        <v>161</v>
      </c>
      <c r="AX87" s="228">
        <v>146</v>
      </c>
      <c r="AY87" s="228">
        <v>16</v>
      </c>
      <c r="AZ87" s="229">
        <v>0.10680000000000001</v>
      </c>
      <c r="BA87" s="228">
        <v>13</v>
      </c>
      <c r="BB87" s="228">
        <v>63</v>
      </c>
      <c r="BC87" s="228">
        <v>-50</v>
      </c>
      <c r="BD87" s="229">
        <v>-0.79969999999999997</v>
      </c>
      <c r="BE87" s="228">
        <v>4</v>
      </c>
      <c r="BF87" s="228">
        <v>2</v>
      </c>
      <c r="BG87" s="228">
        <v>1</v>
      </c>
      <c r="BH87" s="229">
        <v>0.69769999999999999</v>
      </c>
      <c r="BI87" s="228">
        <v>237</v>
      </c>
      <c r="BJ87" s="228">
        <v>76</v>
      </c>
      <c r="BK87" s="228">
        <v>161</v>
      </c>
      <c r="BL87" s="229">
        <v>2.1095000000000002</v>
      </c>
      <c r="BM87" s="228">
        <v>69</v>
      </c>
      <c r="BN87" s="228">
        <v>51</v>
      </c>
      <c r="BO87" s="228">
        <v>18</v>
      </c>
      <c r="BP87" s="229">
        <v>0.35310000000000002</v>
      </c>
      <c r="BQ87" s="228">
        <v>484</v>
      </c>
      <c r="BR87" s="228">
        <v>338</v>
      </c>
      <c r="BS87" s="228">
        <v>146</v>
      </c>
      <c r="BT87" s="229">
        <v>0.43140000000000001</v>
      </c>
      <c r="BU87" s="230">
        <v>617328</v>
      </c>
      <c r="BV87" s="230">
        <v>524769</v>
      </c>
      <c r="BW87" s="230">
        <v>92559</v>
      </c>
      <c r="BX87" s="229">
        <v>0.1764</v>
      </c>
      <c r="BY87" s="230">
        <v>1500</v>
      </c>
      <c r="BZ87" s="230">
        <v>1500</v>
      </c>
      <c r="CA87" s="228">
        <v>0</v>
      </c>
      <c r="CB87" s="229">
        <v>0</v>
      </c>
      <c r="CC87" s="230">
        <v>1404</v>
      </c>
      <c r="CD87" s="230">
        <v>1407</v>
      </c>
      <c r="CE87" s="228">
        <v>-3</v>
      </c>
      <c r="CF87" s="229">
        <v>-1.9E-3</v>
      </c>
      <c r="CG87" s="228">
        <v>89</v>
      </c>
      <c r="CH87" s="228">
        <v>88</v>
      </c>
      <c r="CI87" s="228">
        <v>1</v>
      </c>
      <c r="CJ87" s="229">
        <v>1.0800000000000001E-2</v>
      </c>
      <c r="CK87" s="228">
        <v>7</v>
      </c>
      <c r="CL87" s="228">
        <v>5</v>
      </c>
      <c r="CM87" s="228">
        <v>2</v>
      </c>
      <c r="CN87" s="229">
        <v>0.34289999999999998</v>
      </c>
      <c r="CO87" s="228">
        <v>162</v>
      </c>
      <c r="CP87" s="228">
        <v>132</v>
      </c>
      <c r="CQ87" s="228">
        <v>29</v>
      </c>
      <c r="CR87" s="229">
        <v>0.22120000000000001</v>
      </c>
      <c r="CS87" s="228">
        <v>119</v>
      </c>
      <c r="CT87" s="228">
        <v>131</v>
      </c>
      <c r="CU87" s="228">
        <v>-12</v>
      </c>
      <c r="CV87" s="229">
        <v>-9.2499999999999999E-2</v>
      </c>
      <c r="CW87" s="230">
        <v>1781</v>
      </c>
      <c r="CX87" s="230">
        <v>1764</v>
      </c>
      <c r="CY87" s="228">
        <v>17</v>
      </c>
      <c r="CZ87" s="229">
        <v>9.7999999999999997E-3</v>
      </c>
      <c r="DA87" s="228">
        <v>39.29</v>
      </c>
      <c r="DB87" s="228">
        <v>38.33</v>
      </c>
      <c r="DC87" s="228">
        <v>0.96</v>
      </c>
      <c r="DD87" s="228">
        <v>0.96</v>
      </c>
      <c r="DE87" s="228">
        <v>33.65</v>
      </c>
      <c r="DF87" s="228">
        <v>33.729999999999997</v>
      </c>
      <c r="DG87" s="228">
        <v>5.64</v>
      </c>
      <c r="DH87" s="228">
        <v>-0.08</v>
      </c>
      <c r="DI87" s="228">
        <v>39.200000000000003</v>
      </c>
      <c r="DJ87" s="228">
        <v>38.159999999999997</v>
      </c>
      <c r="DK87" s="228">
        <v>1.04</v>
      </c>
      <c r="DL87" s="228">
        <v>1.04</v>
      </c>
      <c r="DM87" s="228">
        <v>39.6</v>
      </c>
      <c r="DN87" s="228">
        <v>38.590000000000003</v>
      </c>
      <c r="DO87" s="228">
        <v>1.01</v>
      </c>
      <c r="DP87" s="228">
        <v>1.01</v>
      </c>
      <c r="DQ87" s="228">
        <v>0.74</v>
      </c>
      <c r="DR87" s="228">
        <v>0.99</v>
      </c>
      <c r="DS87" s="228">
        <v>-0.25</v>
      </c>
      <c r="DT87" s="229">
        <v>-0.2525</v>
      </c>
      <c r="DU87" s="231">
        <v>1800</v>
      </c>
      <c r="DV87" s="231">
        <v>1740</v>
      </c>
      <c r="DW87" s="228">
        <v>0.28999999999999998</v>
      </c>
      <c r="DX87" s="228">
        <v>0.67</v>
      </c>
      <c r="DY87" s="228">
        <v>-0.38</v>
      </c>
      <c r="DZ87" s="229">
        <v>-0.56720000000000004</v>
      </c>
      <c r="EA87" s="229">
        <v>6.3899999999999998E-2</v>
      </c>
      <c r="EB87" s="230">
        <v>512875</v>
      </c>
      <c r="EC87" s="229">
        <v>-1.9900000000000001E-2</v>
      </c>
      <c r="ED87" s="229">
        <v>6.3899999999999998E-2</v>
      </c>
      <c r="EE87" s="228">
        <v>-41.89</v>
      </c>
      <c r="EF87" s="229">
        <v>-2.3E-2</v>
      </c>
      <c r="EG87" s="230">
        <v>257960</v>
      </c>
      <c r="EH87" s="230">
        <v>254444</v>
      </c>
      <c r="EI87" s="229">
        <v>1.38E-2</v>
      </c>
      <c r="EJ87" s="229">
        <v>0.41789999999999999</v>
      </c>
      <c r="EK87" s="228">
        <v>253.81</v>
      </c>
      <c r="EL87" s="228">
        <v>68</v>
      </c>
      <c r="EM87" s="228">
        <v>177.94</v>
      </c>
      <c r="EN87" s="228">
        <v>90.5</v>
      </c>
      <c r="EO87" s="228">
        <v>499.74</v>
      </c>
      <c r="EP87" s="228">
        <v>337.03</v>
      </c>
      <c r="EQ87" s="228">
        <v>162.71</v>
      </c>
      <c r="ER87" s="229">
        <v>0.48280000000000001</v>
      </c>
      <c r="ES87" s="228">
        <v>169.03</v>
      </c>
      <c r="ET87" s="228">
        <v>113.48</v>
      </c>
      <c r="EU87" s="231">
        <v>1498.04</v>
      </c>
      <c r="EV87" s="231">
        <v>21329205</v>
      </c>
      <c r="EW87" s="231">
        <v>1780.55</v>
      </c>
      <c r="EX87" s="231">
        <v>1754.21</v>
      </c>
      <c r="EY87" s="228">
        <v>26.34</v>
      </c>
      <c r="EZ87" s="229">
        <v>1.4999999999999999E-2</v>
      </c>
      <c r="FA87" s="229">
        <v>0.45989999999999998</v>
      </c>
      <c r="FB87" s="227" t="s">
        <v>237</v>
      </c>
      <c r="FC87">
        <f t="shared" si="1"/>
        <v>96</v>
      </c>
    </row>
    <row r="88" spans="1:159" ht="17.25" thickBot="1" x14ac:dyDescent="0.3">
      <c r="A88" s="226">
        <v>46146</v>
      </c>
      <c r="B88" s="227" t="s">
        <v>172</v>
      </c>
      <c r="C88" s="227" t="s">
        <v>232</v>
      </c>
      <c r="D88" s="228">
        <v>700</v>
      </c>
      <c r="E88" s="228">
        <v>22</v>
      </c>
      <c r="F88" s="231">
        <v>1278.3</v>
      </c>
      <c r="G88" s="231">
        <v>1270.7</v>
      </c>
      <c r="H88" s="228">
        <v>7.6</v>
      </c>
      <c r="I88" s="229">
        <v>6.0000000000000001E-3</v>
      </c>
      <c r="J88" s="231">
        <v>1270.8</v>
      </c>
      <c r="K88" s="231">
        <v>1263.4000000000001</v>
      </c>
      <c r="L88" s="228">
        <v>7.4</v>
      </c>
      <c r="M88" s="229">
        <v>5.8999999999999999E-3</v>
      </c>
      <c r="N88" s="231">
        <v>1278.3</v>
      </c>
      <c r="O88" s="231">
        <v>1270.7</v>
      </c>
      <c r="P88" s="228">
        <v>7.6</v>
      </c>
      <c r="Q88" s="229">
        <v>6.0000000000000001E-3</v>
      </c>
      <c r="R88" s="231">
        <v>1286.3</v>
      </c>
      <c r="S88" s="231">
        <v>1278.5</v>
      </c>
      <c r="T88" s="228">
        <v>7.8</v>
      </c>
      <c r="U88" s="229">
        <v>6.1000000000000004E-3</v>
      </c>
      <c r="V88" s="231">
        <v>1293.7</v>
      </c>
      <c r="W88" s="231">
        <v>1284.2</v>
      </c>
      <c r="X88" s="228">
        <v>9.5</v>
      </c>
      <c r="Y88" s="229">
        <v>7.4000000000000003E-3</v>
      </c>
      <c r="Z88" s="228">
        <v>7.5</v>
      </c>
      <c r="AA88" s="228">
        <v>7.3</v>
      </c>
      <c r="AB88" s="228">
        <v>0.2</v>
      </c>
      <c r="AC88" s="229">
        <v>5.8999999999999999E-3</v>
      </c>
      <c r="AD88" s="228">
        <v>7.5</v>
      </c>
      <c r="AE88" s="228">
        <v>7.3</v>
      </c>
      <c r="AF88" s="228">
        <v>0.2</v>
      </c>
      <c r="AG88" s="229">
        <v>5.8999999999999999E-3</v>
      </c>
      <c r="AH88" s="228">
        <v>15.5</v>
      </c>
      <c r="AI88" s="228">
        <v>15.1</v>
      </c>
      <c r="AJ88" s="228">
        <v>0.4</v>
      </c>
      <c r="AK88" s="229">
        <v>1.2200000000000001E-2</v>
      </c>
      <c r="AL88" s="228">
        <v>22.9</v>
      </c>
      <c r="AM88" s="228">
        <v>20.8</v>
      </c>
      <c r="AN88" s="228">
        <v>2.1</v>
      </c>
      <c r="AO88" s="229">
        <v>1.7999999999999999E-2</v>
      </c>
      <c r="AP88" s="231">
        <v>1280.95</v>
      </c>
      <c r="AQ88" s="231">
        <v>1288.94</v>
      </c>
      <c r="AR88" s="228">
        <v>0</v>
      </c>
      <c r="AS88" s="230">
        <v>1407</v>
      </c>
      <c r="AT88" s="230">
        <v>1461</v>
      </c>
      <c r="AU88" s="228">
        <v>-54</v>
      </c>
      <c r="AV88" s="229">
        <v>-3.6999999999999998E-2</v>
      </c>
      <c r="AW88" s="230">
        <v>1226</v>
      </c>
      <c r="AX88" s="230">
        <v>1330</v>
      </c>
      <c r="AY88" s="228">
        <v>-104</v>
      </c>
      <c r="AZ88" s="229">
        <v>-7.7799999999999994E-2</v>
      </c>
      <c r="BA88" s="228">
        <v>170</v>
      </c>
      <c r="BB88" s="228">
        <v>115</v>
      </c>
      <c r="BC88" s="228">
        <v>55</v>
      </c>
      <c r="BD88" s="229">
        <v>0.47739999999999999</v>
      </c>
      <c r="BE88" s="228">
        <v>11</v>
      </c>
      <c r="BF88" s="228">
        <v>16</v>
      </c>
      <c r="BG88" s="228">
        <v>-5</v>
      </c>
      <c r="BH88" s="229">
        <v>-0.33889999999999998</v>
      </c>
      <c r="BI88" s="230">
        <v>3488</v>
      </c>
      <c r="BJ88" s="230">
        <v>4528</v>
      </c>
      <c r="BK88" s="230">
        <v>-1040</v>
      </c>
      <c r="BL88" s="229">
        <v>-0.22969999999999999</v>
      </c>
      <c r="BM88" s="230">
        <v>1948</v>
      </c>
      <c r="BN88" s="230">
        <v>2352</v>
      </c>
      <c r="BO88" s="228">
        <v>-404</v>
      </c>
      <c r="BP88" s="229">
        <v>-0.17169999999999999</v>
      </c>
      <c r="BQ88" s="230">
        <v>6843</v>
      </c>
      <c r="BR88" s="230">
        <v>8341</v>
      </c>
      <c r="BS88" s="230">
        <v>-1498</v>
      </c>
      <c r="BT88" s="229">
        <v>-0.17960000000000001</v>
      </c>
      <c r="BU88" s="230">
        <v>14786188</v>
      </c>
      <c r="BV88" s="230">
        <v>19213540</v>
      </c>
      <c r="BW88" s="230">
        <v>-4427352</v>
      </c>
      <c r="BX88" s="229">
        <v>-0.23039999999999999</v>
      </c>
      <c r="BY88" s="230">
        <v>17729</v>
      </c>
      <c r="BZ88" s="230">
        <v>17183</v>
      </c>
      <c r="CA88" s="228">
        <v>546</v>
      </c>
      <c r="CB88" s="229">
        <v>3.1800000000000002E-2</v>
      </c>
      <c r="CC88" s="230">
        <v>14324</v>
      </c>
      <c r="CD88" s="230">
        <v>13918</v>
      </c>
      <c r="CE88" s="228">
        <v>406</v>
      </c>
      <c r="CF88" s="229">
        <v>2.92E-2</v>
      </c>
      <c r="CG88" s="230">
        <v>3380</v>
      </c>
      <c r="CH88" s="230">
        <v>3244</v>
      </c>
      <c r="CI88" s="228">
        <v>136</v>
      </c>
      <c r="CJ88" s="229">
        <v>4.19E-2</v>
      </c>
      <c r="CK88" s="228">
        <v>26</v>
      </c>
      <c r="CL88" s="228">
        <v>21</v>
      </c>
      <c r="CM88" s="228">
        <v>4</v>
      </c>
      <c r="CN88" s="229">
        <v>0.20169999999999999</v>
      </c>
      <c r="CO88" s="230">
        <v>4104</v>
      </c>
      <c r="CP88" s="230">
        <v>3710</v>
      </c>
      <c r="CQ88" s="228">
        <v>393</v>
      </c>
      <c r="CR88" s="229">
        <v>0.106</v>
      </c>
      <c r="CS88" s="230">
        <v>2443</v>
      </c>
      <c r="CT88" s="230">
        <v>2396</v>
      </c>
      <c r="CU88" s="228">
        <v>47</v>
      </c>
      <c r="CV88" s="229">
        <v>1.9599999999999999E-2</v>
      </c>
      <c r="CW88" s="230">
        <v>24275</v>
      </c>
      <c r="CX88" s="230">
        <v>23289</v>
      </c>
      <c r="CY88" s="228">
        <v>986</v>
      </c>
      <c r="CZ88" s="229">
        <v>4.24E-2</v>
      </c>
      <c r="DA88" s="228">
        <v>22.57</v>
      </c>
      <c r="DB88" s="228">
        <v>23.07</v>
      </c>
      <c r="DC88" s="228">
        <v>-0.5</v>
      </c>
      <c r="DD88" s="228">
        <v>-0.5</v>
      </c>
      <c r="DE88" s="228">
        <v>24.04</v>
      </c>
      <c r="DF88" s="228">
        <v>24.08</v>
      </c>
      <c r="DG88" s="228">
        <v>-1.47</v>
      </c>
      <c r="DH88" s="228">
        <v>-0.04</v>
      </c>
      <c r="DI88" s="228">
        <v>22.39</v>
      </c>
      <c r="DJ88" s="228">
        <v>23.29</v>
      </c>
      <c r="DK88" s="228">
        <v>-0.9</v>
      </c>
      <c r="DL88" s="228">
        <v>-0.9</v>
      </c>
      <c r="DM88" s="228">
        <v>22.88</v>
      </c>
      <c r="DN88" s="228">
        <v>22.66</v>
      </c>
      <c r="DO88" s="228">
        <v>0.22</v>
      </c>
      <c r="DP88" s="228">
        <v>0.22</v>
      </c>
      <c r="DQ88" s="228">
        <v>0.6</v>
      </c>
      <c r="DR88" s="228">
        <v>0.65</v>
      </c>
      <c r="DS88" s="228">
        <v>-0.05</v>
      </c>
      <c r="DT88" s="229">
        <v>-7.6899999999999996E-2</v>
      </c>
      <c r="DU88" s="231">
        <v>1300</v>
      </c>
      <c r="DV88" s="231">
        <v>1300</v>
      </c>
      <c r="DW88" s="228">
        <v>0.56000000000000005</v>
      </c>
      <c r="DX88" s="228">
        <v>0.52</v>
      </c>
      <c r="DY88" s="228">
        <v>0.04</v>
      </c>
      <c r="DZ88" s="229">
        <v>7.6899999999999996E-2</v>
      </c>
      <c r="EA88" s="229">
        <v>0.19209999999999999</v>
      </c>
      <c r="EB88" s="230">
        <v>25541600</v>
      </c>
      <c r="EC88" s="229">
        <v>6.3E-3</v>
      </c>
      <c r="ED88" s="229">
        <v>0.19209999999999999</v>
      </c>
      <c r="EE88" s="228">
        <v>7.99</v>
      </c>
      <c r="EF88" s="229">
        <v>6.1999999999999998E-3</v>
      </c>
      <c r="EG88" s="230">
        <v>9676985</v>
      </c>
      <c r="EH88" s="230">
        <v>8436787</v>
      </c>
      <c r="EI88" s="229">
        <v>0.14699999999999999</v>
      </c>
      <c r="EJ88" s="229">
        <v>0.65449999999999997</v>
      </c>
      <c r="EK88" s="231">
        <v>3659.47</v>
      </c>
      <c r="EL88" s="231">
        <v>1935.6</v>
      </c>
      <c r="EM88" s="231">
        <v>1411.11</v>
      </c>
      <c r="EN88" s="228">
        <v>431.35</v>
      </c>
      <c r="EO88" s="231">
        <v>7006.17</v>
      </c>
      <c r="EP88" s="231">
        <v>8550.2800000000007</v>
      </c>
      <c r="EQ88" s="231">
        <v>-1544.11</v>
      </c>
      <c r="ER88" s="229">
        <v>-0.18060000000000001</v>
      </c>
      <c r="ES88" s="231">
        <v>4358.29</v>
      </c>
      <c r="ET88" s="231">
        <v>2459.36</v>
      </c>
      <c r="EU88" s="231">
        <v>17750.599999999999</v>
      </c>
      <c r="EV88" s="231">
        <v>668616020</v>
      </c>
      <c r="EW88" s="231">
        <v>24568.240000000002</v>
      </c>
      <c r="EX88" s="231">
        <v>23467.71</v>
      </c>
      <c r="EY88" s="231">
        <v>1100.53</v>
      </c>
      <c r="EZ88" s="229">
        <v>4.6899999999999997E-2</v>
      </c>
      <c r="FA88" s="229">
        <v>0.28399999999999997</v>
      </c>
      <c r="FB88" s="227" t="s">
        <v>555</v>
      </c>
      <c r="FC88">
        <f t="shared" si="1"/>
        <v>3405</v>
      </c>
    </row>
    <row r="89" spans="1:159" ht="17.25" thickBot="1" x14ac:dyDescent="0.3">
      <c r="A89" s="226">
        <v>46146</v>
      </c>
      <c r="B89" s="227" t="s">
        <v>175</v>
      </c>
      <c r="C89" s="227" t="s">
        <v>472</v>
      </c>
      <c r="D89" s="228">
        <v>325</v>
      </c>
      <c r="E89" s="228">
        <v>22</v>
      </c>
      <c r="F89" s="231">
        <v>1761.7</v>
      </c>
      <c r="G89" s="231">
        <v>1768.1</v>
      </c>
      <c r="H89" s="228">
        <v>-6.4</v>
      </c>
      <c r="I89" s="229">
        <v>-3.5999999999999999E-3</v>
      </c>
      <c r="J89" s="231">
        <v>1756.8</v>
      </c>
      <c r="K89" s="231">
        <v>1763.2</v>
      </c>
      <c r="L89" s="228">
        <v>-6.4</v>
      </c>
      <c r="M89" s="229">
        <v>-3.5999999999999999E-3</v>
      </c>
      <c r="N89" s="231">
        <v>1761.7</v>
      </c>
      <c r="O89" s="231">
        <v>1768.1</v>
      </c>
      <c r="P89" s="228">
        <v>-6.4</v>
      </c>
      <c r="Q89" s="229">
        <v>-3.5999999999999999E-3</v>
      </c>
      <c r="R89" s="231">
        <v>1763.7</v>
      </c>
      <c r="S89" s="231">
        <v>1780</v>
      </c>
      <c r="T89" s="228">
        <v>-16.3</v>
      </c>
      <c r="U89" s="229">
        <v>-9.1999999999999998E-3</v>
      </c>
      <c r="V89" s="231">
        <v>1779.6</v>
      </c>
      <c r="W89" s="231">
        <v>1797</v>
      </c>
      <c r="X89" s="228">
        <v>-17.399999999999999</v>
      </c>
      <c r="Y89" s="229">
        <v>-9.7000000000000003E-3</v>
      </c>
      <c r="Z89" s="228">
        <v>4.9000000000000004</v>
      </c>
      <c r="AA89" s="228">
        <v>4.9000000000000004</v>
      </c>
      <c r="AB89" s="228">
        <v>0</v>
      </c>
      <c r="AC89" s="229">
        <v>2.8E-3</v>
      </c>
      <c r="AD89" s="228">
        <v>4.9000000000000004</v>
      </c>
      <c r="AE89" s="228">
        <v>4.9000000000000004</v>
      </c>
      <c r="AF89" s="228">
        <v>0</v>
      </c>
      <c r="AG89" s="229">
        <v>2.8E-3</v>
      </c>
      <c r="AH89" s="228">
        <v>6.9</v>
      </c>
      <c r="AI89" s="228">
        <v>16.8</v>
      </c>
      <c r="AJ89" s="228">
        <v>-9.9</v>
      </c>
      <c r="AK89" s="229">
        <v>3.8999999999999998E-3</v>
      </c>
      <c r="AL89" s="228">
        <v>22.8</v>
      </c>
      <c r="AM89" s="228">
        <v>33.799999999999997</v>
      </c>
      <c r="AN89" s="228">
        <v>-11</v>
      </c>
      <c r="AO89" s="229">
        <v>1.2999999999999999E-2</v>
      </c>
      <c r="AP89" s="231">
        <v>1764.14</v>
      </c>
      <c r="AQ89" s="231">
        <v>1769.97</v>
      </c>
      <c r="AR89" s="228">
        <v>0</v>
      </c>
      <c r="AS89" s="228">
        <v>62</v>
      </c>
      <c r="AT89" s="228">
        <v>49</v>
      </c>
      <c r="AU89" s="228">
        <v>13</v>
      </c>
      <c r="AV89" s="229">
        <v>0.25900000000000001</v>
      </c>
      <c r="AW89" s="228">
        <v>59</v>
      </c>
      <c r="AX89" s="228">
        <v>46</v>
      </c>
      <c r="AY89" s="228">
        <v>14</v>
      </c>
      <c r="AZ89" s="229">
        <v>0.29820000000000002</v>
      </c>
      <c r="BA89" s="228">
        <v>3</v>
      </c>
      <c r="BB89" s="228">
        <v>4</v>
      </c>
      <c r="BC89" s="228">
        <v>-1</v>
      </c>
      <c r="BD89" s="229">
        <v>-0.26979999999999998</v>
      </c>
      <c r="BE89" s="228">
        <v>0</v>
      </c>
      <c r="BF89" s="228">
        <v>0</v>
      </c>
      <c r="BG89" s="228">
        <v>0</v>
      </c>
      <c r="BH89" s="229">
        <v>0</v>
      </c>
      <c r="BI89" s="228">
        <v>114</v>
      </c>
      <c r="BJ89" s="228">
        <v>93</v>
      </c>
      <c r="BK89" s="228">
        <v>20</v>
      </c>
      <c r="BL89" s="229">
        <v>0.21959999999999999</v>
      </c>
      <c r="BM89" s="228">
        <v>62</v>
      </c>
      <c r="BN89" s="228">
        <v>50</v>
      </c>
      <c r="BO89" s="228">
        <v>12</v>
      </c>
      <c r="BP89" s="229">
        <v>0.2351</v>
      </c>
      <c r="BQ89" s="228">
        <v>237</v>
      </c>
      <c r="BR89" s="228">
        <v>192</v>
      </c>
      <c r="BS89" s="228">
        <v>45</v>
      </c>
      <c r="BT89" s="229">
        <v>0.23369999999999999</v>
      </c>
      <c r="BU89" s="230">
        <v>852138</v>
      </c>
      <c r="BV89" s="230">
        <v>783185</v>
      </c>
      <c r="BW89" s="230">
        <v>68953</v>
      </c>
      <c r="BX89" s="229">
        <v>8.7999999999999995E-2</v>
      </c>
      <c r="BY89" s="228">
        <v>939</v>
      </c>
      <c r="BZ89" s="228">
        <v>937</v>
      </c>
      <c r="CA89" s="228">
        <v>3</v>
      </c>
      <c r="CB89" s="229">
        <v>2.7000000000000001E-3</v>
      </c>
      <c r="CC89" s="228">
        <v>886</v>
      </c>
      <c r="CD89" s="228">
        <v>885</v>
      </c>
      <c r="CE89" s="228">
        <v>1</v>
      </c>
      <c r="CF89" s="229">
        <v>1.4E-3</v>
      </c>
      <c r="CG89" s="228">
        <v>53</v>
      </c>
      <c r="CH89" s="228">
        <v>52</v>
      </c>
      <c r="CI89" s="228">
        <v>1</v>
      </c>
      <c r="CJ89" s="229">
        <v>2.2100000000000002E-2</v>
      </c>
      <c r="CK89" s="228">
        <v>1</v>
      </c>
      <c r="CL89" s="228">
        <v>0</v>
      </c>
      <c r="CM89" s="228">
        <v>0</v>
      </c>
      <c r="CN89" s="229">
        <v>0.28570000000000001</v>
      </c>
      <c r="CO89" s="228">
        <v>91</v>
      </c>
      <c r="CP89" s="228">
        <v>76</v>
      </c>
      <c r="CQ89" s="228">
        <v>15</v>
      </c>
      <c r="CR89" s="229">
        <v>0.20469999999999999</v>
      </c>
      <c r="CS89" s="228">
        <v>56</v>
      </c>
      <c r="CT89" s="228">
        <v>47</v>
      </c>
      <c r="CU89" s="228">
        <v>9</v>
      </c>
      <c r="CV89" s="229">
        <v>0.19409999999999999</v>
      </c>
      <c r="CW89" s="230">
        <v>1086</v>
      </c>
      <c r="CX89" s="230">
        <v>1059</v>
      </c>
      <c r="CY89" s="228">
        <v>27</v>
      </c>
      <c r="CZ89" s="229">
        <v>2.5499999999999998E-2</v>
      </c>
      <c r="DA89" s="228">
        <v>24.2</v>
      </c>
      <c r="DB89" s="228">
        <v>24.2</v>
      </c>
      <c r="DC89" s="228">
        <v>0</v>
      </c>
      <c r="DD89" s="228">
        <v>0</v>
      </c>
      <c r="DE89" s="228">
        <v>26.86</v>
      </c>
      <c r="DF89" s="228">
        <v>26.92</v>
      </c>
      <c r="DG89" s="228">
        <v>-2.66</v>
      </c>
      <c r="DH89" s="228">
        <v>-0.06</v>
      </c>
      <c r="DI89" s="228">
        <v>24.32</v>
      </c>
      <c r="DJ89" s="228">
        <v>24.22</v>
      </c>
      <c r="DK89" s="228">
        <v>0.1</v>
      </c>
      <c r="DL89" s="228">
        <v>0.1</v>
      </c>
      <c r="DM89" s="228">
        <v>23.99</v>
      </c>
      <c r="DN89" s="228">
        <v>24.18</v>
      </c>
      <c r="DO89" s="228">
        <v>-0.19</v>
      </c>
      <c r="DP89" s="228">
        <v>-0.19</v>
      </c>
      <c r="DQ89" s="228">
        <v>0.61</v>
      </c>
      <c r="DR89" s="228">
        <v>0.62</v>
      </c>
      <c r="DS89" s="228">
        <v>-0.01</v>
      </c>
      <c r="DT89" s="229">
        <v>-1.61E-2</v>
      </c>
      <c r="DU89" s="231">
        <v>1900</v>
      </c>
      <c r="DV89" s="231">
        <v>1700</v>
      </c>
      <c r="DW89" s="228">
        <v>0.54</v>
      </c>
      <c r="DX89" s="228">
        <v>0.54</v>
      </c>
      <c r="DY89" s="228">
        <v>0</v>
      </c>
      <c r="DZ89" s="229">
        <v>0</v>
      </c>
      <c r="EA89" s="229">
        <v>5.6899999999999999E-2</v>
      </c>
      <c r="EB89" s="230">
        <v>296075</v>
      </c>
      <c r="EC89" s="229">
        <v>1.1000000000000001E-3</v>
      </c>
      <c r="ED89" s="229">
        <v>5.6899999999999999E-2</v>
      </c>
      <c r="EE89" s="228">
        <v>5.83</v>
      </c>
      <c r="EF89" s="229">
        <v>3.3E-3</v>
      </c>
      <c r="EG89" s="230">
        <v>550191</v>
      </c>
      <c r="EH89" s="230">
        <v>526651</v>
      </c>
      <c r="EI89" s="229">
        <v>4.4699999999999997E-2</v>
      </c>
      <c r="EJ89" s="229">
        <v>0.64570000000000005</v>
      </c>
      <c r="EK89" s="228">
        <v>119.67</v>
      </c>
      <c r="EL89" s="228">
        <v>61.54</v>
      </c>
      <c r="EM89" s="228">
        <v>62.16</v>
      </c>
      <c r="EN89" s="228">
        <v>45.41</v>
      </c>
      <c r="EO89" s="228">
        <v>243.37</v>
      </c>
      <c r="EP89" s="228">
        <v>196.98</v>
      </c>
      <c r="EQ89" s="228">
        <v>46.39</v>
      </c>
      <c r="ER89" s="229">
        <v>0.23549999999999999</v>
      </c>
      <c r="ES89" s="228">
        <v>96.09</v>
      </c>
      <c r="ET89" s="228">
        <v>55.06</v>
      </c>
      <c r="EU89" s="228">
        <v>939.51</v>
      </c>
      <c r="EV89" s="231">
        <v>27086521</v>
      </c>
      <c r="EW89" s="231">
        <v>1090.6600000000001</v>
      </c>
      <c r="EX89" s="231">
        <v>1066.24</v>
      </c>
      <c r="EY89" s="228">
        <v>24.42</v>
      </c>
      <c r="EZ89" s="229">
        <v>2.29E-2</v>
      </c>
      <c r="FA89" s="229">
        <v>0.2276</v>
      </c>
      <c r="FB89" s="227" t="s">
        <v>566</v>
      </c>
      <c r="FC89">
        <f t="shared" si="1"/>
        <v>53</v>
      </c>
    </row>
    <row r="90" spans="1:159" ht="17.25" thickBot="1" x14ac:dyDescent="0.3">
      <c r="A90" s="226">
        <v>46146</v>
      </c>
      <c r="B90" s="227" t="s">
        <v>175</v>
      </c>
      <c r="C90" s="227" t="s">
        <v>233</v>
      </c>
      <c r="D90" s="228">
        <v>925</v>
      </c>
      <c r="E90" s="228">
        <v>22</v>
      </c>
      <c r="F90" s="228">
        <v>538.15</v>
      </c>
      <c r="G90" s="228">
        <v>516</v>
      </c>
      <c r="H90" s="228">
        <v>22.15</v>
      </c>
      <c r="I90" s="229">
        <v>4.2900000000000001E-2</v>
      </c>
      <c r="J90" s="228">
        <v>535.54999999999995</v>
      </c>
      <c r="K90" s="228">
        <v>513.85</v>
      </c>
      <c r="L90" s="228">
        <v>21.7</v>
      </c>
      <c r="M90" s="229">
        <v>4.2200000000000001E-2</v>
      </c>
      <c r="N90" s="228">
        <v>538.15</v>
      </c>
      <c r="O90" s="228">
        <v>516</v>
      </c>
      <c r="P90" s="228">
        <v>22.15</v>
      </c>
      <c r="Q90" s="229">
        <v>4.2900000000000001E-2</v>
      </c>
      <c r="R90" s="228">
        <v>541.25</v>
      </c>
      <c r="S90" s="228">
        <v>519.1</v>
      </c>
      <c r="T90" s="228">
        <v>22.15</v>
      </c>
      <c r="U90" s="229">
        <v>4.2700000000000002E-2</v>
      </c>
      <c r="V90" s="228">
        <v>541.45000000000005</v>
      </c>
      <c r="W90" s="228">
        <v>523.25</v>
      </c>
      <c r="X90" s="228">
        <v>18.2</v>
      </c>
      <c r="Y90" s="229">
        <v>3.4799999999999998E-2</v>
      </c>
      <c r="Z90" s="228">
        <v>2.6</v>
      </c>
      <c r="AA90" s="228">
        <v>2.15</v>
      </c>
      <c r="AB90" s="228">
        <v>0.45</v>
      </c>
      <c r="AC90" s="229">
        <v>4.8999999999999998E-3</v>
      </c>
      <c r="AD90" s="228">
        <v>2.6</v>
      </c>
      <c r="AE90" s="228">
        <v>2.15</v>
      </c>
      <c r="AF90" s="228">
        <v>0.45</v>
      </c>
      <c r="AG90" s="229">
        <v>4.8999999999999998E-3</v>
      </c>
      <c r="AH90" s="228">
        <v>5.7</v>
      </c>
      <c r="AI90" s="228">
        <v>5.25</v>
      </c>
      <c r="AJ90" s="228">
        <v>0.45</v>
      </c>
      <c r="AK90" s="229">
        <v>1.06E-2</v>
      </c>
      <c r="AL90" s="228">
        <v>5.9</v>
      </c>
      <c r="AM90" s="228">
        <v>9.4</v>
      </c>
      <c r="AN90" s="228">
        <v>-3.5</v>
      </c>
      <c r="AO90" s="229">
        <v>1.0999999999999999E-2</v>
      </c>
      <c r="AP90" s="228">
        <v>532.54</v>
      </c>
      <c r="AQ90" s="228">
        <v>532.67999999999995</v>
      </c>
      <c r="AR90" s="228">
        <v>0</v>
      </c>
      <c r="AS90" s="228">
        <v>181</v>
      </c>
      <c r="AT90" s="228">
        <v>71</v>
      </c>
      <c r="AU90" s="228">
        <v>110</v>
      </c>
      <c r="AV90" s="229">
        <v>1.5434000000000001</v>
      </c>
      <c r="AW90" s="228">
        <v>174</v>
      </c>
      <c r="AX90" s="228">
        <v>69</v>
      </c>
      <c r="AY90" s="228">
        <v>105</v>
      </c>
      <c r="AZ90" s="229">
        <v>1.5147999999999999</v>
      </c>
      <c r="BA90" s="228">
        <v>7</v>
      </c>
      <c r="BB90" s="228">
        <v>2</v>
      </c>
      <c r="BC90" s="228">
        <v>5</v>
      </c>
      <c r="BD90" s="229">
        <v>2.5526</v>
      </c>
      <c r="BE90" s="228">
        <v>0</v>
      </c>
      <c r="BF90" s="228">
        <v>0</v>
      </c>
      <c r="BG90" s="228">
        <v>0</v>
      </c>
      <c r="BH90" s="229">
        <v>2</v>
      </c>
      <c r="BI90" s="228">
        <v>345</v>
      </c>
      <c r="BJ90" s="228">
        <v>161</v>
      </c>
      <c r="BK90" s="228">
        <v>185</v>
      </c>
      <c r="BL90" s="229">
        <v>1.1507000000000001</v>
      </c>
      <c r="BM90" s="228">
        <v>140</v>
      </c>
      <c r="BN90" s="228">
        <v>72</v>
      </c>
      <c r="BO90" s="228">
        <v>68</v>
      </c>
      <c r="BP90" s="229">
        <v>0.95130000000000003</v>
      </c>
      <c r="BQ90" s="228">
        <v>666</v>
      </c>
      <c r="BR90" s="228">
        <v>303</v>
      </c>
      <c r="BS90" s="228">
        <v>363</v>
      </c>
      <c r="BT90" s="229">
        <v>1.1958</v>
      </c>
      <c r="BU90" s="230">
        <v>2009432</v>
      </c>
      <c r="BV90" s="230">
        <v>1155239</v>
      </c>
      <c r="BW90" s="230">
        <v>854193</v>
      </c>
      <c r="BX90" s="229">
        <v>0.73939999999999995</v>
      </c>
      <c r="BY90" s="230">
        <v>1111</v>
      </c>
      <c r="BZ90" s="230">
        <v>1089</v>
      </c>
      <c r="CA90" s="228">
        <v>22</v>
      </c>
      <c r="CB90" s="229">
        <v>1.9900000000000001E-2</v>
      </c>
      <c r="CC90" s="230">
        <v>1099</v>
      </c>
      <c r="CD90" s="230">
        <v>1080</v>
      </c>
      <c r="CE90" s="228">
        <v>19</v>
      </c>
      <c r="CF90" s="229">
        <v>1.77E-2</v>
      </c>
      <c r="CG90" s="228">
        <v>12</v>
      </c>
      <c r="CH90" s="228">
        <v>9</v>
      </c>
      <c r="CI90" s="228">
        <v>2</v>
      </c>
      <c r="CJ90" s="229">
        <v>0.25269999999999998</v>
      </c>
      <c r="CK90" s="228">
        <v>0</v>
      </c>
      <c r="CL90" s="228">
        <v>0</v>
      </c>
      <c r="CM90" s="228">
        <v>0</v>
      </c>
      <c r="CN90" s="229">
        <v>1</v>
      </c>
      <c r="CO90" s="228">
        <v>176</v>
      </c>
      <c r="CP90" s="228">
        <v>170</v>
      </c>
      <c r="CQ90" s="228">
        <v>6</v>
      </c>
      <c r="CR90" s="229">
        <v>3.56E-2</v>
      </c>
      <c r="CS90" s="228">
        <v>115</v>
      </c>
      <c r="CT90" s="228">
        <v>116</v>
      </c>
      <c r="CU90" s="228">
        <v>-1</v>
      </c>
      <c r="CV90" s="229">
        <v>-5.1999999999999998E-3</v>
      </c>
      <c r="CW90" s="230">
        <v>1403</v>
      </c>
      <c r="CX90" s="230">
        <v>1375</v>
      </c>
      <c r="CY90" s="228">
        <v>27</v>
      </c>
      <c r="CZ90" s="229">
        <v>1.9699999999999999E-2</v>
      </c>
      <c r="DA90" s="228">
        <v>31.5</v>
      </c>
      <c r="DB90" s="228">
        <v>31</v>
      </c>
      <c r="DC90" s="228">
        <v>0.5</v>
      </c>
      <c r="DD90" s="228">
        <v>0.5</v>
      </c>
      <c r="DE90" s="228">
        <v>29.64</v>
      </c>
      <c r="DF90" s="228">
        <v>29.16</v>
      </c>
      <c r="DG90" s="228">
        <v>1.86</v>
      </c>
      <c r="DH90" s="228">
        <v>0.48</v>
      </c>
      <c r="DI90" s="228">
        <v>31.12</v>
      </c>
      <c r="DJ90" s="228">
        <v>30.95</v>
      </c>
      <c r="DK90" s="228">
        <v>0.17</v>
      </c>
      <c r="DL90" s="228">
        <v>0.17</v>
      </c>
      <c r="DM90" s="228">
        <v>32.450000000000003</v>
      </c>
      <c r="DN90" s="228">
        <v>31.12</v>
      </c>
      <c r="DO90" s="228">
        <v>1.33</v>
      </c>
      <c r="DP90" s="228">
        <v>1.33</v>
      </c>
      <c r="DQ90" s="228">
        <v>0.65</v>
      </c>
      <c r="DR90" s="228">
        <v>0.68</v>
      </c>
      <c r="DS90" s="228">
        <v>-0.03</v>
      </c>
      <c r="DT90" s="229">
        <v>-4.41E-2</v>
      </c>
      <c r="DU90" s="228">
        <v>540</v>
      </c>
      <c r="DV90" s="228">
        <v>500</v>
      </c>
      <c r="DW90" s="228">
        <v>0.4</v>
      </c>
      <c r="DX90" s="228">
        <v>0.45</v>
      </c>
      <c r="DY90" s="228">
        <v>-0.05</v>
      </c>
      <c r="DZ90" s="229">
        <v>-0.1111</v>
      </c>
      <c r="EA90" s="229">
        <v>1.09E-2</v>
      </c>
      <c r="EB90" s="230">
        <v>176675</v>
      </c>
      <c r="EC90" s="229">
        <v>5.7999999999999996E-3</v>
      </c>
      <c r="ED90" s="229">
        <v>1.09E-2</v>
      </c>
      <c r="EE90" s="228">
        <v>0.14000000000000001</v>
      </c>
      <c r="EF90" s="229">
        <v>2.9999999999999997E-4</v>
      </c>
      <c r="EG90" s="230">
        <v>968111</v>
      </c>
      <c r="EH90" s="230">
        <v>556759</v>
      </c>
      <c r="EI90" s="229">
        <v>0.73880000000000001</v>
      </c>
      <c r="EJ90" s="229">
        <v>0.48180000000000001</v>
      </c>
      <c r="EK90" s="228">
        <v>360.35</v>
      </c>
      <c r="EL90" s="228">
        <v>135.63999999999999</v>
      </c>
      <c r="EM90" s="228">
        <v>179.16</v>
      </c>
      <c r="EN90" s="228">
        <v>59.79</v>
      </c>
      <c r="EO90" s="228">
        <v>675.14</v>
      </c>
      <c r="EP90" s="228">
        <v>301.41000000000003</v>
      </c>
      <c r="EQ90" s="228">
        <v>373.73</v>
      </c>
      <c r="ER90" s="229">
        <v>1.24</v>
      </c>
      <c r="ES90" s="228">
        <v>182.67</v>
      </c>
      <c r="ET90" s="228">
        <v>109.98</v>
      </c>
      <c r="EU90" s="231">
        <v>1110.99</v>
      </c>
      <c r="EV90" s="231">
        <v>58892926</v>
      </c>
      <c r="EW90" s="231">
        <v>1403.63</v>
      </c>
      <c r="EX90" s="231">
        <v>1329.52</v>
      </c>
      <c r="EY90" s="228">
        <v>74.11</v>
      </c>
      <c r="EZ90" s="229">
        <v>5.57E-2</v>
      </c>
      <c r="FA90" s="229">
        <v>0.4425</v>
      </c>
      <c r="FB90" s="227" t="s">
        <v>555</v>
      </c>
      <c r="FC90">
        <f t="shared" si="1"/>
        <v>12</v>
      </c>
    </row>
    <row r="91" spans="1:159" ht="17.25" thickBot="1" x14ac:dyDescent="0.3">
      <c r="A91" s="226">
        <v>46146</v>
      </c>
      <c r="B91" s="227" t="s">
        <v>188</v>
      </c>
      <c r="C91" s="227" t="s">
        <v>234</v>
      </c>
      <c r="D91" s="228">
        <v>71475</v>
      </c>
      <c r="E91" s="228">
        <v>22</v>
      </c>
      <c r="F91" s="228">
        <v>10.57</v>
      </c>
      <c r="G91" s="228">
        <v>10.26</v>
      </c>
      <c r="H91" s="228">
        <v>0.31</v>
      </c>
      <c r="I91" s="229">
        <v>3.0200000000000001E-2</v>
      </c>
      <c r="J91" s="228">
        <v>10.52</v>
      </c>
      <c r="K91" s="228">
        <v>10.220000000000001</v>
      </c>
      <c r="L91" s="228">
        <v>0.3</v>
      </c>
      <c r="M91" s="229">
        <v>2.9399999999999999E-2</v>
      </c>
      <c r="N91" s="228">
        <v>10.57</v>
      </c>
      <c r="O91" s="228">
        <v>10.26</v>
      </c>
      <c r="P91" s="228">
        <v>0.31</v>
      </c>
      <c r="Q91" s="229">
        <v>3.0200000000000001E-2</v>
      </c>
      <c r="R91" s="228">
        <v>10.63</v>
      </c>
      <c r="S91" s="228">
        <v>10.33</v>
      </c>
      <c r="T91" s="228">
        <v>0.3</v>
      </c>
      <c r="U91" s="229">
        <v>2.9000000000000001E-2</v>
      </c>
      <c r="V91" s="228">
        <v>10.71</v>
      </c>
      <c r="W91" s="228">
        <v>10.4</v>
      </c>
      <c r="X91" s="228">
        <v>0.31</v>
      </c>
      <c r="Y91" s="229">
        <v>2.98E-2</v>
      </c>
      <c r="Z91" s="228">
        <v>0.05</v>
      </c>
      <c r="AA91" s="228">
        <v>0.04</v>
      </c>
      <c r="AB91" s="228">
        <v>0.01</v>
      </c>
      <c r="AC91" s="229">
        <v>4.7999999999999996E-3</v>
      </c>
      <c r="AD91" s="228">
        <v>0.05</v>
      </c>
      <c r="AE91" s="228">
        <v>0.04</v>
      </c>
      <c r="AF91" s="228">
        <v>0.01</v>
      </c>
      <c r="AG91" s="229">
        <v>4.7999999999999996E-3</v>
      </c>
      <c r="AH91" s="228">
        <v>0.11</v>
      </c>
      <c r="AI91" s="228">
        <v>0.11</v>
      </c>
      <c r="AJ91" s="228">
        <v>0</v>
      </c>
      <c r="AK91" s="229">
        <v>1.0500000000000001E-2</v>
      </c>
      <c r="AL91" s="228">
        <v>0.19</v>
      </c>
      <c r="AM91" s="228">
        <v>0.18</v>
      </c>
      <c r="AN91" s="228">
        <v>0.01</v>
      </c>
      <c r="AO91" s="229">
        <v>1.8100000000000002E-2</v>
      </c>
      <c r="AP91" s="228">
        <v>10.63</v>
      </c>
      <c r="AQ91" s="228">
        <v>10.73</v>
      </c>
      <c r="AR91" s="228">
        <v>0</v>
      </c>
      <c r="AS91" s="230">
        <v>1692</v>
      </c>
      <c r="AT91" s="228">
        <v>446</v>
      </c>
      <c r="AU91" s="230">
        <v>1246</v>
      </c>
      <c r="AV91" s="229">
        <v>2.7955000000000001</v>
      </c>
      <c r="AW91" s="230">
        <v>1587</v>
      </c>
      <c r="AX91" s="228">
        <v>414</v>
      </c>
      <c r="AY91" s="230">
        <v>1172</v>
      </c>
      <c r="AZ91" s="229">
        <v>2.8304</v>
      </c>
      <c r="BA91" s="228">
        <v>95</v>
      </c>
      <c r="BB91" s="228">
        <v>27</v>
      </c>
      <c r="BC91" s="228">
        <v>68</v>
      </c>
      <c r="BD91" s="229">
        <v>2.4695999999999998</v>
      </c>
      <c r="BE91" s="228">
        <v>11</v>
      </c>
      <c r="BF91" s="228">
        <v>4</v>
      </c>
      <c r="BG91" s="228">
        <v>6</v>
      </c>
      <c r="BH91" s="229">
        <v>1.5087999999999999</v>
      </c>
      <c r="BI91" s="230">
        <v>3202</v>
      </c>
      <c r="BJ91" s="230">
        <v>1401</v>
      </c>
      <c r="BK91" s="230">
        <v>1801</v>
      </c>
      <c r="BL91" s="229">
        <v>1.2855000000000001</v>
      </c>
      <c r="BM91" s="228">
        <v>772</v>
      </c>
      <c r="BN91" s="228">
        <v>410</v>
      </c>
      <c r="BO91" s="228">
        <v>362</v>
      </c>
      <c r="BP91" s="229">
        <v>0.88249999999999995</v>
      </c>
      <c r="BQ91" s="230">
        <v>5666</v>
      </c>
      <c r="BR91" s="230">
        <v>2257</v>
      </c>
      <c r="BS91" s="230">
        <v>3409</v>
      </c>
      <c r="BT91" s="229">
        <v>1.5105999999999999</v>
      </c>
      <c r="BU91" s="230">
        <v>1243636770</v>
      </c>
      <c r="BV91" s="230">
        <v>434076419</v>
      </c>
      <c r="BW91" s="230">
        <v>809560351</v>
      </c>
      <c r="BX91" s="229">
        <v>1.865</v>
      </c>
      <c r="BY91" s="230">
        <v>7149</v>
      </c>
      <c r="BZ91" s="230">
        <v>6905</v>
      </c>
      <c r="CA91" s="228">
        <v>243</v>
      </c>
      <c r="CB91" s="229">
        <v>3.5299999999999998E-2</v>
      </c>
      <c r="CC91" s="230">
        <v>6947</v>
      </c>
      <c r="CD91" s="230">
        <v>6751</v>
      </c>
      <c r="CE91" s="228">
        <v>196</v>
      </c>
      <c r="CF91" s="229">
        <v>2.9100000000000001E-2</v>
      </c>
      <c r="CG91" s="228">
        <v>185</v>
      </c>
      <c r="CH91" s="228">
        <v>144</v>
      </c>
      <c r="CI91" s="228">
        <v>41</v>
      </c>
      <c r="CJ91" s="229">
        <v>0.28349999999999997</v>
      </c>
      <c r="CK91" s="228">
        <v>17</v>
      </c>
      <c r="CL91" s="228">
        <v>11</v>
      </c>
      <c r="CM91" s="228">
        <v>6</v>
      </c>
      <c r="CN91" s="229">
        <v>0.58989999999999998</v>
      </c>
      <c r="CO91" s="230">
        <v>1683</v>
      </c>
      <c r="CP91" s="230">
        <v>1400</v>
      </c>
      <c r="CQ91" s="228">
        <v>283</v>
      </c>
      <c r="CR91" s="229">
        <v>0.20219999999999999</v>
      </c>
      <c r="CS91" s="228">
        <v>816</v>
      </c>
      <c r="CT91" s="228">
        <v>712</v>
      </c>
      <c r="CU91" s="228">
        <v>104</v>
      </c>
      <c r="CV91" s="229">
        <v>0.1457</v>
      </c>
      <c r="CW91" s="230">
        <v>9648</v>
      </c>
      <c r="CX91" s="230">
        <v>9018</v>
      </c>
      <c r="CY91" s="228">
        <v>630</v>
      </c>
      <c r="CZ91" s="229">
        <v>6.9900000000000004E-2</v>
      </c>
      <c r="DA91" s="228">
        <v>53.39</v>
      </c>
      <c r="DB91" s="228">
        <v>49.47</v>
      </c>
      <c r="DC91" s="228">
        <v>3.92</v>
      </c>
      <c r="DD91" s="228">
        <v>3.92</v>
      </c>
      <c r="DE91" s="228">
        <v>63.52</v>
      </c>
      <c r="DF91" s="228">
        <v>63.55</v>
      </c>
      <c r="DG91" s="228">
        <v>-10.130000000000001</v>
      </c>
      <c r="DH91" s="228">
        <v>-0.03</v>
      </c>
      <c r="DI91" s="228">
        <v>54.28</v>
      </c>
      <c r="DJ91" s="228">
        <v>49.91</v>
      </c>
      <c r="DK91" s="228">
        <v>4.37</v>
      </c>
      <c r="DL91" s="228">
        <v>4.37</v>
      </c>
      <c r="DM91" s="228">
        <v>49.7</v>
      </c>
      <c r="DN91" s="228">
        <v>47.99</v>
      </c>
      <c r="DO91" s="228">
        <v>1.71</v>
      </c>
      <c r="DP91" s="228">
        <v>1.71</v>
      </c>
      <c r="DQ91" s="228">
        <v>0.48</v>
      </c>
      <c r="DR91" s="228">
        <v>0.51</v>
      </c>
      <c r="DS91" s="228">
        <v>-0.03</v>
      </c>
      <c r="DT91" s="229">
        <v>-5.8799999999999998E-2</v>
      </c>
      <c r="DU91" s="228">
        <v>11</v>
      </c>
      <c r="DV91" s="228">
        <v>10</v>
      </c>
      <c r="DW91" s="228">
        <v>0.24</v>
      </c>
      <c r="DX91" s="228">
        <v>0.28999999999999998</v>
      </c>
      <c r="DY91" s="228">
        <v>-0.05</v>
      </c>
      <c r="DZ91" s="229">
        <v>-0.1724</v>
      </c>
      <c r="EA91" s="229">
        <v>2.8199999999999999E-2</v>
      </c>
      <c r="EB91" s="230">
        <v>146094900</v>
      </c>
      <c r="EC91" s="229">
        <v>5.7000000000000002E-3</v>
      </c>
      <c r="ED91" s="229">
        <v>2.8199999999999999E-2</v>
      </c>
      <c r="EE91" s="228">
        <v>0.1</v>
      </c>
      <c r="EF91" s="229">
        <v>9.4000000000000004E-3</v>
      </c>
      <c r="EG91" s="230">
        <v>360043480</v>
      </c>
      <c r="EH91" s="230">
        <v>80677061</v>
      </c>
      <c r="EI91" s="229">
        <v>3.4628000000000001</v>
      </c>
      <c r="EJ91" s="229">
        <v>0.28949999999999998</v>
      </c>
      <c r="EK91" s="231">
        <v>3690.48</v>
      </c>
      <c r="EL91" s="228">
        <v>753.69</v>
      </c>
      <c r="EM91" s="231">
        <v>1702.75</v>
      </c>
      <c r="EN91" s="228">
        <v>273.95999999999998</v>
      </c>
      <c r="EO91" s="231">
        <v>6146.92</v>
      </c>
      <c r="EP91" s="231">
        <v>2366.29</v>
      </c>
      <c r="EQ91" s="231">
        <v>3780.63</v>
      </c>
      <c r="ER91" s="229">
        <v>1.5976999999999999</v>
      </c>
      <c r="ES91" s="231">
        <v>1812.72</v>
      </c>
      <c r="ET91" s="228">
        <v>772.12</v>
      </c>
      <c r="EU91" s="231">
        <v>7150.18</v>
      </c>
      <c r="EV91" s="231">
        <v>12096038468</v>
      </c>
      <c r="EW91" s="231">
        <v>9735.02</v>
      </c>
      <c r="EX91" s="231">
        <v>8844.59</v>
      </c>
      <c r="EY91" s="228">
        <v>890.43</v>
      </c>
      <c r="EZ91" s="229">
        <v>0.1007</v>
      </c>
      <c r="FA91" s="229">
        <v>0.75460000000000005</v>
      </c>
      <c r="FB91" s="227" t="s">
        <v>555</v>
      </c>
      <c r="FC91">
        <f t="shared" si="1"/>
        <v>202</v>
      </c>
    </row>
    <row r="92" spans="1:159" ht="17.25" thickBot="1" x14ac:dyDescent="0.3">
      <c r="A92" s="226">
        <v>46146</v>
      </c>
      <c r="B92" s="227" t="s">
        <v>172</v>
      </c>
      <c r="C92" s="227" t="s">
        <v>235</v>
      </c>
      <c r="D92" s="228">
        <v>9275</v>
      </c>
      <c r="E92" s="228">
        <v>22</v>
      </c>
      <c r="F92" s="228">
        <v>69.989999999999995</v>
      </c>
      <c r="G92" s="228">
        <v>70.06</v>
      </c>
      <c r="H92" s="228">
        <v>-7.0000000000000007E-2</v>
      </c>
      <c r="I92" s="229">
        <v>-1E-3</v>
      </c>
      <c r="J92" s="228">
        <v>69.59</v>
      </c>
      <c r="K92" s="228">
        <v>69.64</v>
      </c>
      <c r="L92" s="228">
        <v>-0.05</v>
      </c>
      <c r="M92" s="229">
        <v>-6.9999999999999999E-4</v>
      </c>
      <c r="N92" s="228">
        <v>69.989999999999995</v>
      </c>
      <c r="O92" s="228">
        <v>70.06</v>
      </c>
      <c r="P92" s="228">
        <v>-7.0000000000000007E-2</v>
      </c>
      <c r="Q92" s="229">
        <v>-1E-3</v>
      </c>
      <c r="R92" s="228">
        <v>70.459999999999994</v>
      </c>
      <c r="S92" s="228">
        <v>70.489999999999995</v>
      </c>
      <c r="T92" s="228">
        <v>-0.03</v>
      </c>
      <c r="U92" s="229">
        <v>-4.0000000000000002E-4</v>
      </c>
      <c r="V92" s="228">
        <v>70.75</v>
      </c>
      <c r="W92" s="228">
        <v>70.739999999999995</v>
      </c>
      <c r="X92" s="228">
        <v>0.01</v>
      </c>
      <c r="Y92" s="229">
        <v>1E-4</v>
      </c>
      <c r="Z92" s="228">
        <v>0.4</v>
      </c>
      <c r="AA92" s="228">
        <v>0.42</v>
      </c>
      <c r="AB92" s="228">
        <v>-0.02</v>
      </c>
      <c r="AC92" s="229">
        <v>5.7000000000000002E-3</v>
      </c>
      <c r="AD92" s="228">
        <v>0.4</v>
      </c>
      <c r="AE92" s="228">
        <v>0.42</v>
      </c>
      <c r="AF92" s="228">
        <v>-0.02</v>
      </c>
      <c r="AG92" s="229">
        <v>5.7000000000000002E-3</v>
      </c>
      <c r="AH92" s="228">
        <v>0.87</v>
      </c>
      <c r="AI92" s="228">
        <v>0.85</v>
      </c>
      <c r="AJ92" s="228">
        <v>0.02</v>
      </c>
      <c r="AK92" s="229">
        <v>1.2500000000000001E-2</v>
      </c>
      <c r="AL92" s="228">
        <v>1.1599999999999999</v>
      </c>
      <c r="AM92" s="228">
        <v>1.1000000000000001</v>
      </c>
      <c r="AN92" s="228">
        <v>0.06</v>
      </c>
      <c r="AO92" s="229">
        <v>1.67E-2</v>
      </c>
      <c r="AP92" s="228">
        <v>70.42</v>
      </c>
      <c r="AQ92" s="228">
        <v>71</v>
      </c>
      <c r="AR92" s="228">
        <v>0</v>
      </c>
      <c r="AS92" s="228">
        <v>242</v>
      </c>
      <c r="AT92" s="228">
        <v>342</v>
      </c>
      <c r="AU92" s="228">
        <v>-100</v>
      </c>
      <c r="AV92" s="229">
        <v>-0.29299999999999998</v>
      </c>
      <c r="AW92" s="228">
        <v>210</v>
      </c>
      <c r="AX92" s="228">
        <v>301</v>
      </c>
      <c r="AY92" s="228">
        <v>-90</v>
      </c>
      <c r="AZ92" s="229">
        <v>-0.3009</v>
      </c>
      <c r="BA92" s="228">
        <v>29</v>
      </c>
      <c r="BB92" s="228">
        <v>37</v>
      </c>
      <c r="BC92" s="228">
        <v>-8</v>
      </c>
      <c r="BD92" s="229">
        <v>-0.2185</v>
      </c>
      <c r="BE92" s="228">
        <v>3</v>
      </c>
      <c r="BF92" s="228">
        <v>5</v>
      </c>
      <c r="BG92" s="228">
        <v>-2</v>
      </c>
      <c r="BH92" s="229">
        <v>-0.36990000000000001</v>
      </c>
      <c r="BI92" s="228">
        <v>469</v>
      </c>
      <c r="BJ92" s="228">
        <v>514</v>
      </c>
      <c r="BK92" s="228">
        <v>-45</v>
      </c>
      <c r="BL92" s="229">
        <v>-8.7599999999999997E-2</v>
      </c>
      <c r="BM92" s="228">
        <v>423</v>
      </c>
      <c r="BN92" s="228">
        <v>371</v>
      </c>
      <c r="BO92" s="228">
        <v>52</v>
      </c>
      <c r="BP92" s="229">
        <v>0.14099999999999999</v>
      </c>
      <c r="BQ92" s="230">
        <v>1134</v>
      </c>
      <c r="BR92" s="230">
        <v>1227</v>
      </c>
      <c r="BS92" s="228">
        <v>-93</v>
      </c>
      <c r="BT92" s="229">
        <v>-7.5700000000000003E-2</v>
      </c>
      <c r="BU92" s="230">
        <v>21757124</v>
      </c>
      <c r="BV92" s="230">
        <v>25606993</v>
      </c>
      <c r="BW92" s="230">
        <v>-3849869</v>
      </c>
      <c r="BX92" s="229">
        <v>-0.15029999999999999</v>
      </c>
      <c r="BY92" s="230">
        <v>2850</v>
      </c>
      <c r="BZ92" s="230">
        <v>2803</v>
      </c>
      <c r="CA92" s="228">
        <v>47</v>
      </c>
      <c r="CB92" s="229">
        <v>1.67E-2</v>
      </c>
      <c r="CC92" s="230">
        <v>2551</v>
      </c>
      <c r="CD92" s="230">
        <v>2515</v>
      </c>
      <c r="CE92" s="228">
        <v>36</v>
      </c>
      <c r="CF92" s="229">
        <v>1.4200000000000001E-2</v>
      </c>
      <c r="CG92" s="228">
        <v>291</v>
      </c>
      <c r="CH92" s="228">
        <v>282</v>
      </c>
      <c r="CI92" s="228">
        <v>9</v>
      </c>
      <c r="CJ92" s="229">
        <v>3.1E-2</v>
      </c>
      <c r="CK92" s="228">
        <v>8</v>
      </c>
      <c r="CL92" s="228">
        <v>6</v>
      </c>
      <c r="CM92" s="228">
        <v>2</v>
      </c>
      <c r="CN92" s="229">
        <v>0.4118</v>
      </c>
      <c r="CO92" s="228">
        <v>602</v>
      </c>
      <c r="CP92" s="228">
        <v>583</v>
      </c>
      <c r="CQ92" s="228">
        <v>19</v>
      </c>
      <c r="CR92" s="229">
        <v>3.2500000000000001E-2</v>
      </c>
      <c r="CS92" s="228">
        <v>557</v>
      </c>
      <c r="CT92" s="228">
        <v>538</v>
      </c>
      <c r="CU92" s="228">
        <v>19</v>
      </c>
      <c r="CV92" s="229">
        <v>3.5299999999999998E-2</v>
      </c>
      <c r="CW92" s="230">
        <v>4010</v>
      </c>
      <c r="CX92" s="230">
        <v>3925</v>
      </c>
      <c r="CY92" s="228">
        <v>85</v>
      </c>
      <c r="CZ92" s="229">
        <v>2.1600000000000001E-2</v>
      </c>
      <c r="DA92" s="228">
        <v>31.98</v>
      </c>
      <c r="DB92" s="228">
        <v>31.17</v>
      </c>
      <c r="DC92" s="228">
        <v>0.81</v>
      </c>
      <c r="DD92" s="228">
        <v>0.81</v>
      </c>
      <c r="DE92" s="228">
        <v>41.25</v>
      </c>
      <c r="DF92" s="228">
        <v>41.36</v>
      </c>
      <c r="DG92" s="228">
        <v>-9.27</v>
      </c>
      <c r="DH92" s="228">
        <v>-0.11</v>
      </c>
      <c r="DI92" s="228">
        <v>31.31</v>
      </c>
      <c r="DJ92" s="228">
        <v>30.81</v>
      </c>
      <c r="DK92" s="228">
        <v>0.5</v>
      </c>
      <c r="DL92" s="228">
        <v>0.5</v>
      </c>
      <c r="DM92" s="228">
        <v>32.729999999999997</v>
      </c>
      <c r="DN92" s="228">
        <v>31.67</v>
      </c>
      <c r="DO92" s="228">
        <v>1.06</v>
      </c>
      <c r="DP92" s="228">
        <v>1.06</v>
      </c>
      <c r="DQ92" s="228">
        <v>0.93</v>
      </c>
      <c r="DR92" s="228">
        <v>0.92</v>
      </c>
      <c r="DS92" s="228">
        <v>0.01</v>
      </c>
      <c r="DT92" s="229">
        <v>1.09E-2</v>
      </c>
      <c r="DU92" s="228">
        <v>70</v>
      </c>
      <c r="DV92" s="228">
        <v>70</v>
      </c>
      <c r="DW92" s="228">
        <v>0.9</v>
      </c>
      <c r="DX92" s="228">
        <v>0.72</v>
      </c>
      <c r="DY92" s="228">
        <v>0.18</v>
      </c>
      <c r="DZ92" s="229">
        <v>0.25</v>
      </c>
      <c r="EA92" s="229">
        <v>0.10489999999999999</v>
      </c>
      <c r="EB92" s="230">
        <v>41134625</v>
      </c>
      <c r="EC92" s="229">
        <v>6.7000000000000002E-3</v>
      </c>
      <c r="ED92" s="229">
        <v>0.10489999999999999</v>
      </c>
      <c r="EE92" s="228">
        <v>0.57999999999999996</v>
      </c>
      <c r="EF92" s="229">
        <v>8.2000000000000007E-3</v>
      </c>
      <c r="EG92" s="230">
        <v>12119427</v>
      </c>
      <c r="EH92" s="230">
        <v>11984063</v>
      </c>
      <c r="EI92" s="229">
        <v>1.1299999999999999E-2</v>
      </c>
      <c r="EJ92" s="229">
        <v>0.55700000000000005</v>
      </c>
      <c r="EK92" s="228">
        <v>500.67</v>
      </c>
      <c r="EL92" s="228">
        <v>411.35</v>
      </c>
      <c r="EM92" s="228">
        <v>243.44</v>
      </c>
      <c r="EN92" s="228">
        <v>147.4</v>
      </c>
      <c r="EO92" s="231">
        <v>1155.46</v>
      </c>
      <c r="EP92" s="231">
        <v>1256.8599999999999</v>
      </c>
      <c r="EQ92" s="228">
        <v>-101.4</v>
      </c>
      <c r="ER92" s="229">
        <v>-8.0699999999999994E-2</v>
      </c>
      <c r="ES92" s="228">
        <v>623.63</v>
      </c>
      <c r="ET92" s="228">
        <v>544.79</v>
      </c>
      <c r="EU92" s="231">
        <v>2852.16</v>
      </c>
      <c r="EV92" s="231">
        <v>1101871266</v>
      </c>
      <c r="EW92" s="231">
        <v>4020.58</v>
      </c>
      <c r="EX92" s="231">
        <v>3938.56</v>
      </c>
      <c r="EY92" s="228">
        <v>82.02</v>
      </c>
      <c r="EZ92" s="229">
        <v>2.0799999999999999E-2</v>
      </c>
      <c r="FA92" s="229">
        <v>0.51990000000000003</v>
      </c>
      <c r="FB92" s="227" t="s">
        <v>566</v>
      </c>
      <c r="FC92">
        <f t="shared" si="1"/>
        <v>299</v>
      </c>
    </row>
    <row r="93" spans="1:159" ht="17.25" thickBot="1" x14ac:dyDescent="0.3">
      <c r="A93" s="226">
        <v>46146</v>
      </c>
      <c r="B93" s="227" t="s">
        <v>161</v>
      </c>
      <c r="C93" s="227" t="s">
        <v>514</v>
      </c>
      <c r="D93" s="228">
        <v>3750</v>
      </c>
      <c r="E93" s="228">
        <v>22</v>
      </c>
      <c r="F93" s="228">
        <v>125.72</v>
      </c>
      <c r="G93" s="228">
        <v>124.03</v>
      </c>
      <c r="H93" s="228">
        <v>1.69</v>
      </c>
      <c r="I93" s="229">
        <v>1.3599999999999999E-2</v>
      </c>
      <c r="J93" s="228">
        <v>126.97</v>
      </c>
      <c r="K93" s="228">
        <v>125.19</v>
      </c>
      <c r="L93" s="228">
        <v>1.78</v>
      </c>
      <c r="M93" s="229">
        <v>1.4200000000000001E-2</v>
      </c>
      <c r="N93" s="228">
        <v>125.72</v>
      </c>
      <c r="O93" s="228">
        <v>124.03</v>
      </c>
      <c r="P93" s="228">
        <v>1.69</v>
      </c>
      <c r="Q93" s="229">
        <v>1.3599999999999999E-2</v>
      </c>
      <c r="R93" s="228">
        <v>126.3</v>
      </c>
      <c r="S93" s="228">
        <v>124.69</v>
      </c>
      <c r="T93" s="228">
        <v>1.61</v>
      </c>
      <c r="U93" s="229">
        <v>1.29E-2</v>
      </c>
      <c r="V93" s="228">
        <v>127.08</v>
      </c>
      <c r="W93" s="228">
        <v>124.95</v>
      </c>
      <c r="X93" s="228">
        <v>2.13</v>
      </c>
      <c r="Y93" s="229">
        <v>1.7000000000000001E-2</v>
      </c>
      <c r="Z93" s="228">
        <v>-1.25</v>
      </c>
      <c r="AA93" s="228">
        <v>-1.1599999999999999</v>
      </c>
      <c r="AB93" s="228">
        <v>-0.09</v>
      </c>
      <c r="AC93" s="229">
        <v>-9.7999999999999997E-3</v>
      </c>
      <c r="AD93" s="228">
        <v>-1.25</v>
      </c>
      <c r="AE93" s="228">
        <v>-1.1599999999999999</v>
      </c>
      <c r="AF93" s="228">
        <v>-0.09</v>
      </c>
      <c r="AG93" s="229">
        <v>-9.7999999999999997E-3</v>
      </c>
      <c r="AH93" s="228">
        <v>-0.67</v>
      </c>
      <c r="AI93" s="228">
        <v>-0.5</v>
      </c>
      <c r="AJ93" s="228">
        <v>-0.17</v>
      </c>
      <c r="AK93" s="229">
        <v>-5.3E-3</v>
      </c>
      <c r="AL93" s="228">
        <v>0.11</v>
      </c>
      <c r="AM93" s="228">
        <v>-0.24</v>
      </c>
      <c r="AN93" s="228">
        <v>0.35</v>
      </c>
      <c r="AO93" s="229">
        <v>8.9999999999999998E-4</v>
      </c>
      <c r="AP93" s="228">
        <v>125.34</v>
      </c>
      <c r="AQ93" s="228">
        <v>125.9</v>
      </c>
      <c r="AR93" s="228">
        <v>0</v>
      </c>
      <c r="AS93" s="228">
        <v>107</v>
      </c>
      <c r="AT93" s="228">
        <v>70</v>
      </c>
      <c r="AU93" s="228">
        <v>36</v>
      </c>
      <c r="AV93" s="229">
        <v>0.51739999999999997</v>
      </c>
      <c r="AW93" s="228">
        <v>99</v>
      </c>
      <c r="AX93" s="228">
        <v>64</v>
      </c>
      <c r="AY93" s="228">
        <v>35</v>
      </c>
      <c r="AZ93" s="229">
        <v>0.5524</v>
      </c>
      <c r="BA93" s="228">
        <v>7</v>
      </c>
      <c r="BB93" s="228">
        <v>5</v>
      </c>
      <c r="BC93" s="228">
        <v>1</v>
      </c>
      <c r="BD93" s="229">
        <v>0.26719999999999999</v>
      </c>
      <c r="BE93" s="228">
        <v>1</v>
      </c>
      <c r="BF93" s="228">
        <v>1</v>
      </c>
      <c r="BG93" s="228">
        <v>0</v>
      </c>
      <c r="BH93" s="229">
        <v>-0.4</v>
      </c>
      <c r="BI93" s="228">
        <v>393</v>
      </c>
      <c r="BJ93" s="228">
        <v>320</v>
      </c>
      <c r="BK93" s="228">
        <v>73</v>
      </c>
      <c r="BL93" s="229">
        <v>0.22969999999999999</v>
      </c>
      <c r="BM93" s="228">
        <v>179</v>
      </c>
      <c r="BN93" s="228">
        <v>113</v>
      </c>
      <c r="BO93" s="228">
        <v>66</v>
      </c>
      <c r="BP93" s="229">
        <v>0.57989999999999997</v>
      </c>
      <c r="BQ93" s="228">
        <v>678</v>
      </c>
      <c r="BR93" s="228">
        <v>503</v>
      </c>
      <c r="BS93" s="228">
        <v>175</v>
      </c>
      <c r="BT93" s="229">
        <v>0.34870000000000001</v>
      </c>
      <c r="BU93" s="230">
        <v>6774041</v>
      </c>
      <c r="BV93" s="230">
        <v>5408816</v>
      </c>
      <c r="BW93" s="230">
        <v>1365225</v>
      </c>
      <c r="BX93" s="229">
        <v>0.25240000000000001</v>
      </c>
      <c r="BY93" s="228">
        <v>898</v>
      </c>
      <c r="BZ93" s="228">
        <v>899</v>
      </c>
      <c r="CA93" s="228">
        <v>-2</v>
      </c>
      <c r="CB93" s="229">
        <v>-1.9E-3</v>
      </c>
      <c r="CC93" s="228">
        <v>857</v>
      </c>
      <c r="CD93" s="228">
        <v>857</v>
      </c>
      <c r="CE93" s="228">
        <v>-1</v>
      </c>
      <c r="CF93" s="229">
        <v>-1E-3</v>
      </c>
      <c r="CG93" s="228">
        <v>39</v>
      </c>
      <c r="CH93" s="228">
        <v>41</v>
      </c>
      <c r="CI93" s="228">
        <v>-1</v>
      </c>
      <c r="CJ93" s="229">
        <v>-3.2399999999999998E-2</v>
      </c>
      <c r="CK93" s="228">
        <v>2</v>
      </c>
      <c r="CL93" s="228">
        <v>1</v>
      </c>
      <c r="CM93" s="228">
        <v>0</v>
      </c>
      <c r="CN93" s="229">
        <v>0.42859999999999998</v>
      </c>
      <c r="CO93" s="228">
        <v>547</v>
      </c>
      <c r="CP93" s="228">
        <v>500</v>
      </c>
      <c r="CQ93" s="228">
        <v>46</v>
      </c>
      <c r="CR93" s="229">
        <v>9.2999999999999999E-2</v>
      </c>
      <c r="CS93" s="228">
        <v>330</v>
      </c>
      <c r="CT93" s="228">
        <v>306</v>
      </c>
      <c r="CU93" s="228">
        <v>24</v>
      </c>
      <c r="CV93" s="229">
        <v>7.85E-2</v>
      </c>
      <c r="CW93" s="230">
        <v>1774</v>
      </c>
      <c r="CX93" s="230">
        <v>1705</v>
      </c>
      <c r="CY93" s="228">
        <v>69</v>
      </c>
      <c r="CZ93" s="229">
        <v>4.0399999999999998E-2</v>
      </c>
      <c r="DA93" s="228">
        <v>39.94</v>
      </c>
      <c r="DB93" s="228">
        <v>39.46</v>
      </c>
      <c r="DC93" s="228">
        <v>0.48</v>
      </c>
      <c r="DD93" s="228">
        <v>0.48</v>
      </c>
      <c r="DE93" s="228">
        <v>51.96</v>
      </c>
      <c r="DF93" s="228">
        <v>52.06</v>
      </c>
      <c r="DG93" s="228">
        <v>-12.02</v>
      </c>
      <c r="DH93" s="228">
        <v>-0.1</v>
      </c>
      <c r="DI93" s="228">
        <v>40.380000000000003</v>
      </c>
      <c r="DJ93" s="228">
        <v>39.75</v>
      </c>
      <c r="DK93" s="228">
        <v>0.63</v>
      </c>
      <c r="DL93" s="228">
        <v>0.63</v>
      </c>
      <c r="DM93" s="228">
        <v>38.97</v>
      </c>
      <c r="DN93" s="228">
        <v>38.64</v>
      </c>
      <c r="DO93" s="228">
        <v>0.33</v>
      </c>
      <c r="DP93" s="228">
        <v>0.33</v>
      </c>
      <c r="DQ93" s="228">
        <v>0.6</v>
      </c>
      <c r="DR93" s="228">
        <v>0.61</v>
      </c>
      <c r="DS93" s="228">
        <v>-0.01</v>
      </c>
      <c r="DT93" s="229">
        <v>-1.6400000000000001E-2</v>
      </c>
      <c r="DU93" s="228">
        <v>150</v>
      </c>
      <c r="DV93" s="228">
        <v>150</v>
      </c>
      <c r="DW93" s="228">
        <v>0.45</v>
      </c>
      <c r="DX93" s="228">
        <v>0.35</v>
      </c>
      <c r="DY93" s="228">
        <v>0.1</v>
      </c>
      <c r="DZ93" s="229">
        <v>0.28570000000000001</v>
      </c>
      <c r="EA93" s="229">
        <v>4.5699999999999998E-2</v>
      </c>
      <c r="EB93" s="230">
        <v>3327600</v>
      </c>
      <c r="EC93" s="229">
        <v>4.5999999999999999E-3</v>
      </c>
      <c r="ED93" s="229">
        <v>4.5699999999999998E-2</v>
      </c>
      <c r="EE93" s="228">
        <v>0.56000000000000005</v>
      </c>
      <c r="EF93" s="229">
        <v>4.4999999999999997E-3</v>
      </c>
      <c r="EG93" s="230">
        <v>3773435</v>
      </c>
      <c r="EH93" s="230">
        <v>2400038</v>
      </c>
      <c r="EI93" s="229">
        <v>0.57220000000000004</v>
      </c>
      <c r="EJ93" s="229">
        <v>0.55700000000000005</v>
      </c>
      <c r="EK93" s="228">
        <v>427.48</v>
      </c>
      <c r="EL93" s="228">
        <v>173.48</v>
      </c>
      <c r="EM93" s="228">
        <v>106.55</v>
      </c>
      <c r="EN93" s="228">
        <v>62.99</v>
      </c>
      <c r="EO93" s="228">
        <v>707.5</v>
      </c>
      <c r="EP93" s="228">
        <v>522.54</v>
      </c>
      <c r="EQ93" s="228">
        <v>184.96</v>
      </c>
      <c r="ER93" s="229">
        <v>0.35399999999999998</v>
      </c>
      <c r="ES93" s="228">
        <v>588.59</v>
      </c>
      <c r="ET93" s="228">
        <v>331.57</v>
      </c>
      <c r="EU93" s="228">
        <v>897.83</v>
      </c>
      <c r="EV93" s="231">
        <v>133395043</v>
      </c>
      <c r="EW93" s="231">
        <v>1817.99</v>
      </c>
      <c r="EX93" s="231">
        <v>1735.72</v>
      </c>
      <c r="EY93" s="228">
        <v>82.27</v>
      </c>
      <c r="EZ93" s="229">
        <v>4.7399999999999998E-2</v>
      </c>
      <c r="FA93" s="229">
        <v>1.0578000000000001</v>
      </c>
      <c r="FB93" s="227" t="s">
        <v>691</v>
      </c>
      <c r="FC93">
        <f t="shared" si="1"/>
        <v>41</v>
      </c>
    </row>
    <row r="94" spans="1:159" ht="17.25" thickBot="1" x14ac:dyDescent="0.3">
      <c r="A94" s="226">
        <v>46146</v>
      </c>
      <c r="B94" s="227" t="s">
        <v>206</v>
      </c>
      <c r="C94" s="227" t="s">
        <v>501</v>
      </c>
      <c r="D94" s="228">
        <v>1000</v>
      </c>
      <c r="E94" s="228">
        <v>22</v>
      </c>
      <c r="F94" s="228">
        <v>645.54999999999995</v>
      </c>
      <c r="G94" s="228">
        <v>640</v>
      </c>
      <c r="H94" s="228">
        <v>5.55</v>
      </c>
      <c r="I94" s="229">
        <v>8.6999999999999994E-3</v>
      </c>
      <c r="J94" s="228">
        <v>643.70000000000005</v>
      </c>
      <c r="K94" s="228">
        <v>635.85</v>
      </c>
      <c r="L94" s="228">
        <v>7.85</v>
      </c>
      <c r="M94" s="229">
        <v>1.23E-2</v>
      </c>
      <c r="N94" s="228">
        <v>645.54999999999995</v>
      </c>
      <c r="O94" s="228">
        <v>640</v>
      </c>
      <c r="P94" s="228">
        <v>5.55</v>
      </c>
      <c r="Q94" s="229">
        <v>8.6999999999999994E-3</v>
      </c>
      <c r="R94" s="228">
        <v>648.20000000000005</v>
      </c>
      <c r="S94" s="228">
        <v>640.95000000000005</v>
      </c>
      <c r="T94" s="228">
        <v>7.25</v>
      </c>
      <c r="U94" s="229">
        <v>1.1299999999999999E-2</v>
      </c>
      <c r="V94" s="228">
        <v>650</v>
      </c>
      <c r="W94" s="228">
        <v>645.95000000000005</v>
      </c>
      <c r="X94" s="228">
        <v>4.05</v>
      </c>
      <c r="Y94" s="229">
        <v>6.3E-3</v>
      </c>
      <c r="Z94" s="228">
        <v>1.85</v>
      </c>
      <c r="AA94" s="228">
        <v>4.1500000000000004</v>
      </c>
      <c r="AB94" s="228">
        <v>-2.2999999999999998</v>
      </c>
      <c r="AC94" s="229">
        <v>2.8999999999999998E-3</v>
      </c>
      <c r="AD94" s="228">
        <v>1.85</v>
      </c>
      <c r="AE94" s="228">
        <v>4.1500000000000004</v>
      </c>
      <c r="AF94" s="228">
        <v>-2.2999999999999998</v>
      </c>
      <c r="AG94" s="229">
        <v>2.8999999999999998E-3</v>
      </c>
      <c r="AH94" s="228">
        <v>4.5</v>
      </c>
      <c r="AI94" s="228">
        <v>5.0999999999999996</v>
      </c>
      <c r="AJ94" s="228">
        <v>-0.6</v>
      </c>
      <c r="AK94" s="229">
        <v>7.0000000000000001E-3</v>
      </c>
      <c r="AL94" s="228">
        <v>6.3</v>
      </c>
      <c r="AM94" s="228">
        <v>10.1</v>
      </c>
      <c r="AN94" s="228">
        <v>-3.8</v>
      </c>
      <c r="AO94" s="229">
        <v>9.7999999999999997E-3</v>
      </c>
      <c r="AP94" s="228">
        <v>645.89</v>
      </c>
      <c r="AQ94" s="228">
        <v>646.95000000000005</v>
      </c>
      <c r="AR94" s="228">
        <v>0</v>
      </c>
      <c r="AS94" s="228">
        <v>130</v>
      </c>
      <c r="AT94" s="228">
        <v>142</v>
      </c>
      <c r="AU94" s="228">
        <v>-12</v>
      </c>
      <c r="AV94" s="229">
        <v>-8.5599999999999996E-2</v>
      </c>
      <c r="AW94" s="228">
        <v>124</v>
      </c>
      <c r="AX94" s="228">
        <v>135</v>
      </c>
      <c r="AY94" s="228">
        <v>-11</v>
      </c>
      <c r="AZ94" s="229">
        <v>-7.8399999999999997E-2</v>
      </c>
      <c r="BA94" s="228">
        <v>5</v>
      </c>
      <c r="BB94" s="228">
        <v>6</v>
      </c>
      <c r="BC94" s="228">
        <v>-1</v>
      </c>
      <c r="BD94" s="229">
        <v>-0.22220000000000001</v>
      </c>
      <c r="BE94" s="228">
        <v>0</v>
      </c>
      <c r="BF94" s="228">
        <v>0</v>
      </c>
      <c r="BG94" s="228">
        <v>0</v>
      </c>
      <c r="BH94" s="229">
        <v>-0.4</v>
      </c>
      <c r="BI94" s="228">
        <v>199</v>
      </c>
      <c r="BJ94" s="228">
        <v>325</v>
      </c>
      <c r="BK94" s="228">
        <v>-126</v>
      </c>
      <c r="BL94" s="229">
        <v>-0.38679999999999998</v>
      </c>
      <c r="BM94" s="228">
        <v>145</v>
      </c>
      <c r="BN94" s="228">
        <v>267</v>
      </c>
      <c r="BO94" s="228">
        <v>-122</v>
      </c>
      <c r="BP94" s="229">
        <v>-0.45529999999999998</v>
      </c>
      <c r="BQ94" s="228">
        <v>474</v>
      </c>
      <c r="BR94" s="228">
        <v>733</v>
      </c>
      <c r="BS94" s="228">
        <v>-259</v>
      </c>
      <c r="BT94" s="229">
        <v>-0.35349999999999998</v>
      </c>
      <c r="BU94" s="230">
        <v>1626271</v>
      </c>
      <c r="BV94" s="230">
        <v>1520251</v>
      </c>
      <c r="BW94" s="230">
        <v>106020</v>
      </c>
      <c r="BX94" s="229">
        <v>6.9699999999999998E-2</v>
      </c>
      <c r="BY94" s="230">
        <v>1418</v>
      </c>
      <c r="BZ94" s="230">
        <v>1432</v>
      </c>
      <c r="CA94" s="228">
        <v>-14</v>
      </c>
      <c r="CB94" s="229">
        <v>-9.5999999999999992E-3</v>
      </c>
      <c r="CC94" s="230">
        <v>1304</v>
      </c>
      <c r="CD94" s="230">
        <v>1320</v>
      </c>
      <c r="CE94" s="228">
        <v>-16</v>
      </c>
      <c r="CF94" s="229">
        <v>-1.2200000000000001E-2</v>
      </c>
      <c r="CG94" s="228">
        <v>114</v>
      </c>
      <c r="CH94" s="228">
        <v>111</v>
      </c>
      <c r="CI94" s="228">
        <v>2</v>
      </c>
      <c r="CJ94" s="229">
        <v>2.1399999999999999E-2</v>
      </c>
      <c r="CK94" s="228">
        <v>1</v>
      </c>
      <c r="CL94" s="228">
        <v>0</v>
      </c>
      <c r="CM94" s="228">
        <v>0</v>
      </c>
      <c r="CN94" s="229">
        <v>0.1429</v>
      </c>
      <c r="CO94" s="228">
        <v>263</v>
      </c>
      <c r="CP94" s="228">
        <v>235</v>
      </c>
      <c r="CQ94" s="228">
        <v>28</v>
      </c>
      <c r="CR94" s="229">
        <v>0.12089999999999999</v>
      </c>
      <c r="CS94" s="228">
        <v>324</v>
      </c>
      <c r="CT94" s="228">
        <v>307</v>
      </c>
      <c r="CU94" s="228">
        <v>17</v>
      </c>
      <c r="CV94" s="229">
        <v>5.45E-2</v>
      </c>
      <c r="CW94" s="230">
        <v>2005</v>
      </c>
      <c r="CX94" s="230">
        <v>1973</v>
      </c>
      <c r="CY94" s="228">
        <v>31</v>
      </c>
      <c r="CZ94" s="229">
        <v>1.5900000000000001E-2</v>
      </c>
      <c r="DA94" s="228">
        <v>30.9</v>
      </c>
      <c r="DB94" s="228">
        <v>30.71</v>
      </c>
      <c r="DC94" s="228">
        <v>0.19</v>
      </c>
      <c r="DD94" s="228">
        <v>0.19</v>
      </c>
      <c r="DE94" s="228">
        <v>34.85</v>
      </c>
      <c r="DF94" s="228">
        <v>34.9</v>
      </c>
      <c r="DG94" s="228">
        <v>-3.95</v>
      </c>
      <c r="DH94" s="228">
        <v>-0.05</v>
      </c>
      <c r="DI94" s="228">
        <v>30.27</v>
      </c>
      <c r="DJ94" s="228">
        <v>30.26</v>
      </c>
      <c r="DK94" s="228">
        <v>0.01</v>
      </c>
      <c r="DL94" s="228">
        <v>0.01</v>
      </c>
      <c r="DM94" s="228">
        <v>31.77</v>
      </c>
      <c r="DN94" s="228">
        <v>31.26</v>
      </c>
      <c r="DO94" s="228">
        <v>0.51</v>
      </c>
      <c r="DP94" s="228">
        <v>0.51</v>
      </c>
      <c r="DQ94" s="228">
        <v>1.23</v>
      </c>
      <c r="DR94" s="228">
        <v>1.31</v>
      </c>
      <c r="DS94" s="228">
        <v>-0.08</v>
      </c>
      <c r="DT94" s="229">
        <v>-6.1100000000000002E-2</v>
      </c>
      <c r="DU94" s="228">
        <v>700</v>
      </c>
      <c r="DV94" s="228">
        <v>640</v>
      </c>
      <c r="DW94" s="228">
        <v>0.73</v>
      </c>
      <c r="DX94" s="228">
        <v>0.82</v>
      </c>
      <c r="DY94" s="228">
        <v>-0.09</v>
      </c>
      <c r="DZ94" s="229">
        <v>-0.10979999999999999</v>
      </c>
      <c r="EA94" s="229">
        <v>8.0600000000000005E-2</v>
      </c>
      <c r="EB94" s="230">
        <v>1732000</v>
      </c>
      <c r="EC94" s="229">
        <v>4.1000000000000003E-3</v>
      </c>
      <c r="ED94" s="229">
        <v>8.0600000000000005E-2</v>
      </c>
      <c r="EE94" s="228">
        <v>1.06</v>
      </c>
      <c r="EF94" s="229">
        <v>1.6000000000000001E-3</v>
      </c>
      <c r="EG94" s="230">
        <v>827007</v>
      </c>
      <c r="EH94" s="230">
        <v>755128</v>
      </c>
      <c r="EI94" s="229">
        <v>9.5200000000000007E-2</v>
      </c>
      <c r="EJ94" s="229">
        <v>0.50849999999999995</v>
      </c>
      <c r="EK94" s="228">
        <v>210.75</v>
      </c>
      <c r="EL94" s="228">
        <v>142.69</v>
      </c>
      <c r="EM94" s="228">
        <v>129.63999999999999</v>
      </c>
      <c r="EN94" s="228">
        <v>69.28</v>
      </c>
      <c r="EO94" s="228">
        <v>483.08</v>
      </c>
      <c r="EP94" s="228">
        <v>740.49</v>
      </c>
      <c r="EQ94" s="228">
        <v>-257.41000000000003</v>
      </c>
      <c r="ER94" s="229">
        <v>-0.34760000000000002</v>
      </c>
      <c r="ES94" s="228">
        <v>273.91000000000003</v>
      </c>
      <c r="ET94" s="228">
        <v>320.37</v>
      </c>
      <c r="EU94" s="231">
        <v>1418.36</v>
      </c>
      <c r="EV94" s="231">
        <v>123332004</v>
      </c>
      <c r="EW94" s="231">
        <v>2012.64</v>
      </c>
      <c r="EX94" s="231">
        <v>1967.64</v>
      </c>
      <c r="EY94" s="228">
        <v>45</v>
      </c>
      <c r="EZ94" s="229">
        <v>2.29E-2</v>
      </c>
      <c r="FA94" s="229">
        <v>0.25180000000000002</v>
      </c>
      <c r="FB94" s="227" t="s">
        <v>691</v>
      </c>
      <c r="FC94">
        <f t="shared" si="1"/>
        <v>114</v>
      </c>
    </row>
    <row r="95" spans="1:159" ht="17.25" thickBot="1" x14ac:dyDescent="0.3">
      <c r="A95" s="226">
        <v>46146</v>
      </c>
      <c r="B95" s="227" t="s">
        <v>172</v>
      </c>
      <c r="C95" s="227" t="s">
        <v>577</v>
      </c>
      <c r="D95" s="228">
        <v>1000</v>
      </c>
      <c r="E95" s="228">
        <v>22</v>
      </c>
      <c r="F95" s="228">
        <v>834.35</v>
      </c>
      <c r="G95" s="228">
        <v>855.95</v>
      </c>
      <c r="H95" s="228">
        <v>-21.6</v>
      </c>
      <c r="I95" s="229">
        <v>-2.52E-2</v>
      </c>
      <c r="J95" s="228">
        <v>830.35</v>
      </c>
      <c r="K95" s="228">
        <v>851.85</v>
      </c>
      <c r="L95" s="228">
        <v>-21.5</v>
      </c>
      <c r="M95" s="229">
        <v>-2.52E-2</v>
      </c>
      <c r="N95" s="228">
        <v>834.35</v>
      </c>
      <c r="O95" s="228">
        <v>855.95</v>
      </c>
      <c r="P95" s="228">
        <v>-21.6</v>
      </c>
      <c r="Q95" s="229">
        <v>-2.52E-2</v>
      </c>
      <c r="R95" s="228">
        <v>835.8</v>
      </c>
      <c r="S95" s="228">
        <v>856.1</v>
      </c>
      <c r="T95" s="228">
        <v>-20.3</v>
      </c>
      <c r="U95" s="229">
        <v>-2.3699999999999999E-2</v>
      </c>
      <c r="V95" s="228">
        <v>838.4</v>
      </c>
      <c r="W95" s="228">
        <v>860.35</v>
      </c>
      <c r="X95" s="228">
        <v>-21.95</v>
      </c>
      <c r="Y95" s="229">
        <v>-2.5499999999999998E-2</v>
      </c>
      <c r="Z95" s="228">
        <v>4</v>
      </c>
      <c r="AA95" s="228">
        <v>4.0999999999999996</v>
      </c>
      <c r="AB95" s="228">
        <v>-0.1</v>
      </c>
      <c r="AC95" s="229">
        <v>4.7999999999999996E-3</v>
      </c>
      <c r="AD95" s="228">
        <v>4</v>
      </c>
      <c r="AE95" s="228">
        <v>4.0999999999999996</v>
      </c>
      <c r="AF95" s="228">
        <v>-0.1</v>
      </c>
      <c r="AG95" s="229">
        <v>4.7999999999999996E-3</v>
      </c>
      <c r="AH95" s="228">
        <v>5.45</v>
      </c>
      <c r="AI95" s="228">
        <v>4.25</v>
      </c>
      <c r="AJ95" s="228">
        <v>1.2</v>
      </c>
      <c r="AK95" s="229">
        <v>6.6E-3</v>
      </c>
      <c r="AL95" s="228">
        <v>8.0500000000000007</v>
      </c>
      <c r="AM95" s="228">
        <v>8.5</v>
      </c>
      <c r="AN95" s="228">
        <v>-0.45</v>
      </c>
      <c r="AO95" s="229">
        <v>9.7000000000000003E-3</v>
      </c>
      <c r="AP95" s="228">
        <v>843.4</v>
      </c>
      <c r="AQ95" s="228">
        <v>846.8</v>
      </c>
      <c r="AR95" s="228">
        <v>0</v>
      </c>
      <c r="AS95" s="228">
        <v>247</v>
      </c>
      <c r="AT95" s="228">
        <v>750</v>
      </c>
      <c r="AU95" s="228">
        <v>-503</v>
      </c>
      <c r="AV95" s="229">
        <v>-0.67020000000000002</v>
      </c>
      <c r="AW95" s="228">
        <v>234</v>
      </c>
      <c r="AX95" s="228">
        <v>715</v>
      </c>
      <c r="AY95" s="228">
        <v>-481</v>
      </c>
      <c r="AZ95" s="229">
        <v>-0.6724</v>
      </c>
      <c r="BA95" s="228">
        <v>13</v>
      </c>
      <c r="BB95" s="228">
        <v>32</v>
      </c>
      <c r="BC95" s="228">
        <v>-19</v>
      </c>
      <c r="BD95" s="229">
        <v>-0.5948</v>
      </c>
      <c r="BE95" s="228">
        <v>0</v>
      </c>
      <c r="BF95" s="228">
        <v>3</v>
      </c>
      <c r="BG95" s="228">
        <v>-3</v>
      </c>
      <c r="BH95" s="229">
        <v>-0.92679999999999996</v>
      </c>
      <c r="BI95" s="228">
        <v>686</v>
      </c>
      <c r="BJ95" s="230">
        <v>2212</v>
      </c>
      <c r="BK95" s="230">
        <v>-1526</v>
      </c>
      <c r="BL95" s="229">
        <v>-0.68979999999999997</v>
      </c>
      <c r="BM95" s="228">
        <v>272</v>
      </c>
      <c r="BN95" s="230">
        <v>1513</v>
      </c>
      <c r="BO95" s="230">
        <v>-1240</v>
      </c>
      <c r="BP95" s="229">
        <v>-0.81989999999999996</v>
      </c>
      <c r="BQ95" s="230">
        <v>1206</v>
      </c>
      <c r="BR95" s="230">
        <v>4474</v>
      </c>
      <c r="BS95" s="230">
        <v>-3269</v>
      </c>
      <c r="BT95" s="229">
        <v>-0.73050000000000004</v>
      </c>
      <c r="BU95" s="230">
        <v>3388313</v>
      </c>
      <c r="BV95" s="230">
        <v>9884300</v>
      </c>
      <c r="BW95" s="230">
        <v>-6495987</v>
      </c>
      <c r="BX95" s="229">
        <v>-0.65720000000000001</v>
      </c>
      <c r="BY95" s="230">
        <v>1087</v>
      </c>
      <c r="BZ95" s="230">
        <v>1054</v>
      </c>
      <c r="CA95" s="228">
        <v>32</v>
      </c>
      <c r="CB95" s="229">
        <v>3.0499999999999999E-2</v>
      </c>
      <c r="CC95" s="230">
        <v>1042</v>
      </c>
      <c r="CD95" s="230">
        <v>1015</v>
      </c>
      <c r="CE95" s="228">
        <v>26</v>
      </c>
      <c r="CF95" s="229">
        <v>2.5999999999999999E-2</v>
      </c>
      <c r="CG95" s="228">
        <v>43</v>
      </c>
      <c r="CH95" s="228">
        <v>37</v>
      </c>
      <c r="CI95" s="228">
        <v>6</v>
      </c>
      <c r="CJ95" s="229">
        <v>0.1502</v>
      </c>
      <c r="CK95" s="228">
        <v>2</v>
      </c>
      <c r="CL95" s="228">
        <v>2</v>
      </c>
      <c r="CM95" s="228">
        <v>0</v>
      </c>
      <c r="CN95" s="229">
        <v>9.0899999999999995E-2</v>
      </c>
      <c r="CO95" s="228">
        <v>565</v>
      </c>
      <c r="CP95" s="228">
        <v>486</v>
      </c>
      <c r="CQ95" s="228">
        <v>79</v>
      </c>
      <c r="CR95" s="229">
        <v>0.16250000000000001</v>
      </c>
      <c r="CS95" s="228">
        <v>301</v>
      </c>
      <c r="CT95" s="228">
        <v>284</v>
      </c>
      <c r="CU95" s="228">
        <v>17</v>
      </c>
      <c r="CV95" s="229">
        <v>6.08E-2</v>
      </c>
      <c r="CW95" s="230">
        <v>1953</v>
      </c>
      <c r="CX95" s="230">
        <v>1824</v>
      </c>
      <c r="CY95" s="228">
        <v>128</v>
      </c>
      <c r="CZ95" s="229">
        <v>7.0400000000000004E-2</v>
      </c>
      <c r="DA95" s="228">
        <v>36.6</v>
      </c>
      <c r="DB95" s="228">
        <v>34.840000000000003</v>
      </c>
      <c r="DC95" s="228">
        <v>1.76</v>
      </c>
      <c r="DD95" s="228">
        <v>1.76</v>
      </c>
      <c r="DE95" s="228">
        <v>41.36</v>
      </c>
      <c r="DF95" s="228">
        <v>41.31</v>
      </c>
      <c r="DG95" s="228">
        <v>-4.76</v>
      </c>
      <c r="DH95" s="228">
        <v>0.05</v>
      </c>
      <c r="DI95" s="228">
        <v>37.03</v>
      </c>
      <c r="DJ95" s="228">
        <v>35.19</v>
      </c>
      <c r="DK95" s="228">
        <v>1.84</v>
      </c>
      <c r="DL95" s="228">
        <v>1.84</v>
      </c>
      <c r="DM95" s="228">
        <v>35.51</v>
      </c>
      <c r="DN95" s="228">
        <v>34.33</v>
      </c>
      <c r="DO95" s="228">
        <v>1.18</v>
      </c>
      <c r="DP95" s="228">
        <v>1.18</v>
      </c>
      <c r="DQ95" s="228">
        <v>0.53</v>
      </c>
      <c r="DR95" s="228">
        <v>0.57999999999999996</v>
      </c>
      <c r="DS95" s="228">
        <v>-0.05</v>
      </c>
      <c r="DT95" s="229">
        <v>-8.6199999999999999E-2</v>
      </c>
      <c r="DU95" s="231">
        <v>1000</v>
      </c>
      <c r="DV95" s="228">
        <v>900</v>
      </c>
      <c r="DW95" s="228">
        <v>0.4</v>
      </c>
      <c r="DX95" s="228">
        <v>0.68</v>
      </c>
      <c r="DY95" s="228">
        <v>-0.28000000000000003</v>
      </c>
      <c r="DZ95" s="229">
        <v>-0.4118</v>
      </c>
      <c r="EA95" s="229">
        <v>4.1200000000000001E-2</v>
      </c>
      <c r="EB95" s="230">
        <v>468000</v>
      </c>
      <c r="EC95" s="229">
        <v>1.6999999999999999E-3</v>
      </c>
      <c r="ED95" s="229">
        <v>4.1200000000000001E-2</v>
      </c>
      <c r="EE95" s="228">
        <v>3.4</v>
      </c>
      <c r="EF95" s="229">
        <v>4.0000000000000001E-3</v>
      </c>
      <c r="EG95" s="230">
        <v>1717017</v>
      </c>
      <c r="EH95" s="230">
        <v>3649731</v>
      </c>
      <c r="EI95" s="229">
        <v>-0.52949999999999997</v>
      </c>
      <c r="EJ95" s="229">
        <v>0.50670000000000004</v>
      </c>
      <c r="EK95" s="228">
        <v>750.59</v>
      </c>
      <c r="EL95" s="228">
        <v>274.85000000000002</v>
      </c>
      <c r="EM95" s="228">
        <v>250.2</v>
      </c>
      <c r="EN95" s="228">
        <v>88.7</v>
      </c>
      <c r="EO95" s="231">
        <v>1275.6500000000001</v>
      </c>
      <c r="EP95" s="231">
        <v>4719.55</v>
      </c>
      <c r="EQ95" s="231">
        <v>-3443.9</v>
      </c>
      <c r="ER95" s="229">
        <v>-0.72970000000000002</v>
      </c>
      <c r="ES95" s="228">
        <v>630.15</v>
      </c>
      <c r="ET95" s="228">
        <v>305.12</v>
      </c>
      <c r="EU95" s="231">
        <v>1086.6600000000001</v>
      </c>
      <c r="EV95" s="231">
        <v>52862157</v>
      </c>
      <c r="EW95" s="231">
        <v>2021.93</v>
      </c>
      <c r="EX95" s="231">
        <v>1915.63</v>
      </c>
      <c r="EY95" s="228">
        <v>106.3</v>
      </c>
      <c r="EZ95" s="229">
        <v>5.5500000000000001E-2</v>
      </c>
      <c r="FA95" s="229">
        <v>0.44269999999999998</v>
      </c>
      <c r="FB95" s="227" t="s">
        <v>566</v>
      </c>
      <c r="FC95">
        <f t="shared" si="1"/>
        <v>45</v>
      </c>
    </row>
    <row r="96" spans="1:159" ht="17.25" thickBot="1" x14ac:dyDescent="0.3">
      <c r="A96" s="226">
        <v>46146</v>
      </c>
      <c r="B96" s="227" t="s">
        <v>181</v>
      </c>
      <c r="C96" s="227" t="s">
        <v>684</v>
      </c>
      <c r="D96" s="228">
        <v>1</v>
      </c>
      <c r="E96" s="228">
        <v>22</v>
      </c>
      <c r="F96" s="228">
        <v>18.3</v>
      </c>
      <c r="G96" s="228">
        <v>18.46</v>
      </c>
      <c r="H96" s="228">
        <v>-0.16</v>
      </c>
      <c r="I96" s="229">
        <v>-8.6999999999999994E-3</v>
      </c>
      <c r="J96" s="228">
        <v>18.3</v>
      </c>
      <c r="K96" s="228">
        <v>18.46</v>
      </c>
      <c r="L96" s="228">
        <v>-0.16</v>
      </c>
      <c r="M96" s="229">
        <v>-8.6999999999999994E-3</v>
      </c>
      <c r="N96" s="228">
        <v>0</v>
      </c>
      <c r="O96" s="228">
        <v>0</v>
      </c>
      <c r="P96" s="228">
        <v>0</v>
      </c>
      <c r="Q96" s="229">
        <v>0</v>
      </c>
      <c r="R96" s="228">
        <v>0</v>
      </c>
      <c r="S96" s="228">
        <v>0</v>
      </c>
      <c r="T96" s="228">
        <v>0</v>
      </c>
      <c r="U96" s="229">
        <v>0</v>
      </c>
      <c r="V96" s="228">
        <v>0</v>
      </c>
      <c r="W96" s="228">
        <v>0</v>
      </c>
      <c r="X96" s="228">
        <v>0</v>
      </c>
      <c r="Y96" s="229">
        <v>0</v>
      </c>
      <c r="Z96" s="228">
        <v>0</v>
      </c>
      <c r="AA96" s="228">
        <v>0</v>
      </c>
      <c r="AB96" s="228">
        <v>0</v>
      </c>
      <c r="AC96" s="229">
        <v>0</v>
      </c>
      <c r="AD96" s="228">
        <v>0</v>
      </c>
      <c r="AE96" s="228">
        <v>0</v>
      </c>
      <c r="AF96" s="228">
        <v>0</v>
      </c>
      <c r="AG96" s="229">
        <v>0</v>
      </c>
      <c r="AH96" s="228">
        <v>0</v>
      </c>
      <c r="AI96" s="228">
        <v>0</v>
      </c>
      <c r="AJ96" s="228">
        <v>0</v>
      </c>
      <c r="AK96" s="229">
        <v>0</v>
      </c>
      <c r="AL96" s="228">
        <v>0</v>
      </c>
      <c r="AM96" s="228">
        <v>0</v>
      </c>
      <c r="AN96" s="228">
        <v>0</v>
      </c>
      <c r="AO96" s="229">
        <v>0</v>
      </c>
      <c r="AP96" s="228">
        <v>0</v>
      </c>
      <c r="AQ96" s="228">
        <v>0</v>
      </c>
      <c r="AR96" s="228">
        <v>0</v>
      </c>
      <c r="AS96" s="228">
        <v>0</v>
      </c>
      <c r="AT96" s="228">
        <v>0</v>
      </c>
      <c r="AU96" s="228">
        <v>0</v>
      </c>
      <c r="AV96" s="229">
        <v>0</v>
      </c>
      <c r="AW96" s="228">
        <v>0</v>
      </c>
      <c r="AX96" s="228">
        <v>0</v>
      </c>
      <c r="AY96" s="228">
        <v>0</v>
      </c>
      <c r="AZ96" s="229">
        <v>0</v>
      </c>
      <c r="BA96" s="228">
        <v>0</v>
      </c>
      <c r="BB96" s="228">
        <v>0</v>
      </c>
      <c r="BC96" s="228">
        <v>0</v>
      </c>
      <c r="BD96" s="229">
        <v>0</v>
      </c>
      <c r="BE96" s="228">
        <v>0</v>
      </c>
      <c r="BF96" s="228">
        <v>0</v>
      </c>
      <c r="BG96" s="228">
        <v>0</v>
      </c>
      <c r="BH96" s="229">
        <v>0</v>
      </c>
      <c r="BI96" s="228">
        <v>0</v>
      </c>
      <c r="BJ96" s="228">
        <v>0</v>
      </c>
      <c r="BK96" s="228">
        <v>0</v>
      </c>
      <c r="BL96" s="229">
        <v>0</v>
      </c>
      <c r="BM96" s="228">
        <v>0</v>
      </c>
      <c r="BN96" s="228">
        <v>0</v>
      </c>
      <c r="BO96" s="228">
        <v>0</v>
      </c>
      <c r="BP96" s="229">
        <v>0</v>
      </c>
      <c r="BQ96" s="228">
        <v>0</v>
      </c>
      <c r="BR96" s="228">
        <v>0</v>
      </c>
      <c r="BS96" s="228">
        <v>0</v>
      </c>
      <c r="BT96" s="229">
        <v>0</v>
      </c>
      <c r="BU96" s="228">
        <v>0</v>
      </c>
      <c r="BV96" s="228">
        <v>0</v>
      </c>
      <c r="BW96" s="228">
        <v>0</v>
      </c>
      <c r="BX96" s="229">
        <v>0</v>
      </c>
      <c r="BY96" s="228">
        <v>0</v>
      </c>
      <c r="BZ96" s="228">
        <v>0</v>
      </c>
      <c r="CA96" s="228">
        <v>0</v>
      </c>
      <c r="CB96" s="229">
        <v>0</v>
      </c>
      <c r="CC96" s="228">
        <v>0</v>
      </c>
      <c r="CD96" s="228">
        <v>0</v>
      </c>
      <c r="CE96" s="228">
        <v>0</v>
      </c>
      <c r="CF96" s="229">
        <v>0</v>
      </c>
      <c r="CG96" s="228">
        <v>0</v>
      </c>
      <c r="CH96" s="228">
        <v>0</v>
      </c>
      <c r="CI96" s="228">
        <v>0</v>
      </c>
      <c r="CJ96" s="229">
        <v>0</v>
      </c>
      <c r="CK96" s="228">
        <v>0</v>
      </c>
      <c r="CL96" s="228">
        <v>0</v>
      </c>
      <c r="CM96" s="228">
        <v>0</v>
      </c>
      <c r="CN96" s="229">
        <v>0</v>
      </c>
      <c r="CO96" s="228">
        <v>0</v>
      </c>
      <c r="CP96" s="228">
        <v>0</v>
      </c>
      <c r="CQ96" s="228">
        <v>0</v>
      </c>
      <c r="CR96" s="229">
        <v>0</v>
      </c>
      <c r="CS96" s="228">
        <v>0</v>
      </c>
      <c r="CT96" s="228">
        <v>0</v>
      </c>
      <c r="CU96" s="228">
        <v>0</v>
      </c>
      <c r="CV96" s="229">
        <v>0</v>
      </c>
      <c r="CW96" s="228">
        <v>0</v>
      </c>
      <c r="CX96" s="228">
        <v>0</v>
      </c>
      <c r="CY96" s="228">
        <v>0</v>
      </c>
      <c r="CZ96" s="229">
        <v>0</v>
      </c>
      <c r="DA96" s="228">
        <v>0</v>
      </c>
      <c r="DB96" s="228">
        <v>0</v>
      </c>
      <c r="DC96" s="228">
        <v>0</v>
      </c>
      <c r="DD96" s="228">
        <v>0</v>
      </c>
      <c r="DE96" s="228">
        <v>0</v>
      </c>
      <c r="DF96" s="228">
        <v>0</v>
      </c>
      <c r="DG96" s="228">
        <v>0</v>
      </c>
      <c r="DH96" s="228">
        <v>0</v>
      </c>
      <c r="DI96" s="228">
        <v>0</v>
      </c>
      <c r="DJ96" s="228">
        <v>0</v>
      </c>
      <c r="DK96" s="228">
        <v>0</v>
      </c>
      <c r="DL96" s="228">
        <v>0</v>
      </c>
      <c r="DM96" s="228">
        <v>0</v>
      </c>
      <c r="DN96" s="228">
        <v>0</v>
      </c>
      <c r="DO96" s="228">
        <v>0</v>
      </c>
      <c r="DP96" s="228">
        <v>0</v>
      </c>
      <c r="DQ96" s="228">
        <v>0</v>
      </c>
      <c r="DR96" s="228">
        <v>0</v>
      </c>
      <c r="DS96" s="228">
        <v>0</v>
      </c>
      <c r="DT96" s="229">
        <v>0</v>
      </c>
      <c r="DU96" s="228">
        <v>0</v>
      </c>
      <c r="DV96" s="228">
        <v>0</v>
      </c>
      <c r="DW96" s="228">
        <v>0</v>
      </c>
      <c r="DX96" s="228">
        <v>0</v>
      </c>
      <c r="DY96" s="228">
        <v>0</v>
      </c>
      <c r="DZ96" s="229">
        <v>0</v>
      </c>
      <c r="EA96" s="229">
        <v>0</v>
      </c>
      <c r="EB96" s="228">
        <v>0</v>
      </c>
      <c r="EC96" s="229">
        <v>0</v>
      </c>
      <c r="ED96" s="229">
        <v>0</v>
      </c>
      <c r="EE96" s="228">
        <v>0</v>
      </c>
      <c r="EF96" s="229">
        <v>0</v>
      </c>
      <c r="EG96" s="228">
        <v>0</v>
      </c>
      <c r="EH96" s="228">
        <v>0</v>
      </c>
      <c r="EI96" s="229">
        <v>0</v>
      </c>
      <c r="EJ96" s="229">
        <v>0</v>
      </c>
      <c r="EK96" s="228">
        <v>0</v>
      </c>
      <c r="EL96" s="228">
        <v>0</v>
      </c>
      <c r="EM96" s="228">
        <v>0</v>
      </c>
      <c r="EN96" s="228">
        <v>0</v>
      </c>
      <c r="EO96" s="228">
        <v>0</v>
      </c>
      <c r="EP96" s="228">
        <v>0</v>
      </c>
      <c r="EQ96" s="228">
        <v>0</v>
      </c>
      <c r="ER96" s="229">
        <v>0</v>
      </c>
      <c r="ES96" s="228">
        <v>0</v>
      </c>
      <c r="ET96" s="228">
        <v>0</v>
      </c>
      <c r="EU96" s="228">
        <v>0</v>
      </c>
      <c r="EV96" s="228">
        <v>0</v>
      </c>
      <c r="EW96" s="228">
        <v>0</v>
      </c>
      <c r="EX96" s="228">
        <v>0</v>
      </c>
      <c r="EY96" s="228">
        <v>0</v>
      </c>
      <c r="EZ96" s="229">
        <v>0</v>
      </c>
      <c r="FA96" s="229">
        <v>0</v>
      </c>
      <c r="FB96" s="227" t="s">
        <v>237</v>
      </c>
      <c r="FC96">
        <f t="shared" si="1"/>
        <v>0</v>
      </c>
    </row>
    <row r="97" spans="1:159" ht="17.25" thickBot="1" x14ac:dyDescent="0.3">
      <c r="A97" s="226">
        <v>46146</v>
      </c>
      <c r="B97" s="227" t="s">
        <v>215</v>
      </c>
      <c r="C97" s="227" t="s">
        <v>238</v>
      </c>
      <c r="D97" s="228">
        <v>150</v>
      </c>
      <c r="E97" s="228">
        <v>22</v>
      </c>
      <c r="F97" s="231">
        <v>4285.3999999999996</v>
      </c>
      <c r="G97" s="231">
        <v>4321.3</v>
      </c>
      <c r="H97" s="228">
        <v>-35.9</v>
      </c>
      <c r="I97" s="229">
        <v>-8.3000000000000001E-3</v>
      </c>
      <c r="J97" s="231">
        <v>4262.3999999999996</v>
      </c>
      <c r="K97" s="231">
        <v>4295.3</v>
      </c>
      <c r="L97" s="228">
        <v>-32.9</v>
      </c>
      <c r="M97" s="229">
        <v>-7.7000000000000002E-3</v>
      </c>
      <c r="N97" s="231">
        <v>4285.3999999999996</v>
      </c>
      <c r="O97" s="231">
        <v>4321.3</v>
      </c>
      <c r="P97" s="228">
        <v>-35.9</v>
      </c>
      <c r="Q97" s="229">
        <v>-8.3000000000000001E-3</v>
      </c>
      <c r="R97" s="231">
        <v>4293.7</v>
      </c>
      <c r="S97" s="231">
        <v>4347.8</v>
      </c>
      <c r="T97" s="228">
        <v>-54.1</v>
      </c>
      <c r="U97" s="229">
        <v>-1.24E-2</v>
      </c>
      <c r="V97" s="231">
        <v>4318.8999999999996</v>
      </c>
      <c r="W97" s="231">
        <v>4363.8</v>
      </c>
      <c r="X97" s="228">
        <v>-44.9</v>
      </c>
      <c r="Y97" s="229">
        <v>-1.03E-2</v>
      </c>
      <c r="Z97" s="228">
        <v>23</v>
      </c>
      <c r="AA97" s="228">
        <v>26</v>
      </c>
      <c r="AB97" s="228">
        <v>-3</v>
      </c>
      <c r="AC97" s="229">
        <v>5.4000000000000003E-3</v>
      </c>
      <c r="AD97" s="228">
        <v>23</v>
      </c>
      <c r="AE97" s="228">
        <v>26</v>
      </c>
      <c r="AF97" s="228">
        <v>-3</v>
      </c>
      <c r="AG97" s="229">
        <v>5.4000000000000003E-3</v>
      </c>
      <c r="AH97" s="228">
        <v>31.3</v>
      </c>
      <c r="AI97" s="228">
        <v>52.5</v>
      </c>
      <c r="AJ97" s="228">
        <v>-21.2</v>
      </c>
      <c r="AK97" s="229">
        <v>7.3000000000000001E-3</v>
      </c>
      <c r="AL97" s="228">
        <v>56.5</v>
      </c>
      <c r="AM97" s="228">
        <v>68.5</v>
      </c>
      <c r="AN97" s="228">
        <v>-12</v>
      </c>
      <c r="AO97" s="229">
        <v>1.3299999999999999E-2</v>
      </c>
      <c r="AP97" s="231">
        <v>4318.99</v>
      </c>
      <c r="AQ97" s="231">
        <v>4333.68</v>
      </c>
      <c r="AR97" s="228">
        <v>0</v>
      </c>
      <c r="AS97" s="228">
        <v>605</v>
      </c>
      <c r="AT97" s="228">
        <v>781</v>
      </c>
      <c r="AU97" s="228">
        <v>-177</v>
      </c>
      <c r="AV97" s="229">
        <v>-0.22620000000000001</v>
      </c>
      <c r="AW97" s="228">
        <v>571</v>
      </c>
      <c r="AX97" s="228">
        <v>747</v>
      </c>
      <c r="AY97" s="228">
        <v>-176</v>
      </c>
      <c r="AZ97" s="229">
        <v>-0.23530000000000001</v>
      </c>
      <c r="BA97" s="228">
        <v>30</v>
      </c>
      <c r="BB97" s="228">
        <v>28</v>
      </c>
      <c r="BC97" s="228">
        <v>2</v>
      </c>
      <c r="BD97" s="229">
        <v>6.9599999999999995E-2</v>
      </c>
      <c r="BE97" s="228">
        <v>4</v>
      </c>
      <c r="BF97" s="228">
        <v>6</v>
      </c>
      <c r="BG97" s="228">
        <v>-3</v>
      </c>
      <c r="BH97" s="229">
        <v>-0.44</v>
      </c>
      <c r="BI97" s="230">
        <v>1516</v>
      </c>
      <c r="BJ97" s="230">
        <v>1580</v>
      </c>
      <c r="BK97" s="228">
        <v>-64</v>
      </c>
      <c r="BL97" s="229">
        <v>-4.0599999999999997E-2</v>
      </c>
      <c r="BM97" s="230">
        <v>1120</v>
      </c>
      <c r="BN97" s="230">
        <v>1898</v>
      </c>
      <c r="BO97" s="228">
        <v>-778</v>
      </c>
      <c r="BP97" s="229">
        <v>-0.40989999999999999</v>
      </c>
      <c r="BQ97" s="230">
        <v>3241</v>
      </c>
      <c r="BR97" s="230">
        <v>4260</v>
      </c>
      <c r="BS97" s="230">
        <v>-1019</v>
      </c>
      <c r="BT97" s="229">
        <v>-0.23930000000000001</v>
      </c>
      <c r="BU97" s="230">
        <v>1279448</v>
      </c>
      <c r="BV97" s="230">
        <v>2112703</v>
      </c>
      <c r="BW97" s="230">
        <v>-833255</v>
      </c>
      <c r="BX97" s="229">
        <v>-0.39439999999999997</v>
      </c>
      <c r="BY97" s="230">
        <v>3296</v>
      </c>
      <c r="BZ97" s="230">
        <v>3171</v>
      </c>
      <c r="CA97" s="228">
        <v>126</v>
      </c>
      <c r="CB97" s="229">
        <v>3.9600000000000003E-2</v>
      </c>
      <c r="CC97" s="230">
        <v>3189</v>
      </c>
      <c r="CD97" s="230">
        <v>3077</v>
      </c>
      <c r="CE97" s="228">
        <v>111</v>
      </c>
      <c r="CF97" s="229">
        <v>3.61E-2</v>
      </c>
      <c r="CG97" s="228">
        <v>101</v>
      </c>
      <c r="CH97" s="228">
        <v>88</v>
      </c>
      <c r="CI97" s="228">
        <v>13</v>
      </c>
      <c r="CJ97" s="229">
        <v>0.1489</v>
      </c>
      <c r="CK97" s="228">
        <v>7</v>
      </c>
      <c r="CL97" s="228">
        <v>6</v>
      </c>
      <c r="CM97" s="228">
        <v>1</v>
      </c>
      <c r="CN97" s="229">
        <v>0.22989999999999999</v>
      </c>
      <c r="CO97" s="230">
        <v>1309</v>
      </c>
      <c r="CP97" s="230">
        <v>1015</v>
      </c>
      <c r="CQ97" s="228">
        <v>295</v>
      </c>
      <c r="CR97" s="229">
        <v>0.29020000000000001</v>
      </c>
      <c r="CS97" s="228">
        <v>830</v>
      </c>
      <c r="CT97" s="228">
        <v>808</v>
      </c>
      <c r="CU97" s="228">
        <v>22</v>
      </c>
      <c r="CV97" s="229">
        <v>2.7099999999999999E-2</v>
      </c>
      <c r="CW97" s="230">
        <v>5435</v>
      </c>
      <c r="CX97" s="230">
        <v>4993</v>
      </c>
      <c r="CY97" s="228">
        <v>442</v>
      </c>
      <c r="CZ97" s="229">
        <v>8.8499999999999995E-2</v>
      </c>
      <c r="DA97" s="228">
        <v>39.799999999999997</v>
      </c>
      <c r="DB97" s="228">
        <v>43.43</v>
      </c>
      <c r="DC97" s="228">
        <v>-3.63</v>
      </c>
      <c r="DD97" s="228">
        <v>-3.63</v>
      </c>
      <c r="DE97" s="228">
        <v>39.71</v>
      </c>
      <c r="DF97" s="228">
        <v>39.799999999999997</v>
      </c>
      <c r="DG97" s="228">
        <v>0.09</v>
      </c>
      <c r="DH97" s="228">
        <v>-0.09</v>
      </c>
      <c r="DI97" s="228">
        <v>38.92</v>
      </c>
      <c r="DJ97" s="228">
        <v>42.53</v>
      </c>
      <c r="DK97" s="228">
        <v>-3.61</v>
      </c>
      <c r="DL97" s="228">
        <v>-3.61</v>
      </c>
      <c r="DM97" s="228">
        <v>40.99</v>
      </c>
      <c r="DN97" s="228">
        <v>44.18</v>
      </c>
      <c r="DO97" s="228">
        <v>-3.19</v>
      </c>
      <c r="DP97" s="228">
        <v>-3.19</v>
      </c>
      <c r="DQ97" s="228">
        <v>0.63</v>
      </c>
      <c r="DR97" s="228">
        <v>0.8</v>
      </c>
      <c r="DS97" s="228">
        <v>-0.17</v>
      </c>
      <c r="DT97" s="229">
        <v>-0.21249999999999999</v>
      </c>
      <c r="DU97" s="231">
        <v>4600</v>
      </c>
      <c r="DV97" s="231">
        <v>4200</v>
      </c>
      <c r="DW97" s="228">
        <v>0.74</v>
      </c>
      <c r="DX97" s="228">
        <v>1.2</v>
      </c>
      <c r="DY97" s="228">
        <v>-0.46</v>
      </c>
      <c r="DZ97" s="229">
        <v>-0.38329999999999997</v>
      </c>
      <c r="EA97" s="229">
        <v>3.2599999999999997E-2</v>
      </c>
      <c r="EB97" s="230">
        <v>217500</v>
      </c>
      <c r="EC97" s="229">
        <v>1.9E-3</v>
      </c>
      <c r="ED97" s="229">
        <v>3.2599999999999997E-2</v>
      </c>
      <c r="EE97" s="228">
        <v>14.69</v>
      </c>
      <c r="EF97" s="229">
        <v>3.3999999999999998E-3</v>
      </c>
      <c r="EG97" s="230">
        <v>803396</v>
      </c>
      <c r="EH97" s="230">
        <v>1066340</v>
      </c>
      <c r="EI97" s="229">
        <v>-0.24660000000000001</v>
      </c>
      <c r="EJ97" s="229">
        <v>0.62790000000000001</v>
      </c>
      <c r="EK97" s="231">
        <v>1652.6</v>
      </c>
      <c r="EL97" s="231">
        <v>1110.19</v>
      </c>
      <c r="EM97" s="228">
        <v>609.55999999999995</v>
      </c>
      <c r="EN97" s="228">
        <v>183.62</v>
      </c>
      <c r="EO97" s="231">
        <v>3372.36</v>
      </c>
      <c r="EP97" s="231">
        <v>4380.8900000000003</v>
      </c>
      <c r="EQ97" s="231">
        <v>-1008.54</v>
      </c>
      <c r="ER97" s="229">
        <v>-0.23019999999999999</v>
      </c>
      <c r="ES97" s="231">
        <v>1420.52</v>
      </c>
      <c r="ET97" s="228">
        <v>826.27</v>
      </c>
      <c r="EU97" s="231">
        <v>3296.39</v>
      </c>
      <c r="EV97" s="231">
        <v>33878797</v>
      </c>
      <c r="EW97" s="231">
        <v>5543.18</v>
      </c>
      <c r="EX97" s="231">
        <v>5106.5600000000004</v>
      </c>
      <c r="EY97" s="228">
        <v>436.62</v>
      </c>
      <c r="EZ97" s="229">
        <v>8.5500000000000007E-2</v>
      </c>
      <c r="FA97" s="229">
        <v>0.37440000000000001</v>
      </c>
      <c r="FB97" s="227" t="s">
        <v>566</v>
      </c>
      <c r="FC97">
        <f t="shared" si="1"/>
        <v>107</v>
      </c>
    </row>
    <row r="98" spans="1:159" ht="17.25" thickBot="1" x14ac:dyDescent="0.3">
      <c r="A98" s="226">
        <v>46146</v>
      </c>
      <c r="B98" s="227" t="s">
        <v>172</v>
      </c>
      <c r="C98" s="227" t="s">
        <v>239</v>
      </c>
      <c r="D98" s="228">
        <v>700</v>
      </c>
      <c r="E98" s="228">
        <v>22</v>
      </c>
      <c r="F98" s="228">
        <v>919</v>
      </c>
      <c r="G98" s="228">
        <v>921.35</v>
      </c>
      <c r="H98" s="228">
        <v>-2.35</v>
      </c>
      <c r="I98" s="229">
        <v>-2.5999999999999999E-3</v>
      </c>
      <c r="J98" s="228">
        <v>913.9</v>
      </c>
      <c r="K98" s="228">
        <v>916.05</v>
      </c>
      <c r="L98" s="228">
        <v>-2.15</v>
      </c>
      <c r="M98" s="229">
        <v>-2.3E-3</v>
      </c>
      <c r="N98" s="228">
        <v>919</v>
      </c>
      <c r="O98" s="228">
        <v>921.35</v>
      </c>
      <c r="P98" s="228">
        <v>-2.35</v>
      </c>
      <c r="Q98" s="229">
        <v>-2.5999999999999999E-3</v>
      </c>
      <c r="R98" s="228">
        <v>923.3</v>
      </c>
      <c r="S98" s="228">
        <v>925.95</v>
      </c>
      <c r="T98" s="228">
        <v>-2.65</v>
      </c>
      <c r="U98" s="229">
        <v>-2.8999999999999998E-3</v>
      </c>
      <c r="V98" s="228">
        <v>927.5</v>
      </c>
      <c r="W98" s="228">
        <v>930.05</v>
      </c>
      <c r="X98" s="228">
        <v>-2.5499999999999998</v>
      </c>
      <c r="Y98" s="229">
        <v>-2.7000000000000001E-3</v>
      </c>
      <c r="Z98" s="228">
        <v>5.0999999999999996</v>
      </c>
      <c r="AA98" s="228">
        <v>5.3</v>
      </c>
      <c r="AB98" s="228">
        <v>-0.2</v>
      </c>
      <c r="AC98" s="229">
        <v>5.5999999999999999E-3</v>
      </c>
      <c r="AD98" s="228">
        <v>5.0999999999999996</v>
      </c>
      <c r="AE98" s="228">
        <v>5.3</v>
      </c>
      <c r="AF98" s="228">
        <v>-0.2</v>
      </c>
      <c r="AG98" s="229">
        <v>5.5999999999999999E-3</v>
      </c>
      <c r="AH98" s="228">
        <v>9.4</v>
      </c>
      <c r="AI98" s="228">
        <v>9.9</v>
      </c>
      <c r="AJ98" s="228">
        <v>-0.5</v>
      </c>
      <c r="AK98" s="229">
        <v>1.03E-2</v>
      </c>
      <c r="AL98" s="228">
        <v>13.6</v>
      </c>
      <c r="AM98" s="228">
        <v>14</v>
      </c>
      <c r="AN98" s="228">
        <v>-0.4</v>
      </c>
      <c r="AO98" s="229">
        <v>1.49E-2</v>
      </c>
      <c r="AP98" s="228">
        <v>933.66</v>
      </c>
      <c r="AQ98" s="228">
        <v>937.8</v>
      </c>
      <c r="AR98" s="228">
        <v>0</v>
      </c>
      <c r="AS98" s="228">
        <v>392</v>
      </c>
      <c r="AT98" s="228">
        <v>401</v>
      </c>
      <c r="AU98" s="228">
        <v>-9</v>
      </c>
      <c r="AV98" s="229">
        <v>-2.2499999999999999E-2</v>
      </c>
      <c r="AW98" s="228">
        <v>335</v>
      </c>
      <c r="AX98" s="228">
        <v>373</v>
      </c>
      <c r="AY98" s="228">
        <v>-38</v>
      </c>
      <c r="AZ98" s="229">
        <v>-0.10249999999999999</v>
      </c>
      <c r="BA98" s="228">
        <v>55</v>
      </c>
      <c r="BB98" s="228">
        <v>27</v>
      </c>
      <c r="BC98" s="228">
        <v>28</v>
      </c>
      <c r="BD98" s="229">
        <v>1.0407</v>
      </c>
      <c r="BE98" s="228">
        <v>2</v>
      </c>
      <c r="BF98" s="228">
        <v>1</v>
      </c>
      <c r="BG98" s="228">
        <v>1</v>
      </c>
      <c r="BH98" s="229">
        <v>1.2666999999999999</v>
      </c>
      <c r="BI98" s="228">
        <v>761</v>
      </c>
      <c r="BJ98" s="228">
        <v>847</v>
      </c>
      <c r="BK98" s="228">
        <v>-86</v>
      </c>
      <c r="BL98" s="229">
        <v>-0.1016</v>
      </c>
      <c r="BM98" s="228">
        <v>648</v>
      </c>
      <c r="BN98" s="228">
        <v>751</v>
      </c>
      <c r="BO98" s="228">
        <v>-103</v>
      </c>
      <c r="BP98" s="229">
        <v>-0.1371</v>
      </c>
      <c r="BQ98" s="230">
        <v>1801</v>
      </c>
      <c r="BR98" s="230">
        <v>1999</v>
      </c>
      <c r="BS98" s="228">
        <v>-198</v>
      </c>
      <c r="BT98" s="229">
        <v>-9.9099999999999994E-2</v>
      </c>
      <c r="BU98" s="230">
        <v>2037377</v>
      </c>
      <c r="BV98" s="230">
        <v>3532288</v>
      </c>
      <c r="BW98" s="230">
        <v>-1494911</v>
      </c>
      <c r="BX98" s="229">
        <v>-0.42320000000000002</v>
      </c>
      <c r="BY98" s="230">
        <v>3283</v>
      </c>
      <c r="BZ98" s="230">
        <v>3314</v>
      </c>
      <c r="CA98" s="228">
        <v>-30</v>
      </c>
      <c r="CB98" s="229">
        <v>-9.1999999999999998E-3</v>
      </c>
      <c r="CC98" s="230">
        <v>3145</v>
      </c>
      <c r="CD98" s="230">
        <v>3214</v>
      </c>
      <c r="CE98" s="228">
        <v>-69</v>
      </c>
      <c r="CF98" s="229">
        <v>-2.1499999999999998E-2</v>
      </c>
      <c r="CG98" s="228">
        <v>136</v>
      </c>
      <c r="CH98" s="228">
        <v>98</v>
      </c>
      <c r="CI98" s="228">
        <v>38</v>
      </c>
      <c r="CJ98" s="229">
        <v>0.38350000000000001</v>
      </c>
      <c r="CK98" s="228">
        <v>2</v>
      </c>
      <c r="CL98" s="228">
        <v>1</v>
      </c>
      <c r="CM98" s="228">
        <v>1</v>
      </c>
      <c r="CN98" s="229">
        <v>0.94120000000000004</v>
      </c>
      <c r="CO98" s="228">
        <v>530</v>
      </c>
      <c r="CP98" s="228">
        <v>477</v>
      </c>
      <c r="CQ98" s="228">
        <v>53</v>
      </c>
      <c r="CR98" s="229">
        <v>0.11210000000000001</v>
      </c>
      <c r="CS98" s="228">
        <v>499</v>
      </c>
      <c r="CT98" s="228">
        <v>495</v>
      </c>
      <c r="CU98" s="228">
        <v>4</v>
      </c>
      <c r="CV98" s="229">
        <v>8.5000000000000006E-3</v>
      </c>
      <c r="CW98" s="230">
        <v>4312</v>
      </c>
      <c r="CX98" s="230">
        <v>4285</v>
      </c>
      <c r="CY98" s="228">
        <v>27</v>
      </c>
      <c r="CZ98" s="229">
        <v>6.4000000000000003E-3</v>
      </c>
      <c r="DA98" s="228">
        <v>32.92</v>
      </c>
      <c r="DB98" s="228">
        <v>32.380000000000003</v>
      </c>
      <c r="DC98" s="228">
        <v>0.54</v>
      </c>
      <c r="DD98" s="228">
        <v>0.54</v>
      </c>
      <c r="DE98" s="228">
        <v>43.43</v>
      </c>
      <c r="DF98" s="228">
        <v>43.54</v>
      </c>
      <c r="DG98" s="228">
        <v>-10.51</v>
      </c>
      <c r="DH98" s="228">
        <v>-0.11</v>
      </c>
      <c r="DI98" s="228">
        <v>32.6</v>
      </c>
      <c r="DJ98" s="228">
        <v>31.71</v>
      </c>
      <c r="DK98" s="228">
        <v>0.89</v>
      </c>
      <c r="DL98" s="228">
        <v>0.89</v>
      </c>
      <c r="DM98" s="228">
        <v>33.299999999999997</v>
      </c>
      <c r="DN98" s="228">
        <v>33.14</v>
      </c>
      <c r="DO98" s="228">
        <v>0.16</v>
      </c>
      <c r="DP98" s="228">
        <v>0.16</v>
      </c>
      <c r="DQ98" s="228">
        <v>0.94</v>
      </c>
      <c r="DR98" s="228">
        <v>1.04</v>
      </c>
      <c r="DS98" s="228">
        <v>-0.1</v>
      </c>
      <c r="DT98" s="229">
        <v>-9.6199999999999994E-2</v>
      </c>
      <c r="DU98" s="228">
        <v>900</v>
      </c>
      <c r="DV98" s="228">
        <v>900</v>
      </c>
      <c r="DW98" s="228">
        <v>0.85</v>
      </c>
      <c r="DX98" s="228">
        <v>0.89</v>
      </c>
      <c r="DY98" s="228">
        <v>-0.04</v>
      </c>
      <c r="DZ98" s="229">
        <v>-4.4900000000000002E-2</v>
      </c>
      <c r="EA98" s="229">
        <v>4.2099999999999999E-2</v>
      </c>
      <c r="EB98" s="230">
        <v>1081500</v>
      </c>
      <c r="EC98" s="229">
        <v>4.7000000000000002E-3</v>
      </c>
      <c r="ED98" s="229">
        <v>4.2099999999999999E-2</v>
      </c>
      <c r="EE98" s="228">
        <v>4.1399999999999997</v>
      </c>
      <c r="EF98" s="229">
        <v>4.4000000000000003E-3</v>
      </c>
      <c r="EG98" s="230">
        <v>913694</v>
      </c>
      <c r="EH98" s="230">
        <v>1638790</v>
      </c>
      <c r="EI98" s="229">
        <v>-0.4425</v>
      </c>
      <c r="EJ98" s="229">
        <v>0.44850000000000001</v>
      </c>
      <c r="EK98" s="228">
        <v>809.87</v>
      </c>
      <c r="EL98" s="228">
        <v>638.20000000000005</v>
      </c>
      <c r="EM98" s="228">
        <v>398.29</v>
      </c>
      <c r="EN98" s="228">
        <v>212.01</v>
      </c>
      <c r="EO98" s="231">
        <v>1846.36</v>
      </c>
      <c r="EP98" s="231">
        <v>2018.04</v>
      </c>
      <c r="EQ98" s="228">
        <v>-171.68</v>
      </c>
      <c r="ER98" s="229">
        <v>-8.5099999999999995E-2</v>
      </c>
      <c r="ES98" s="228">
        <v>534.04</v>
      </c>
      <c r="ET98" s="228">
        <v>476.44</v>
      </c>
      <c r="EU98" s="231">
        <v>3283.99</v>
      </c>
      <c r="EV98" s="231">
        <v>93808799</v>
      </c>
      <c r="EW98" s="231">
        <v>4294.4799999999996</v>
      </c>
      <c r="EX98" s="231">
        <v>4266.2700000000004</v>
      </c>
      <c r="EY98" s="228">
        <v>28.21</v>
      </c>
      <c r="EZ98" s="229">
        <v>6.6E-3</v>
      </c>
      <c r="FA98" s="229">
        <v>0.50019999999999998</v>
      </c>
      <c r="FB98" s="227" t="s">
        <v>567</v>
      </c>
      <c r="FC98">
        <f t="shared" si="1"/>
        <v>138</v>
      </c>
    </row>
    <row r="99" spans="1:159" ht="17.25" thickBot="1" x14ac:dyDescent="0.3">
      <c r="A99" s="226">
        <v>46146</v>
      </c>
      <c r="B99" s="227" t="s">
        <v>188</v>
      </c>
      <c r="C99" s="227" t="s">
        <v>473</v>
      </c>
      <c r="D99" s="228">
        <v>1700</v>
      </c>
      <c r="E99" s="228">
        <v>22</v>
      </c>
      <c r="F99" s="228">
        <v>402.55</v>
      </c>
      <c r="G99" s="228">
        <v>412.2</v>
      </c>
      <c r="H99" s="228">
        <v>-9.65</v>
      </c>
      <c r="I99" s="229">
        <v>-2.3400000000000001E-2</v>
      </c>
      <c r="J99" s="228">
        <v>400.25</v>
      </c>
      <c r="K99" s="228">
        <v>409.95</v>
      </c>
      <c r="L99" s="228">
        <v>-9.6999999999999993</v>
      </c>
      <c r="M99" s="229">
        <v>-2.3699999999999999E-2</v>
      </c>
      <c r="N99" s="228">
        <v>402.55</v>
      </c>
      <c r="O99" s="228">
        <v>412.2</v>
      </c>
      <c r="P99" s="228">
        <v>-9.65</v>
      </c>
      <c r="Q99" s="229">
        <v>-2.3400000000000001E-2</v>
      </c>
      <c r="R99" s="228">
        <v>404.8</v>
      </c>
      <c r="S99" s="228">
        <v>414.15</v>
      </c>
      <c r="T99" s="228">
        <v>-9.35</v>
      </c>
      <c r="U99" s="229">
        <v>-2.2599999999999999E-2</v>
      </c>
      <c r="V99" s="228">
        <v>412</v>
      </c>
      <c r="W99" s="228">
        <v>415.35</v>
      </c>
      <c r="X99" s="228">
        <v>-3.35</v>
      </c>
      <c r="Y99" s="229">
        <v>-8.0999999999999996E-3</v>
      </c>
      <c r="Z99" s="228">
        <v>2.2999999999999998</v>
      </c>
      <c r="AA99" s="228">
        <v>2.25</v>
      </c>
      <c r="AB99" s="228">
        <v>0.05</v>
      </c>
      <c r="AC99" s="229">
        <v>5.7000000000000002E-3</v>
      </c>
      <c r="AD99" s="228">
        <v>2.2999999999999998</v>
      </c>
      <c r="AE99" s="228">
        <v>2.25</v>
      </c>
      <c r="AF99" s="228">
        <v>0.05</v>
      </c>
      <c r="AG99" s="229">
        <v>5.7000000000000002E-3</v>
      </c>
      <c r="AH99" s="228">
        <v>4.55</v>
      </c>
      <c r="AI99" s="228">
        <v>4.2</v>
      </c>
      <c r="AJ99" s="228">
        <v>0.35</v>
      </c>
      <c r="AK99" s="229">
        <v>1.14E-2</v>
      </c>
      <c r="AL99" s="228">
        <v>11.75</v>
      </c>
      <c r="AM99" s="228">
        <v>5.4</v>
      </c>
      <c r="AN99" s="228">
        <v>6.35</v>
      </c>
      <c r="AO99" s="229">
        <v>2.9399999999999999E-2</v>
      </c>
      <c r="AP99" s="228">
        <v>402.11</v>
      </c>
      <c r="AQ99" s="228">
        <v>403.35</v>
      </c>
      <c r="AR99" s="228">
        <v>0</v>
      </c>
      <c r="AS99" s="228">
        <v>996</v>
      </c>
      <c r="AT99" s="228">
        <v>310</v>
      </c>
      <c r="AU99" s="228">
        <v>686</v>
      </c>
      <c r="AV99" s="229">
        <v>2.2151999999999998</v>
      </c>
      <c r="AW99" s="228">
        <v>962</v>
      </c>
      <c r="AX99" s="228">
        <v>298</v>
      </c>
      <c r="AY99" s="228">
        <v>664</v>
      </c>
      <c r="AZ99" s="229">
        <v>2.2248000000000001</v>
      </c>
      <c r="BA99" s="228">
        <v>30</v>
      </c>
      <c r="BB99" s="228">
        <v>11</v>
      </c>
      <c r="BC99" s="228">
        <v>19</v>
      </c>
      <c r="BD99" s="229">
        <v>1.7898000000000001</v>
      </c>
      <c r="BE99" s="228">
        <v>4</v>
      </c>
      <c r="BF99" s="228">
        <v>1</v>
      </c>
      <c r="BG99" s="228">
        <v>3</v>
      </c>
      <c r="BH99" s="229">
        <v>4.7</v>
      </c>
      <c r="BI99" s="230">
        <v>3230</v>
      </c>
      <c r="BJ99" s="228">
        <v>878</v>
      </c>
      <c r="BK99" s="230">
        <v>2352</v>
      </c>
      <c r="BL99" s="229">
        <v>2.6802999999999999</v>
      </c>
      <c r="BM99" s="230">
        <v>1543</v>
      </c>
      <c r="BN99" s="228">
        <v>504</v>
      </c>
      <c r="BO99" s="230">
        <v>1038</v>
      </c>
      <c r="BP99" s="229">
        <v>2.0596999999999999</v>
      </c>
      <c r="BQ99" s="230">
        <v>5768</v>
      </c>
      <c r="BR99" s="230">
        <v>1691</v>
      </c>
      <c r="BS99" s="230">
        <v>4077</v>
      </c>
      <c r="BT99" s="229">
        <v>2.4102000000000001</v>
      </c>
      <c r="BU99" s="230">
        <v>12982992</v>
      </c>
      <c r="BV99" s="230">
        <v>4488871</v>
      </c>
      <c r="BW99" s="230">
        <v>8494121</v>
      </c>
      <c r="BX99" s="229">
        <v>1.8923000000000001</v>
      </c>
      <c r="BY99" s="230">
        <v>3251</v>
      </c>
      <c r="BZ99" s="230">
        <v>3088</v>
      </c>
      <c r="CA99" s="228">
        <v>162</v>
      </c>
      <c r="CB99" s="229">
        <v>5.2600000000000001E-2</v>
      </c>
      <c r="CC99" s="230">
        <v>3100</v>
      </c>
      <c r="CD99" s="230">
        <v>2948</v>
      </c>
      <c r="CE99" s="228">
        <v>152</v>
      </c>
      <c r="CF99" s="229">
        <v>5.1700000000000003E-2</v>
      </c>
      <c r="CG99" s="228">
        <v>147</v>
      </c>
      <c r="CH99" s="228">
        <v>140</v>
      </c>
      <c r="CI99" s="228">
        <v>7</v>
      </c>
      <c r="CJ99" s="229">
        <v>5.2499999999999998E-2</v>
      </c>
      <c r="CK99" s="228">
        <v>3</v>
      </c>
      <c r="CL99" s="228">
        <v>1</v>
      </c>
      <c r="CM99" s="228">
        <v>3</v>
      </c>
      <c r="CN99" s="229">
        <v>3.9</v>
      </c>
      <c r="CO99" s="230">
        <v>1173</v>
      </c>
      <c r="CP99" s="228">
        <v>914</v>
      </c>
      <c r="CQ99" s="228">
        <v>258</v>
      </c>
      <c r="CR99" s="229">
        <v>0.28260000000000002</v>
      </c>
      <c r="CS99" s="228">
        <v>858</v>
      </c>
      <c r="CT99" s="228">
        <v>714</v>
      </c>
      <c r="CU99" s="228">
        <v>143</v>
      </c>
      <c r="CV99" s="229">
        <v>0.20069999999999999</v>
      </c>
      <c r="CW99" s="230">
        <v>5281</v>
      </c>
      <c r="CX99" s="230">
        <v>4717</v>
      </c>
      <c r="CY99" s="228">
        <v>564</v>
      </c>
      <c r="CZ99" s="229">
        <v>0.1196</v>
      </c>
      <c r="DA99" s="228">
        <v>30.27</v>
      </c>
      <c r="DB99" s="228">
        <v>34.07</v>
      </c>
      <c r="DC99" s="228">
        <v>-3.8</v>
      </c>
      <c r="DD99" s="228">
        <v>-3.8</v>
      </c>
      <c r="DE99" s="228">
        <v>37.43</v>
      </c>
      <c r="DF99" s="228">
        <v>37.39</v>
      </c>
      <c r="DG99" s="228">
        <v>-7.16</v>
      </c>
      <c r="DH99" s="228">
        <v>0.04</v>
      </c>
      <c r="DI99" s="228">
        <v>30.73</v>
      </c>
      <c r="DJ99" s="228">
        <v>34.229999999999997</v>
      </c>
      <c r="DK99" s="228">
        <v>-3.5</v>
      </c>
      <c r="DL99" s="228">
        <v>-3.5</v>
      </c>
      <c r="DM99" s="228">
        <v>29.3</v>
      </c>
      <c r="DN99" s="228">
        <v>33.799999999999997</v>
      </c>
      <c r="DO99" s="228">
        <v>-4.5</v>
      </c>
      <c r="DP99" s="228">
        <v>-4.5</v>
      </c>
      <c r="DQ99" s="228">
        <v>0.73</v>
      </c>
      <c r="DR99" s="228">
        <v>0.78</v>
      </c>
      <c r="DS99" s="228">
        <v>-0.05</v>
      </c>
      <c r="DT99" s="229">
        <v>-6.4100000000000004E-2</v>
      </c>
      <c r="DU99" s="228">
        <v>440</v>
      </c>
      <c r="DV99" s="228">
        <v>400</v>
      </c>
      <c r="DW99" s="228">
        <v>0.48</v>
      </c>
      <c r="DX99" s="228">
        <v>0.56999999999999995</v>
      </c>
      <c r="DY99" s="228">
        <v>-0.09</v>
      </c>
      <c r="DZ99" s="229">
        <v>-0.15790000000000001</v>
      </c>
      <c r="EA99" s="229">
        <v>4.6199999999999998E-2</v>
      </c>
      <c r="EB99" s="230">
        <v>3483300</v>
      </c>
      <c r="EC99" s="229">
        <v>5.5999999999999999E-3</v>
      </c>
      <c r="ED99" s="229">
        <v>4.6199999999999998E-2</v>
      </c>
      <c r="EE99" s="228">
        <v>1.24</v>
      </c>
      <c r="EF99" s="229">
        <v>3.0999999999999999E-3</v>
      </c>
      <c r="EG99" s="230">
        <v>4625415</v>
      </c>
      <c r="EH99" s="230">
        <v>2440686</v>
      </c>
      <c r="EI99" s="229">
        <v>0.89510000000000001</v>
      </c>
      <c r="EJ99" s="229">
        <v>0.35630000000000001</v>
      </c>
      <c r="EK99" s="231">
        <v>3429.16</v>
      </c>
      <c r="EL99" s="231">
        <v>1554.9</v>
      </c>
      <c r="EM99" s="228">
        <v>994.89</v>
      </c>
      <c r="EN99" s="228">
        <v>172.27</v>
      </c>
      <c r="EO99" s="231">
        <v>5978.95</v>
      </c>
      <c r="EP99" s="231">
        <v>1790.96</v>
      </c>
      <c r="EQ99" s="231">
        <v>4187.99</v>
      </c>
      <c r="ER99" s="229">
        <v>2.3384</v>
      </c>
      <c r="ES99" s="231">
        <v>1241.29</v>
      </c>
      <c r="ET99" s="228">
        <v>851.55</v>
      </c>
      <c r="EU99" s="231">
        <v>3251.42</v>
      </c>
      <c r="EV99" s="231">
        <v>193625858</v>
      </c>
      <c r="EW99" s="231">
        <v>5344.26</v>
      </c>
      <c r="EX99" s="231">
        <v>4852.8100000000004</v>
      </c>
      <c r="EY99" s="228">
        <v>491.45</v>
      </c>
      <c r="EZ99" s="229">
        <v>0.1013</v>
      </c>
      <c r="FA99" s="229">
        <v>0.67749999999999999</v>
      </c>
      <c r="FB99" s="227" t="s">
        <v>566</v>
      </c>
      <c r="FC99">
        <f t="shared" si="1"/>
        <v>151</v>
      </c>
    </row>
    <row r="100" spans="1:159" ht="17.25" thickBot="1" x14ac:dyDescent="0.3">
      <c r="A100" s="226">
        <v>46146</v>
      </c>
      <c r="B100" s="227" t="s">
        <v>221</v>
      </c>
      <c r="C100" s="227" t="s">
        <v>240</v>
      </c>
      <c r="D100" s="228">
        <v>400</v>
      </c>
      <c r="E100" s="228">
        <v>22</v>
      </c>
      <c r="F100" s="231">
        <v>1173</v>
      </c>
      <c r="G100" s="231">
        <v>1187.4000000000001</v>
      </c>
      <c r="H100" s="228">
        <v>-14.4</v>
      </c>
      <c r="I100" s="229">
        <v>-1.21E-2</v>
      </c>
      <c r="J100" s="231">
        <v>1168.4000000000001</v>
      </c>
      <c r="K100" s="231">
        <v>1181.8</v>
      </c>
      <c r="L100" s="228">
        <v>-13.4</v>
      </c>
      <c r="M100" s="229">
        <v>-1.1299999999999999E-2</v>
      </c>
      <c r="N100" s="231">
        <v>1173</v>
      </c>
      <c r="O100" s="231">
        <v>1187.4000000000001</v>
      </c>
      <c r="P100" s="228">
        <v>-14.4</v>
      </c>
      <c r="Q100" s="229">
        <v>-1.21E-2</v>
      </c>
      <c r="R100" s="231">
        <v>1174.9000000000001</v>
      </c>
      <c r="S100" s="231">
        <v>1189.5999999999999</v>
      </c>
      <c r="T100" s="228">
        <v>-14.7</v>
      </c>
      <c r="U100" s="229">
        <v>-1.24E-2</v>
      </c>
      <c r="V100" s="231">
        <v>1177.8</v>
      </c>
      <c r="W100" s="231">
        <v>1194.5999999999999</v>
      </c>
      <c r="X100" s="228">
        <v>-16.8</v>
      </c>
      <c r="Y100" s="229">
        <v>-1.41E-2</v>
      </c>
      <c r="Z100" s="228">
        <v>4.5999999999999996</v>
      </c>
      <c r="AA100" s="228">
        <v>5.6</v>
      </c>
      <c r="AB100" s="228">
        <v>-1</v>
      </c>
      <c r="AC100" s="229">
        <v>3.8999999999999998E-3</v>
      </c>
      <c r="AD100" s="228">
        <v>4.5999999999999996</v>
      </c>
      <c r="AE100" s="228">
        <v>5.6</v>
      </c>
      <c r="AF100" s="228">
        <v>-1</v>
      </c>
      <c r="AG100" s="229">
        <v>3.8999999999999998E-3</v>
      </c>
      <c r="AH100" s="228">
        <v>6.5</v>
      </c>
      <c r="AI100" s="228">
        <v>7.8</v>
      </c>
      <c r="AJ100" s="228">
        <v>-1.3</v>
      </c>
      <c r="AK100" s="229">
        <v>5.5999999999999999E-3</v>
      </c>
      <c r="AL100" s="228">
        <v>9.4</v>
      </c>
      <c r="AM100" s="228">
        <v>12.8</v>
      </c>
      <c r="AN100" s="228">
        <v>-3.4</v>
      </c>
      <c r="AO100" s="229">
        <v>8.0000000000000002E-3</v>
      </c>
      <c r="AP100" s="231">
        <v>1180.01</v>
      </c>
      <c r="AQ100" s="231">
        <v>1179.48</v>
      </c>
      <c r="AR100" s="228">
        <v>0</v>
      </c>
      <c r="AS100" s="228">
        <v>714</v>
      </c>
      <c r="AT100" s="230">
        <v>1141</v>
      </c>
      <c r="AU100" s="228">
        <v>-427</v>
      </c>
      <c r="AV100" s="229">
        <v>-0.37419999999999998</v>
      </c>
      <c r="AW100" s="228">
        <v>607</v>
      </c>
      <c r="AX100" s="230">
        <v>1054</v>
      </c>
      <c r="AY100" s="228">
        <v>-446</v>
      </c>
      <c r="AZ100" s="229">
        <v>-0.42349999999999999</v>
      </c>
      <c r="BA100" s="228">
        <v>95</v>
      </c>
      <c r="BB100" s="228">
        <v>73</v>
      </c>
      <c r="BC100" s="228">
        <v>23</v>
      </c>
      <c r="BD100" s="229">
        <v>0.31230000000000002</v>
      </c>
      <c r="BE100" s="228">
        <v>11</v>
      </c>
      <c r="BF100" s="228">
        <v>15</v>
      </c>
      <c r="BG100" s="228">
        <v>-4</v>
      </c>
      <c r="BH100" s="229">
        <v>-0.2414</v>
      </c>
      <c r="BI100" s="230">
        <v>2402</v>
      </c>
      <c r="BJ100" s="230">
        <v>3592</v>
      </c>
      <c r="BK100" s="230">
        <v>-1190</v>
      </c>
      <c r="BL100" s="229">
        <v>-0.33129999999999998</v>
      </c>
      <c r="BM100" s="230">
        <v>1266</v>
      </c>
      <c r="BN100" s="230">
        <v>1977</v>
      </c>
      <c r="BO100" s="228">
        <v>-710</v>
      </c>
      <c r="BP100" s="229">
        <v>-0.3594</v>
      </c>
      <c r="BQ100" s="230">
        <v>4382</v>
      </c>
      <c r="BR100" s="230">
        <v>6710</v>
      </c>
      <c r="BS100" s="230">
        <v>-2327</v>
      </c>
      <c r="BT100" s="229">
        <v>-0.34689999999999999</v>
      </c>
      <c r="BU100" s="230">
        <v>8273730</v>
      </c>
      <c r="BV100" s="230">
        <v>13487173</v>
      </c>
      <c r="BW100" s="230">
        <v>-5213443</v>
      </c>
      <c r="BX100" s="229">
        <v>-0.38650000000000001</v>
      </c>
      <c r="BY100" s="230">
        <v>9787</v>
      </c>
      <c r="BZ100" s="230">
        <v>9675</v>
      </c>
      <c r="CA100" s="228">
        <v>112</v>
      </c>
      <c r="CB100" s="229">
        <v>1.15E-2</v>
      </c>
      <c r="CC100" s="230">
        <v>9163</v>
      </c>
      <c r="CD100" s="230">
        <v>9110</v>
      </c>
      <c r="CE100" s="228">
        <v>54</v>
      </c>
      <c r="CF100" s="229">
        <v>5.8999999999999999E-3</v>
      </c>
      <c r="CG100" s="228">
        <v>600</v>
      </c>
      <c r="CH100" s="228">
        <v>548</v>
      </c>
      <c r="CI100" s="228">
        <v>52</v>
      </c>
      <c r="CJ100" s="229">
        <v>9.5100000000000004E-2</v>
      </c>
      <c r="CK100" s="228">
        <v>23</v>
      </c>
      <c r="CL100" s="228">
        <v>17</v>
      </c>
      <c r="CM100" s="228">
        <v>6</v>
      </c>
      <c r="CN100" s="229">
        <v>0.33510000000000001</v>
      </c>
      <c r="CO100" s="230">
        <v>4112</v>
      </c>
      <c r="CP100" s="230">
        <v>3760</v>
      </c>
      <c r="CQ100" s="228">
        <v>352</v>
      </c>
      <c r="CR100" s="229">
        <v>9.35E-2</v>
      </c>
      <c r="CS100" s="230">
        <v>2410</v>
      </c>
      <c r="CT100" s="230">
        <v>2309</v>
      </c>
      <c r="CU100" s="228">
        <v>101</v>
      </c>
      <c r="CV100" s="229">
        <v>4.3900000000000002E-2</v>
      </c>
      <c r="CW100" s="230">
        <v>16309</v>
      </c>
      <c r="CX100" s="230">
        <v>15744</v>
      </c>
      <c r="CY100" s="228">
        <v>564</v>
      </c>
      <c r="CZ100" s="229">
        <v>3.5900000000000001E-2</v>
      </c>
      <c r="DA100" s="228">
        <v>31.22</v>
      </c>
      <c r="DB100" s="228">
        <v>30.34</v>
      </c>
      <c r="DC100" s="228">
        <v>0.88</v>
      </c>
      <c r="DD100" s="228">
        <v>0.88</v>
      </c>
      <c r="DE100" s="228">
        <v>32.4</v>
      </c>
      <c r="DF100" s="228">
        <v>32.450000000000003</v>
      </c>
      <c r="DG100" s="228">
        <v>-1.18</v>
      </c>
      <c r="DH100" s="228">
        <v>-0.05</v>
      </c>
      <c r="DI100" s="228">
        <v>31.65</v>
      </c>
      <c r="DJ100" s="228">
        <v>30.49</v>
      </c>
      <c r="DK100" s="228">
        <v>1.1599999999999999</v>
      </c>
      <c r="DL100" s="228">
        <v>1.1599999999999999</v>
      </c>
      <c r="DM100" s="228">
        <v>30.4</v>
      </c>
      <c r="DN100" s="228">
        <v>30.07</v>
      </c>
      <c r="DO100" s="228">
        <v>0.33</v>
      </c>
      <c r="DP100" s="228">
        <v>0.33</v>
      </c>
      <c r="DQ100" s="228">
        <v>0.59</v>
      </c>
      <c r="DR100" s="228">
        <v>0.61</v>
      </c>
      <c r="DS100" s="228">
        <v>-0.02</v>
      </c>
      <c r="DT100" s="229">
        <v>-3.2800000000000003E-2</v>
      </c>
      <c r="DU100" s="231">
        <v>1300</v>
      </c>
      <c r="DV100" s="231">
        <v>1160</v>
      </c>
      <c r="DW100" s="228">
        <v>0.53</v>
      </c>
      <c r="DX100" s="228">
        <v>0.55000000000000004</v>
      </c>
      <c r="DY100" s="228">
        <v>-0.02</v>
      </c>
      <c r="DZ100" s="229">
        <v>-3.6400000000000002E-2</v>
      </c>
      <c r="EA100" s="229">
        <v>6.3700000000000007E-2</v>
      </c>
      <c r="EB100" s="230">
        <v>4821200</v>
      </c>
      <c r="EC100" s="229">
        <v>1.6000000000000001E-3</v>
      </c>
      <c r="ED100" s="229">
        <v>6.3700000000000007E-2</v>
      </c>
      <c r="EE100" s="228">
        <v>-0.53</v>
      </c>
      <c r="EF100" s="229">
        <v>-4.0000000000000002E-4</v>
      </c>
      <c r="EG100" s="230">
        <v>4568517</v>
      </c>
      <c r="EH100" s="230">
        <v>5623550</v>
      </c>
      <c r="EI100" s="229">
        <v>-0.18759999999999999</v>
      </c>
      <c r="EJ100" s="229">
        <v>0.55220000000000002</v>
      </c>
      <c r="EK100" s="231">
        <v>2597.23</v>
      </c>
      <c r="EL100" s="231">
        <v>1255.5</v>
      </c>
      <c r="EM100" s="228">
        <v>718.48</v>
      </c>
      <c r="EN100" s="228">
        <v>650.66999999999996</v>
      </c>
      <c r="EO100" s="231">
        <v>4571.21</v>
      </c>
      <c r="EP100" s="231">
        <v>6957.08</v>
      </c>
      <c r="EQ100" s="231">
        <v>-2385.88</v>
      </c>
      <c r="ER100" s="229">
        <v>-0.34289999999999998</v>
      </c>
      <c r="ES100" s="231">
        <v>4444.29</v>
      </c>
      <c r="ET100" s="231">
        <v>2425.42</v>
      </c>
      <c r="EU100" s="231">
        <v>9787.83</v>
      </c>
      <c r="EV100" s="231">
        <v>475237614</v>
      </c>
      <c r="EW100" s="231">
        <v>16657.55</v>
      </c>
      <c r="EX100" s="231">
        <v>16188.13</v>
      </c>
      <c r="EY100" s="228">
        <v>469.42</v>
      </c>
      <c r="EZ100" s="229">
        <v>2.9000000000000001E-2</v>
      </c>
      <c r="FA100" s="229">
        <v>0.29260000000000003</v>
      </c>
      <c r="FB100" s="227" t="s">
        <v>566</v>
      </c>
      <c r="FC100">
        <f t="shared" si="1"/>
        <v>624</v>
      </c>
    </row>
    <row r="101" spans="1:159" ht="17.25" thickBot="1" x14ac:dyDescent="0.3">
      <c r="A101" s="226">
        <v>46146</v>
      </c>
      <c r="B101" s="227" t="s">
        <v>161</v>
      </c>
      <c r="C101" s="227" t="s">
        <v>666</v>
      </c>
      <c r="D101" s="228">
        <v>3575</v>
      </c>
      <c r="E101" s="228">
        <v>22</v>
      </c>
      <c r="F101" s="228">
        <v>103.93</v>
      </c>
      <c r="G101" s="228">
        <v>101.51</v>
      </c>
      <c r="H101" s="228">
        <v>2.42</v>
      </c>
      <c r="I101" s="229">
        <v>2.3800000000000002E-2</v>
      </c>
      <c r="J101" s="228">
        <v>103.38</v>
      </c>
      <c r="K101" s="228">
        <v>100.95</v>
      </c>
      <c r="L101" s="228">
        <v>2.4300000000000002</v>
      </c>
      <c r="M101" s="229">
        <v>2.41E-2</v>
      </c>
      <c r="N101" s="228">
        <v>103.93</v>
      </c>
      <c r="O101" s="228">
        <v>101.51</v>
      </c>
      <c r="P101" s="228">
        <v>2.42</v>
      </c>
      <c r="Q101" s="229">
        <v>2.3800000000000002E-2</v>
      </c>
      <c r="R101" s="228">
        <v>104.64</v>
      </c>
      <c r="S101" s="228">
        <v>102.2</v>
      </c>
      <c r="T101" s="228">
        <v>2.44</v>
      </c>
      <c r="U101" s="229">
        <v>2.3900000000000001E-2</v>
      </c>
      <c r="V101" s="228">
        <v>105.21</v>
      </c>
      <c r="W101" s="228">
        <v>102.75</v>
      </c>
      <c r="X101" s="228">
        <v>2.46</v>
      </c>
      <c r="Y101" s="229">
        <v>2.3900000000000001E-2</v>
      </c>
      <c r="Z101" s="228">
        <v>0.55000000000000004</v>
      </c>
      <c r="AA101" s="228">
        <v>0.56000000000000005</v>
      </c>
      <c r="AB101" s="228">
        <v>-0.01</v>
      </c>
      <c r="AC101" s="229">
        <v>5.3E-3</v>
      </c>
      <c r="AD101" s="228">
        <v>0.55000000000000004</v>
      </c>
      <c r="AE101" s="228">
        <v>0.56000000000000005</v>
      </c>
      <c r="AF101" s="228">
        <v>-0.01</v>
      </c>
      <c r="AG101" s="229">
        <v>5.3E-3</v>
      </c>
      <c r="AH101" s="228">
        <v>1.26</v>
      </c>
      <c r="AI101" s="228">
        <v>1.25</v>
      </c>
      <c r="AJ101" s="228">
        <v>0.01</v>
      </c>
      <c r="AK101" s="229">
        <v>1.2200000000000001E-2</v>
      </c>
      <c r="AL101" s="228">
        <v>1.83</v>
      </c>
      <c r="AM101" s="228">
        <v>1.8</v>
      </c>
      <c r="AN101" s="228">
        <v>0.03</v>
      </c>
      <c r="AO101" s="229">
        <v>1.77E-2</v>
      </c>
      <c r="AP101" s="228">
        <v>101.53</v>
      </c>
      <c r="AQ101" s="228">
        <v>102.17</v>
      </c>
      <c r="AR101" s="228">
        <v>0</v>
      </c>
      <c r="AS101" s="228">
        <v>316</v>
      </c>
      <c r="AT101" s="228">
        <v>207</v>
      </c>
      <c r="AU101" s="228">
        <v>109</v>
      </c>
      <c r="AV101" s="229">
        <v>0.52439999999999998</v>
      </c>
      <c r="AW101" s="228">
        <v>307</v>
      </c>
      <c r="AX101" s="228">
        <v>199</v>
      </c>
      <c r="AY101" s="228">
        <v>107</v>
      </c>
      <c r="AZ101" s="229">
        <v>0.53820000000000001</v>
      </c>
      <c r="BA101" s="228">
        <v>8</v>
      </c>
      <c r="BB101" s="228">
        <v>6</v>
      </c>
      <c r="BC101" s="228">
        <v>1</v>
      </c>
      <c r="BD101" s="229">
        <v>0.19539999999999999</v>
      </c>
      <c r="BE101" s="228">
        <v>1</v>
      </c>
      <c r="BF101" s="228">
        <v>1</v>
      </c>
      <c r="BG101" s="228">
        <v>0</v>
      </c>
      <c r="BH101" s="229">
        <v>5.5599999999999997E-2</v>
      </c>
      <c r="BI101" s="228">
        <v>274</v>
      </c>
      <c r="BJ101" s="228">
        <v>137</v>
      </c>
      <c r="BK101" s="228">
        <v>136</v>
      </c>
      <c r="BL101" s="229">
        <v>0.99490000000000001</v>
      </c>
      <c r="BM101" s="228">
        <v>101</v>
      </c>
      <c r="BN101" s="228">
        <v>67</v>
      </c>
      <c r="BO101" s="228">
        <v>35</v>
      </c>
      <c r="BP101" s="229">
        <v>0.51890000000000003</v>
      </c>
      <c r="BQ101" s="228">
        <v>691</v>
      </c>
      <c r="BR101" s="228">
        <v>411</v>
      </c>
      <c r="BS101" s="228">
        <v>280</v>
      </c>
      <c r="BT101" s="229">
        <v>0.68049999999999999</v>
      </c>
      <c r="BU101" s="230">
        <v>40930180</v>
      </c>
      <c r="BV101" s="230">
        <v>42579213</v>
      </c>
      <c r="BW101" s="230">
        <v>-1649033</v>
      </c>
      <c r="BX101" s="229">
        <v>-3.8699999999999998E-2</v>
      </c>
      <c r="BY101" s="228">
        <v>982</v>
      </c>
      <c r="BZ101" s="228">
        <v>990</v>
      </c>
      <c r="CA101" s="228">
        <v>-9</v>
      </c>
      <c r="CB101" s="229">
        <v>-8.8000000000000005E-3</v>
      </c>
      <c r="CC101" s="228">
        <v>949</v>
      </c>
      <c r="CD101" s="228">
        <v>960</v>
      </c>
      <c r="CE101" s="228">
        <v>-11</v>
      </c>
      <c r="CF101" s="229">
        <v>-1.15E-2</v>
      </c>
      <c r="CG101" s="228">
        <v>25</v>
      </c>
      <c r="CH101" s="228">
        <v>23</v>
      </c>
      <c r="CI101" s="228">
        <v>2</v>
      </c>
      <c r="CJ101" s="229">
        <v>7.4999999999999997E-2</v>
      </c>
      <c r="CK101" s="228">
        <v>8</v>
      </c>
      <c r="CL101" s="228">
        <v>7</v>
      </c>
      <c r="CM101" s="228">
        <v>1</v>
      </c>
      <c r="CN101" s="229">
        <v>8.1799999999999998E-2</v>
      </c>
      <c r="CO101" s="228">
        <v>175</v>
      </c>
      <c r="CP101" s="228">
        <v>157</v>
      </c>
      <c r="CQ101" s="228">
        <v>19</v>
      </c>
      <c r="CR101" s="229">
        <v>0.1187</v>
      </c>
      <c r="CS101" s="228">
        <v>124</v>
      </c>
      <c r="CT101" s="228">
        <v>109</v>
      </c>
      <c r="CU101" s="228">
        <v>15</v>
      </c>
      <c r="CV101" s="229">
        <v>0.13289999999999999</v>
      </c>
      <c r="CW101" s="230">
        <v>1281</v>
      </c>
      <c r="CX101" s="230">
        <v>1256</v>
      </c>
      <c r="CY101" s="228">
        <v>24</v>
      </c>
      <c r="CZ101" s="229">
        <v>1.95E-2</v>
      </c>
      <c r="DA101" s="228">
        <v>52.55</v>
      </c>
      <c r="DB101" s="228">
        <v>51.16</v>
      </c>
      <c r="DC101" s="228">
        <v>1.39</v>
      </c>
      <c r="DD101" s="228">
        <v>1.39</v>
      </c>
      <c r="DE101" s="228">
        <v>53.82</v>
      </c>
      <c r="DF101" s="228">
        <v>53.86</v>
      </c>
      <c r="DG101" s="228">
        <v>-1.27</v>
      </c>
      <c r="DH101" s="228">
        <v>-0.04</v>
      </c>
      <c r="DI101" s="228">
        <v>52.66</v>
      </c>
      <c r="DJ101" s="228">
        <v>51.53</v>
      </c>
      <c r="DK101" s="228">
        <v>1.1299999999999999</v>
      </c>
      <c r="DL101" s="228">
        <v>1.1299999999999999</v>
      </c>
      <c r="DM101" s="228">
        <v>52.27</v>
      </c>
      <c r="DN101" s="228">
        <v>50.42</v>
      </c>
      <c r="DO101" s="228">
        <v>1.85</v>
      </c>
      <c r="DP101" s="228">
        <v>1.85</v>
      </c>
      <c r="DQ101" s="228">
        <v>0.71</v>
      </c>
      <c r="DR101" s="228">
        <v>0.7</v>
      </c>
      <c r="DS101" s="228">
        <v>0.01</v>
      </c>
      <c r="DT101" s="229">
        <v>1.43E-2</v>
      </c>
      <c r="DU101" s="228">
        <v>110</v>
      </c>
      <c r="DV101" s="228">
        <v>100</v>
      </c>
      <c r="DW101" s="228">
        <v>0.37</v>
      </c>
      <c r="DX101" s="228">
        <v>0.49</v>
      </c>
      <c r="DY101" s="228">
        <v>-0.12</v>
      </c>
      <c r="DZ101" s="229">
        <v>-0.24490000000000001</v>
      </c>
      <c r="EA101" s="229">
        <v>3.3599999999999998E-2</v>
      </c>
      <c r="EB101" s="230">
        <v>2945525</v>
      </c>
      <c r="EC101" s="229">
        <v>6.7999999999999996E-3</v>
      </c>
      <c r="ED101" s="229">
        <v>3.3599999999999998E-2</v>
      </c>
      <c r="EE101" s="228">
        <v>0.64</v>
      </c>
      <c r="EF101" s="229">
        <v>6.3E-3</v>
      </c>
      <c r="EG101" s="230">
        <v>16483628</v>
      </c>
      <c r="EH101" s="230">
        <v>24582192</v>
      </c>
      <c r="EI101" s="229">
        <v>-0.32940000000000003</v>
      </c>
      <c r="EJ101" s="229">
        <v>0.4027</v>
      </c>
      <c r="EK101" s="228">
        <v>288.23</v>
      </c>
      <c r="EL101" s="228">
        <v>99.56</v>
      </c>
      <c r="EM101" s="228">
        <v>309.61</v>
      </c>
      <c r="EN101" s="228">
        <v>100.33</v>
      </c>
      <c r="EO101" s="228">
        <v>697.4</v>
      </c>
      <c r="EP101" s="228">
        <v>414.56</v>
      </c>
      <c r="EQ101" s="228">
        <v>282.83</v>
      </c>
      <c r="ER101" s="229">
        <v>0.68220000000000003</v>
      </c>
      <c r="ES101" s="228">
        <v>178.93</v>
      </c>
      <c r="ET101" s="228">
        <v>120.03</v>
      </c>
      <c r="EU101" s="228">
        <v>981.9</v>
      </c>
      <c r="EV101" s="231">
        <v>144708707</v>
      </c>
      <c r="EW101" s="231">
        <v>1280.8699999999999</v>
      </c>
      <c r="EX101" s="231">
        <v>1233.22</v>
      </c>
      <c r="EY101" s="228">
        <v>47.65</v>
      </c>
      <c r="EZ101" s="229">
        <v>3.8600000000000002E-2</v>
      </c>
      <c r="FA101" s="229">
        <v>0.85160000000000002</v>
      </c>
      <c r="FB101" s="227" t="s">
        <v>691</v>
      </c>
      <c r="FC101">
        <f t="shared" si="1"/>
        <v>33</v>
      </c>
    </row>
    <row r="102" spans="1:159" ht="17.25" thickBot="1" x14ac:dyDescent="0.3">
      <c r="A102" s="226">
        <v>46146</v>
      </c>
      <c r="B102" s="227" t="s">
        <v>193</v>
      </c>
      <c r="C102" s="227" t="s">
        <v>241</v>
      </c>
      <c r="D102" s="228">
        <v>4875</v>
      </c>
      <c r="E102" s="228">
        <v>22</v>
      </c>
      <c r="F102" s="228">
        <v>143.08000000000001</v>
      </c>
      <c r="G102" s="228">
        <v>143.12</v>
      </c>
      <c r="H102" s="228">
        <v>-0.04</v>
      </c>
      <c r="I102" s="229">
        <v>-2.9999999999999997E-4</v>
      </c>
      <c r="J102" s="228">
        <v>142.26</v>
      </c>
      <c r="K102" s="228">
        <v>142.25</v>
      </c>
      <c r="L102" s="228">
        <v>0.01</v>
      </c>
      <c r="M102" s="229">
        <v>1E-4</v>
      </c>
      <c r="N102" s="228">
        <v>143.08000000000001</v>
      </c>
      <c r="O102" s="228">
        <v>143.12</v>
      </c>
      <c r="P102" s="228">
        <v>-0.04</v>
      </c>
      <c r="Q102" s="229">
        <v>-2.9999999999999997E-4</v>
      </c>
      <c r="R102" s="228">
        <v>144.02000000000001</v>
      </c>
      <c r="S102" s="228">
        <v>144.04</v>
      </c>
      <c r="T102" s="228">
        <v>-0.02</v>
      </c>
      <c r="U102" s="229">
        <v>-1E-4</v>
      </c>
      <c r="V102" s="228">
        <v>145.1</v>
      </c>
      <c r="W102" s="228">
        <v>144.21</v>
      </c>
      <c r="X102" s="228">
        <v>0.89</v>
      </c>
      <c r="Y102" s="229">
        <v>6.1999999999999998E-3</v>
      </c>
      <c r="Z102" s="228">
        <v>0.82</v>
      </c>
      <c r="AA102" s="228">
        <v>0.87</v>
      </c>
      <c r="AB102" s="228">
        <v>-0.05</v>
      </c>
      <c r="AC102" s="229">
        <v>5.7999999999999996E-3</v>
      </c>
      <c r="AD102" s="228">
        <v>0.82</v>
      </c>
      <c r="AE102" s="228">
        <v>0.87</v>
      </c>
      <c r="AF102" s="228">
        <v>-0.05</v>
      </c>
      <c r="AG102" s="229">
        <v>5.7999999999999996E-3</v>
      </c>
      <c r="AH102" s="228">
        <v>1.76</v>
      </c>
      <c r="AI102" s="228">
        <v>1.79</v>
      </c>
      <c r="AJ102" s="228">
        <v>-0.03</v>
      </c>
      <c r="AK102" s="229">
        <v>1.24E-2</v>
      </c>
      <c r="AL102" s="228">
        <v>2.84</v>
      </c>
      <c r="AM102" s="228">
        <v>1.96</v>
      </c>
      <c r="AN102" s="228">
        <v>0.88</v>
      </c>
      <c r="AO102" s="229">
        <v>0.02</v>
      </c>
      <c r="AP102" s="228">
        <v>143.69999999999999</v>
      </c>
      <c r="AQ102" s="228">
        <v>144.69999999999999</v>
      </c>
      <c r="AR102" s="228">
        <v>0</v>
      </c>
      <c r="AS102" s="228">
        <v>124</v>
      </c>
      <c r="AT102" s="228">
        <v>298</v>
      </c>
      <c r="AU102" s="228">
        <v>-175</v>
      </c>
      <c r="AV102" s="229">
        <v>-0.58560000000000001</v>
      </c>
      <c r="AW102" s="228">
        <v>114</v>
      </c>
      <c r="AX102" s="228">
        <v>285</v>
      </c>
      <c r="AY102" s="228">
        <v>-171</v>
      </c>
      <c r="AZ102" s="229">
        <v>-0.60050000000000003</v>
      </c>
      <c r="BA102" s="228">
        <v>8</v>
      </c>
      <c r="BB102" s="228">
        <v>12</v>
      </c>
      <c r="BC102" s="228">
        <v>-4</v>
      </c>
      <c r="BD102" s="229">
        <v>-0.33150000000000002</v>
      </c>
      <c r="BE102" s="228">
        <v>2</v>
      </c>
      <c r="BF102" s="228">
        <v>1</v>
      </c>
      <c r="BG102" s="228">
        <v>0</v>
      </c>
      <c r="BH102" s="229">
        <v>0.35289999999999999</v>
      </c>
      <c r="BI102" s="228">
        <v>335</v>
      </c>
      <c r="BJ102" s="228">
        <v>415</v>
      </c>
      <c r="BK102" s="228">
        <v>-80</v>
      </c>
      <c r="BL102" s="229">
        <v>-0.19309999999999999</v>
      </c>
      <c r="BM102" s="228">
        <v>186</v>
      </c>
      <c r="BN102" s="228">
        <v>294</v>
      </c>
      <c r="BO102" s="228">
        <v>-108</v>
      </c>
      <c r="BP102" s="229">
        <v>-0.36759999999999998</v>
      </c>
      <c r="BQ102" s="228">
        <v>645</v>
      </c>
      <c r="BR102" s="230">
        <v>1008</v>
      </c>
      <c r="BS102" s="228">
        <v>-363</v>
      </c>
      <c r="BT102" s="229">
        <v>-0.36020000000000002</v>
      </c>
      <c r="BU102" s="230">
        <v>9807640</v>
      </c>
      <c r="BV102" s="230">
        <v>17916777</v>
      </c>
      <c r="BW102" s="230">
        <v>-8109137</v>
      </c>
      <c r="BX102" s="229">
        <v>-0.4526</v>
      </c>
      <c r="BY102" s="230">
        <v>1615</v>
      </c>
      <c r="BZ102" s="230">
        <v>1595</v>
      </c>
      <c r="CA102" s="228">
        <v>20</v>
      </c>
      <c r="CB102" s="229">
        <v>1.2800000000000001E-2</v>
      </c>
      <c r="CC102" s="230">
        <v>1494</v>
      </c>
      <c r="CD102" s="230">
        <v>1477</v>
      </c>
      <c r="CE102" s="228">
        <v>17</v>
      </c>
      <c r="CF102" s="229">
        <v>1.14E-2</v>
      </c>
      <c r="CG102" s="228">
        <v>119</v>
      </c>
      <c r="CH102" s="228">
        <v>116</v>
      </c>
      <c r="CI102" s="228">
        <v>3</v>
      </c>
      <c r="CJ102" s="229">
        <v>2.2800000000000001E-2</v>
      </c>
      <c r="CK102" s="228">
        <v>2</v>
      </c>
      <c r="CL102" s="228">
        <v>1</v>
      </c>
      <c r="CM102" s="228">
        <v>1</v>
      </c>
      <c r="CN102" s="229">
        <v>0.61899999999999999</v>
      </c>
      <c r="CO102" s="228">
        <v>544</v>
      </c>
      <c r="CP102" s="228">
        <v>496</v>
      </c>
      <c r="CQ102" s="228">
        <v>48</v>
      </c>
      <c r="CR102" s="229">
        <v>9.7699999999999995E-2</v>
      </c>
      <c r="CS102" s="228">
        <v>431</v>
      </c>
      <c r="CT102" s="228">
        <v>400</v>
      </c>
      <c r="CU102" s="228">
        <v>30</v>
      </c>
      <c r="CV102" s="229">
        <v>7.5600000000000001E-2</v>
      </c>
      <c r="CW102" s="230">
        <v>2590</v>
      </c>
      <c r="CX102" s="230">
        <v>2491</v>
      </c>
      <c r="CY102" s="228">
        <v>99</v>
      </c>
      <c r="CZ102" s="229">
        <v>3.9800000000000002E-2</v>
      </c>
      <c r="DA102" s="228">
        <v>35.94</v>
      </c>
      <c r="DB102" s="228">
        <v>37.54</v>
      </c>
      <c r="DC102" s="228">
        <v>-1.6</v>
      </c>
      <c r="DD102" s="228">
        <v>-1.6</v>
      </c>
      <c r="DE102" s="228">
        <v>33.56</v>
      </c>
      <c r="DF102" s="228">
        <v>33.64</v>
      </c>
      <c r="DG102" s="228">
        <v>2.38</v>
      </c>
      <c r="DH102" s="228">
        <v>-0.08</v>
      </c>
      <c r="DI102" s="228">
        <v>36.15</v>
      </c>
      <c r="DJ102" s="228">
        <v>37.340000000000003</v>
      </c>
      <c r="DK102" s="228">
        <v>-1.19</v>
      </c>
      <c r="DL102" s="228">
        <v>-1.19</v>
      </c>
      <c r="DM102" s="228">
        <v>35.549999999999997</v>
      </c>
      <c r="DN102" s="228">
        <v>37.83</v>
      </c>
      <c r="DO102" s="228">
        <v>-2.2799999999999998</v>
      </c>
      <c r="DP102" s="228">
        <v>-2.2799999999999998</v>
      </c>
      <c r="DQ102" s="228">
        <v>0.79</v>
      </c>
      <c r="DR102" s="228">
        <v>0.81</v>
      </c>
      <c r="DS102" s="228">
        <v>-0.02</v>
      </c>
      <c r="DT102" s="229">
        <v>-2.47E-2</v>
      </c>
      <c r="DU102" s="228">
        <v>150</v>
      </c>
      <c r="DV102" s="228">
        <v>140</v>
      </c>
      <c r="DW102" s="228">
        <v>0.56000000000000005</v>
      </c>
      <c r="DX102" s="228">
        <v>0.71</v>
      </c>
      <c r="DY102" s="228">
        <v>-0.15</v>
      </c>
      <c r="DZ102" s="229">
        <v>-0.21129999999999999</v>
      </c>
      <c r="EA102" s="229">
        <v>7.51E-2</v>
      </c>
      <c r="EB102" s="230">
        <v>8229000</v>
      </c>
      <c r="EC102" s="229">
        <v>6.6E-3</v>
      </c>
      <c r="ED102" s="229">
        <v>7.51E-2</v>
      </c>
      <c r="EE102" s="228">
        <v>1</v>
      </c>
      <c r="EF102" s="229">
        <v>7.0000000000000001E-3</v>
      </c>
      <c r="EG102" s="230">
        <v>5049487</v>
      </c>
      <c r="EH102" s="230">
        <v>9276564</v>
      </c>
      <c r="EI102" s="229">
        <v>-0.45569999999999999</v>
      </c>
      <c r="EJ102" s="229">
        <v>0.51490000000000002</v>
      </c>
      <c r="EK102" s="228">
        <v>361.65</v>
      </c>
      <c r="EL102" s="228">
        <v>185.25</v>
      </c>
      <c r="EM102" s="228">
        <v>124.28</v>
      </c>
      <c r="EN102" s="228">
        <v>74.87</v>
      </c>
      <c r="EO102" s="228">
        <v>671.17</v>
      </c>
      <c r="EP102" s="231">
        <v>1035.9100000000001</v>
      </c>
      <c r="EQ102" s="228">
        <v>-364.73</v>
      </c>
      <c r="ER102" s="229">
        <v>-0.35210000000000002</v>
      </c>
      <c r="ES102" s="228">
        <v>584.14</v>
      </c>
      <c r="ET102" s="228">
        <v>434.13</v>
      </c>
      <c r="EU102" s="231">
        <v>1616.12</v>
      </c>
      <c r="EV102" s="231">
        <v>684903861</v>
      </c>
      <c r="EW102" s="231">
        <v>2634.39</v>
      </c>
      <c r="EX102" s="231">
        <v>2534.9699999999998</v>
      </c>
      <c r="EY102" s="228">
        <v>99.42</v>
      </c>
      <c r="EZ102" s="229">
        <v>3.9199999999999999E-2</v>
      </c>
      <c r="FA102" s="229">
        <v>0.26429999999999998</v>
      </c>
      <c r="FB102" s="227" t="s">
        <v>566</v>
      </c>
      <c r="FC102">
        <f t="shared" si="1"/>
        <v>121</v>
      </c>
    </row>
    <row r="103" spans="1:159" ht="17.25" thickBot="1" x14ac:dyDescent="0.3">
      <c r="A103" s="226">
        <v>46146</v>
      </c>
      <c r="B103" s="227" t="s">
        <v>175</v>
      </c>
      <c r="C103" s="227" t="s">
        <v>662</v>
      </c>
      <c r="D103" s="228">
        <v>3450</v>
      </c>
      <c r="E103" s="228">
        <v>22</v>
      </c>
      <c r="F103" s="228">
        <v>135.68</v>
      </c>
      <c r="G103" s="228">
        <v>135.36000000000001</v>
      </c>
      <c r="H103" s="228">
        <v>0.32</v>
      </c>
      <c r="I103" s="229">
        <v>2.3999999999999998E-3</v>
      </c>
      <c r="J103" s="228">
        <v>135.36000000000001</v>
      </c>
      <c r="K103" s="228">
        <v>135.1</v>
      </c>
      <c r="L103" s="228">
        <v>0.26</v>
      </c>
      <c r="M103" s="229">
        <v>1.9E-3</v>
      </c>
      <c r="N103" s="228">
        <v>135.68</v>
      </c>
      <c r="O103" s="228">
        <v>135.36000000000001</v>
      </c>
      <c r="P103" s="228">
        <v>0.32</v>
      </c>
      <c r="Q103" s="229">
        <v>2.3999999999999998E-3</v>
      </c>
      <c r="R103" s="228">
        <v>134.94</v>
      </c>
      <c r="S103" s="228">
        <v>134.52000000000001</v>
      </c>
      <c r="T103" s="228">
        <v>0.42</v>
      </c>
      <c r="U103" s="229">
        <v>3.0999999999999999E-3</v>
      </c>
      <c r="V103" s="228">
        <v>135</v>
      </c>
      <c r="W103" s="228">
        <v>133.94999999999999</v>
      </c>
      <c r="X103" s="228">
        <v>1.05</v>
      </c>
      <c r="Y103" s="229">
        <v>7.7999999999999996E-3</v>
      </c>
      <c r="Z103" s="228">
        <v>0.32</v>
      </c>
      <c r="AA103" s="228">
        <v>0.26</v>
      </c>
      <c r="AB103" s="228">
        <v>0.06</v>
      </c>
      <c r="AC103" s="229">
        <v>2.3999999999999998E-3</v>
      </c>
      <c r="AD103" s="228">
        <v>0.32</v>
      </c>
      <c r="AE103" s="228">
        <v>0.26</v>
      </c>
      <c r="AF103" s="228">
        <v>0.06</v>
      </c>
      <c r="AG103" s="229">
        <v>2.3999999999999998E-3</v>
      </c>
      <c r="AH103" s="228">
        <v>-0.42</v>
      </c>
      <c r="AI103" s="228">
        <v>-0.57999999999999996</v>
      </c>
      <c r="AJ103" s="228">
        <v>0.16</v>
      </c>
      <c r="AK103" s="229">
        <v>-3.0999999999999999E-3</v>
      </c>
      <c r="AL103" s="228">
        <v>-0.36</v>
      </c>
      <c r="AM103" s="228">
        <v>-1.1499999999999999</v>
      </c>
      <c r="AN103" s="228">
        <v>0.79</v>
      </c>
      <c r="AO103" s="229">
        <v>-2.7000000000000001E-3</v>
      </c>
      <c r="AP103" s="228">
        <v>136.1</v>
      </c>
      <c r="AQ103" s="228">
        <v>135.15</v>
      </c>
      <c r="AR103" s="228">
        <v>0</v>
      </c>
      <c r="AS103" s="228">
        <v>80</v>
      </c>
      <c r="AT103" s="228">
        <v>82</v>
      </c>
      <c r="AU103" s="228">
        <v>-2</v>
      </c>
      <c r="AV103" s="229">
        <v>-2.3400000000000001E-2</v>
      </c>
      <c r="AW103" s="228">
        <v>68</v>
      </c>
      <c r="AX103" s="228">
        <v>68</v>
      </c>
      <c r="AY103" s="228">
        <v>0</v>
      </c>
      <c r="AZ103" s="229">
        <v>2.8E-3</v>
      </c>
      <c r="BA103" s="228">
        <v>9</v>
      </c>
      <c r="BB103" s="228">
        <v>11</v>
      </c>
      <c r="BC103" s="228">
        <v>-2</v>
      </c>
      <c r="BD103" s="229">
        <v>-0.1701</v>
      </c>
      <c r="BE103" s="228">
        <v>2</v>
      </c>
      <c r="BF103" s="228">
        <v>3</v>
      </c>
      <c r="BG103" s="228">
        <v>0</v>
      </c>
      <c r="BH103" s="229">
        <v>-7.1400000000000005E-2</v>
      </c>
      <c r="BI103" s="228">
        <v>129</v>
      </c>
      <c r="BJ103" s="228">
        <v>150</v>
      </c>
      <c r="BK103" s="228">
        <v>-21</v>
      </c>
      <c r="BL103" s="229">
        <v>-0.13819999999999999</v>
      </c>
      <c r="BM103" s="228">
        <v>54</v>
      </c>
      <c r="BN103" s="228">
        <v>57</v>
      </c>
      <c r="BO103" s="228">
        <v>-3</v>
      </c>
      <c r="BP103" s="229">
        <v>-5.4300000000000001E-2</v>
      </c>
      <c r="BQ103" s="228">
        <v>263</v>
      </c>
      <c r="BR103" s="228">
        <v>289</v>
      </c>
      <c r="BS103" s="228">
        <v>-26</v>
      </c>
      <c r="BT103" s="229">
        <v>-8.9099999999999999E-2</v>
      </c>
      <c r="BU103" s="230">
        <v>6358072</v>
      </c>
      <c r="BV103" s="230">
        <v>6325444</v>
      </c>
      <c r="BW103" s="230">
        <v>32628</v>
      </c>
      <c r="BX103" s="229">
        <v>5.1999999999999998E-3</v>
      </c>
      <c r="BY103" s="228">
        <v>638</v>
      </c>
      <c r="BZ103" s="228">
        <v>636</v>
      </c>
      <c r="CA103" s="228">
        <v>2</v>
      </c>
      <c r="CB103" s="229">
        <v>3.0000000000000001E-3</v>
      </c>
      <c r="CC103" s="228">
        <v>553</v>
      </c>
      <c r="CD103" s="228">
        <v>553</v>
      </c>
      <c r="CE103" s="228">
        <v>0</v>
      </c>
      <c r="CF103" s="229">
        <v>-8.0000000000000004E-4</v>
      </c>
      <c r="CG103" s="228">
        <v>77</v>
      </c>
      <c r="CH103" s="228">
        <v>77</v>
      </c>
      <c r="CI103" s="228">
        <v>0</v>
      </c>
      <c r="CJ103" s="229">
        <v>1.1999999999999999E-3</v>
      </c>
      <c r="CK103" s="228">
        <v>9</v>
      </c>
      <c r="CL103" s="228">
        <v>6</v>
      </c>
      <c r="CM103" s="228">
        <v>2</v>
      </c>
      <c r="CN103" s="229">
        <v>0.35239999999999999</v>
      </c>
      <c r="CO103" s="228">
        <v>219</v>
      </c>
      <c r="CP103" s="228">
        <v>202</v>
      </c>
      <c r="CQ103" s="228">
        <v>17</v>
      </c>
      <c r="CR103" s="229">
        <v>8.2000000000000003E-2</v>
      </c>
      <c r="CS103" s="228">
        <v>158</v>
      </c>
      <c r="CT103" s="228">
        <v>152</v>
      </c>
      <c r="CU103" s="228">
        <v>5</v>
      </c>
      <c r="CV103" s="229">
        <v>3.44E-2</v>
      </c>
      <c r="CW103" s="230">
        <v>1015</v>
      </c>
      <c r="CX103" s="228">
        <v>991</v>
      </c>
      <c r="CY103" s="228">
        <v>24</v>
      </c>
      <c r="CZ103" s="229">
        <v>2.3900000000000001E-2</v>
      </c>
      <c r="DA103" s="228">
        <v>42.96</v>
      </c>
      <c r="DB103" s="228">
        <v>41.34</v>
      </c>
      <c r="DC103" s="228">
        <v>1.62</v>
      </c>
      <c r="DD103" s="228">
        <v>1.62</v>
      </c>
      <c r="DE103" s="228">
        <v>49.19</v>
      </c>
      <c r="DF103" s="228">
        <v>49.31</v>
      </c>
      <c r="DG103" s="228">
        <v>-6.23</v>
      </c>
      <c r="DH103" s="228">
        <v>-0.12</v>
      </c>
      <c r="DI103" s="228">
        <v>42.56</v>
      </c>
      <c r="DJ103" s="228">
        <v>41.05</v>
      </c>
      <c r="DK103" s="228">
        <v>1.51</v>
      </c>
      <c r="DL103" s="228">
        <v>1.51</v>
      </c>
      <c r="DM103" s="228">
        <v>43.93</v>
      </c>
      <c r="DN103" s="228">
        <v>42.13</v>
      </c>
      <c r="DO103" s="228">
        <v>1.8</v>
      </c>
      <c r="DP103" s="228">
        <v>1.8</v>
      </c>
      <c r="DQ103" s="228">
        <v>0.72</v>
      </c>
      <c r="DR103" s="228">
        <v>0.75</v>
      </c>
      <c r="DS103" s="228">
        <v>-0.03</v>
      </c>
      <c r="DT103" s="229">
        <v>-0.04</v>
      </c>
      <c r="DU103" s="228">
        <v>140</v>
      </c>
      <c r="DV103" s="228">
        <v>130</v>
      </c>
      <c r="DW103" s="228">
        <v>0.42</v>
      </c>
      <c r="DX103" s="228">
        <v>0.38</v>
      </c>
      <c r="DY103" s="228">
        <v>0.04</v>
      </c>
      <c r="DZ103" s="229">
        <v>0.1053</v>
      </c>
      <c r="EA103" s="229">
        <v>0.13389999999999999</v>
      </c>
      <c r="EB103" s="230">
        <v>6126225</v>
      </c>
      <c r="EC103" s="229">
        <v>-5.4999999999999997E-3</v>
      </c>
      <c r="ED103" s="229">
        <v>0.13389999999999999</v>
      </c>
      <c r="EE103" s="228">
        <v>-0.95</v>
      </c>
      <c r="EF103" s="229">
        <v>-7.0000000000000001E-3</v>
      </c>
      <c r="EG103" s="230">
        <v>2017559</v>
      </c>
      <c r="EH103" s="230">
        <v>1895882</v>
      </c>
      <c r="EI103" s="229">
        <v>6.4199999999999993E-2</v>
      </c>
      <c r="EJ103" s="229">
        <v>0.31730000000000003</v>
      </c>
      <c r="EK103" s="228">
        <v>139.63999999999999</v>
      </c>
      <c r="EL103" s="228">
        <v>53.43</v>
      </c>
      <c r="EM103" s="228">
        <v>80.959999999999994</v>
      </c>
      <c r="EN103" s="228">
        <v>59.11</v>
      </c>
      <c r="EO103" s="228">
        <v>274.04000000000002</v>
      </c>
      <c r="EP103" s="228">
        <v>301.06</v>
      </c>
      <c r="EQ103" s="228">
        <v>-27.02</v>
      </c>
      <c r="ER103" s="229">
        <v>-8.9800000000000005E-2</v>
      </c>
      <c r="ES103" s="228">
        <v>231.19</v>
      </c>
      <c r="ET103" s="228">
        <v>153.41999999999999</v>
      </c>
      <c r="EU103" s="228">
        <v>637.79999999999995</v>
      </c>
      <c r="EV103" s="231">
        <v>119011160</v>
      </c>
      <c r="EW103" s="231">
        <v>1022.4</v>
      </c>
      <c r="EX103" s="228">
        <v>996.32</v>
      </c>
      <c r="EY103" s="228">
        <v>26.08</v>
      </c>
      <c r="EZ103" s="229">
        <v>2.6200000000000001E-2</v>
      </c>
      <c r="FA103" s="229">
        <v>0.62829999999999997</v>
      </c>
      <c r="FB103" s="227" t="s">
        <v>555</v>
      </c>
      <c r="FC103">
        <f t="shared" si="1"/>
        <v>85</v>
      </c>
    </row>
    <row r="104" spans="1:159" ht="17.25" thickBot="1" x14ac:dyDescent="0.3">
      <c r="A104" s="226">
        <v>46146</v>
      </c>
      <c r="B104" s="227" t="s">
        <v>215</v>
      </c>
      <c r="C104" s="227" t="s">
        <v>591</v>
      </c>
      <c r="D104" s="228">
        <v>4250</v>
      </c>
      <c r="E104" s="228">
        <v>22</v>
      </c>
      <c r="F104" s="228">
        <v>104.95</v>
      </c>
      <c r="G104" s="228">
        <v>104.12</v>
      </c>
      <c r="H104" s="228">
        <v>0.83</v>
      </c>
      <c r="I104" s="229">
        <v>8.0000000000000002E-3</v>
      </c>
      <c r="J104" s="228">
        <v>104.41</v>
      </c>
      <c r="K104" s="228">
        <v>104.21</v>
      </c>
      <c r="L104" s="228">
        <v>0.2</v>
      </c>
      <c r="M104" s="229">
        <v>1.9E-3</v>
      </c>
      <c r="N104" s="228">
        <v>104.95</v>
      </c>
      <c r="O104" s="228">
        <v>104.12</v>
      </c>
      <c r="P104" s="228">
        <v>0.83</v>
      </c>
      <c r="Q104" s="229">
        <v>8.0000000000000002E-3</v>
      </c>
      <c r="R104" s="228">
        <v>104.3</v>
      </c>
      <c r="S104" s="228">
        <v>103.41</v>
      </c>
      <c r="T104" s="228">
        <v>0.89</v>
      </c>
      <c r="U104" s="229">
        <v>8.6E-3</v>
      </c>
      <c r="V104" s="228">
        <v>103.92</v>
      </c>
      <c r="W104" s="228">
        <v>103.27</v>
      </c>
      <c r="X104" s="228">
        <v>0.65</v>
      </c>
      <c r="Y104" s="229">
        <v>6.3E-3</v>
      </c>
      <c r="Z104" s="228">
        <v>0.54</v>
      </c>
      <c r="AA104" s="228">
        <v>-0.09</v>
      </c>
      <c r="AB104" s="228">
        <v>0.63</v>
      </c>
      <c r="AC104" s="229">
        <v>5.1999999999999998E-3</v>
      </c>
      <c r="AD104" s="228">
        <v>0.54</v>
      </c>
      <c r="AE104" s="228">
        <v>-0.09</v>
      </c>
      <c r="AF104" s="228">
        <v>0.63</v>
      </c>
      <c r="AG104" s="229">
        <v>5.1999999999999998E-3</v>
      </c>
      <c r="AH104" s="228">
        <v>-0.11</v>
      </c>
      <c r="AI104" s="228">
        <v>-0.8</v>
      </c>
      <c r="AJ104" s="228">
        <v>0.69</v>
      </c>
      <c r="AK104" s="229">
        <v>-1.1000000000000001E-3</v>
      </c>
      <c r="AL104" s="228">
        <v>-0.49</v>
      </c>
      <c r="AM104" s="228">
        <v>-0.94</v>
      </c>
      <c r="AN104" s="228">
        <v>0.45</v>
      </c>
      <c r="AO104" s="229">
        <v>-4.7000000000000002E-3</v>
      </c>
      <c r="AP104" s="228">
        <v>104.94</v>
      </c>
      <c r="AQ104" s="228">
        <v>104.22</v>
      </c>
      <c r="AR104" s="228">
        <v>0</v>
      </c>
      <c r="AS104" s="228">
        <v>56</v>
      </c>
      <c r="AT104" s="228">
        <v>79</v>
      </c>
      <c r="AU104" s="228">
        <v>-23</v>
      </c>
      <c r="AV104" s="229">
        <v>-0.28549999999999998</v>
      </c>
      <c r="AW104" s="228">
        <v>46</v>
      </c>
      <c r="AX104" s="228">
        <v>62</v>
      </c>
      <c r="AY104" s="228">
        <v>-16</v>
      </c>
      <c r="AZ104" s="229">
        <v>-0.254</v>
      </c>
      <c r="BA104" s="228">
        <v>9</v>
      </c>
      <c r="BB104" s="228">
        <v>16</v>
      </c>
      <c r="BC104" s="228">
        <v>-7</v>
      </c>
      <c r="BD104" s="229">
        <v>-0.43099999999999999</v>
      </c>
      <c r="BE104" s="228">
        <v>1</v>
      </c>
      <c r="BF104" s="228">
        <v>1</v>
      </c>
      <c r="BG104" s="228">
        <v>0</v>
      </c>
      <c r="BH104" s="229">
        <v>-6.4500000000000002E-2</v>
      </c>
      <c r="BI104" s="228">
        <v>137</v>
      </c>
      <c r="BJ104" s="228">
        <v>122</v>
      </c>
      <c r="BK104" s="228">
        <v>15</v>
      </c>
      <c r="BL104" s="229">
        <v>0.12</v>
      </c>
      <c r="BM104" s="228">
        <v>71</v>
      </c>
      <c r="BN104" s="228">
        <v>75</v>
      </c>
      <c r="BO104" s="228">
        <v>-5</v>
      </c>
      <c r="BP104" s="229">
        <v>-6.3899999999999998E-2</v>
      </c>
      <c r="BQ104" s="228">
        <v>264</v>
      </c>
      <c r="BR104" s="228">
        <v>277</v>
      </c>
      <c r="BS104" s="228">
        <v>-13</v>
      </c>
      <c r="BT104" s="229">
        <v>-4.58E-2</v>
      </c>
      <c r="BU104" s="230">
        <v>11667908</v>
      </c>
      <c r="BV104" s="230">
        <v>9639692</v>
      </c>
      <c r="BW104" s="230">
        <v>2028216</v>
      </c>
      <c r="BX104" s="229">
        <v>0.2104</v>
      </c>
      <c r="BY104" s="228">
        <v>558</v>
      </c>
      <c r="BZ104" s="228">
        <v>557</v>
      </c>
      <c r="CA104" s="228">
        <v>1</v>
      </c>
      <c r="CB104" s="229">
        <v>1.5E-3</v>
      </c>
      <c r="CC104" s="228">
        <v>499</v>
      </c>
      <c r="CD104" s="228">
        <v>499</v>
      </c>
      <c r="CE104" s="228">
        <v>0</v>
      </c>
      <c r="CF104" s="229">
        <v>-8.9999999999999998E-4</v>
      </c>
      <c r="CG104" s="228">
        <v>56</v>
      </c>
      <c r="CH104" s="228">
        <v>55</v>
      </c>
      <c r="CI104" s="228">
        <v>0</v>
      </c>
      <c r="CJ104" s="229">
        <v>8.0000000000000004E-4</v>
      </c>
      <c r="CK104" s="228">
        <v>4</v>
      </c>
      <c r="CL104" s="228">
        <v>2</v>
      </c>
      <c r="CM104" s="228">
        <v>1</v>
      </c>
      <c r="CN104" s="229">
        <v>0.53659999999999997</v>
      </c>
      <c r="CO104" s="228">
        <v>271</v>
      </c>
      <c r="CP104" s="228">
        <v>259</v>
      </c>
      <c r="CQ104" s="228">
        <v>12</v>
      </c>
      <c r="CR104" s="229">
        <v>4.5900000000000003E-2</v>
      </c>
      <c r="CS104" s="228">
        <v>218</v>
      </c>
      <c r="CT104" s="228">
        <v>204</v>
      </c>
      <c r="CU104" s="228">
        <v>14</v>
      </c>
      <c r="CV104" s="229">
        <v>6.7599999999999993E-2</v>
      </c>
      <c r="CW104" s="230">
        <v>1047</v>
      </c>
      <c r="CX104" s="230">
        <v>1021</v>
      </c>
      <c r="CY104" s="228">
        <v>27</v>
      </c>
      <c r="CZ104" s="229">
        <v>2.5999999999999999E-2</v>
      </c>
      <c r="DA104" s="228">
        <v>40.630000000000003</v>
      </c>
      <c r="DB104" s="228">
        <v>41.03</v>
      </c>
      <c r="DC104" s="228">
        <v>-0.4</v>
      </c>
      <c r="DD104" s="228">
        <v>-0.4</v>
      </c>
      <c r="DE104" s="228">
        <v>44.95</v>
      </c>
      <c r="DF104" s="228">
        <v>45.05</v>
      </c>
      <c r="DG104" s="228">
        <v>-4.32</v>
      </c>
      <c r="DH104" s="228">
        <v>-0.1</v>
      </c>
      <c r="DI104" s="228">
        <v>40.18</v>
      </c>
      <c r="DJ104" s="228">
        <v>40.380000000000003</v>
      </c>
      <c r="DK104" s="228">
        <v>-0.2</v>
      </c>
      <c r="DL104" s="228">
        <v>-0.2</v>
      </c>
      <c r="DM104" s="228">
        <v>41.5</v>
      </c>
      <c r="DN104" s="228">
        <v>42.1</v>
      </c>
      <c r="DO104" s="228">
        <v>-0.6</v>
      </c>
      <c r="DP104" s="228">
        <v>-0.6</v>
      </c>
      <c r="DQ104" s="228">
        <v>0.8</v>
      </c>
      <c r="DR104" s="228">
        <v>0.79</v>
      </c>
      <c r="DS104" s="228">
        <v>0.01</v>
      </c>
      <c r="DT104" s="229">
        <v>1.2699999999999999E-2</v>
      </c>
      <c r="DU104" s="228">
        <v>110</v>
      </c>
      <c r="DV104" s="228">
        <v>90</v>
      </c>
      <c r="DW104" s="228">
        <v>0.51</v>
      </c>
      <c r="DX104" s="228">
        <v>0.62</v>
      </c>
      <c r="DY104" s="228">
        <v>-0.11</v>
      </c>
      <c r="DZ104" s="229">
        <v>-0.1774</v>
      </c>
      <c r="EA104" s="229">
        <v>0.10589999999999999</v>
      </c>
      <c r="EB104" s="230">
        <v>5509425</v>
      </c>
      <c r="EC104" s="229">
        <v>-6.1999999999999998E-3</v>
      </c>
      <c r="ED104" s="229">
        <v>0.10589999999999999</v>
      </c>
      <c r="EE104" s="228">
        <v>-0.72</v>
      </c>
      <c r="EF104" s="229">
        <v>-6.8999999999999999E-3</v>
      </c>
      <c r="EG104" s="230">
        <v>3303441</v>
      </c>
      <c r="EH104" s="230">
        <v>2489446</v>
      </c>
      <c r="EI104" s="229">
        <v>0.32700000000000001</v>
      </c>
      <c r="EJ104" s="229">
        <v>0.28310000000000002</v>
      </c>
      <c r="EK104" s="228">
        <v>146.36000000000001</v>
      </c>
      <c r="EL104" s="228">
        <v>68.709999999999994</v>
      </c>
      <c r="EM104" s="228">
        <v>56.66</v>
      </c>
      <c r="EN104" s="228">
        <v>49.79</v>
      </c>
      <c r="EO104" s="228">
        <v>271.73</v>
      </c>
      <c r="EP104" s="228">
        <v>281.76</v>
      </c>
      <c r="EQ104" s="228">
        <v>-10.039999999999999</v>
      </c>
      <c r="ER104" s="229">
        <v>-3.56E-2</v>
      </c>
      <c r="ES104" s="228">
        <v>285.04000000000002</v>
      </c>
      <c r="ET104" s="228">
        <v>211.51</v>
      </c>
      <c r="EU104" s="228">
        <v>557.63</v>
      </c>
      <c r="EV104" s="231">
        <v>267310350</v>
      </c>
      <c r="EW104" s="231">
        <v>1054.18</v>
      </c>
      <c r="EX104" s="231">
        <v>1023.57</v>
      </c>
      <c r="EY104" s="228">
        <v>30.61</v>
      </c>
      <c r="EZ104" s="229">
        <v>2.9899999999999999E-2</v>
      </c>
      <c r="FA104" s="229">
        <v>0.37340000000000001</v>
      </c>
      <c r="FB104" s="227" t="s">
        <v>555</v>
      </c>
      <c r="FC104">
        <f t="shared" si="1"/>
        <v>59</v>
      </c>
    </row>
    <row r="105" spans="1:159" ht="17.25" thickBot="1" x14ac:dyDescent="0.3">
      <c r="A105" s="226">
        <v>46146</v>
      </c>
      <c r="B105" s="227" t="s">
        <v>168</v>
      </c>
      <c r="C105" s="227" t="s">
        <v>242</v>
      </c>
      <c r="D105" s="228">
        <v>1600</v>
      </c>
      <c r="E105" s="228">
        <v>22</v>
      </c>
      <c r="F105" s="228">
        <v>312.60000000000002</v>
      </c>
      <c r="G105" s="228">
        <v>315.75</v>
      </c>
      <c r="H105" s="228">
        <v>-3.15</v>
      </c>
      <c r="I105" s="229">
        <v>-0.01</v>
      </c>
      <c r="J105" s="228">
        <v>311.10000000000002</v>
      </c>
      <c r="K105" s="228">
        <v>314.89999999999998</v>
      </c>
      <c r="L105" s="228">
        <v>-3.8</v>
      </c>
      <c r="M105" s="229">
        <v>-1.21E-2</v>
      </c>
      <c r="N105" s="228">
        <v>312.60000000000002</v>
      </c>
      <c r="O105" s="228">
        <v>315.75</v>
      </c>
      <c r="P105" s="228">
        <v>-3.15</v>
      </c>
      <c r="Q105" s="229">
        <v>-0.01</v>
      </c>
      <c r="R105" s="228">
        <v>314.5</v>
      </c>
      <c r="S105" s="228">
        <v>317.95</v>
      </c>
      <c r="T105" s="228">
        <v>-3.45</v>
      </c>
      <c r="U105" s="229">
        <v>-1.09E-2</v>
      </c>
      <c r="V105" s="228">
        <v>315.95</v>
      </c>
      <c r="W105" s="228">
        <v>319.39999999999998</v>
      </c>
      <c r="X105" s="228">
        <v>-3.45</v>
      </c>
      <c r="Y105" s="229">
        <v>-1.0800000000000001E-2</v>
      </c>
      <c r="Z105" s="228">
        <v>1.5</v>
      </c>
      <c r="AA105" s="228">
        <v>0.85</v>
      </c>
      <c r="AB105" s="228">
        <v>0.65</v>
      </c>
      <c r="AC105" s="229">
        <v>4.7999999999999996E-3</v>
      </c>
      <c r="AD105" s="228">
        <v>1.5</v>
      </c>
      <c r="AE105" s="228">
        <v>0.85</v>
      </c>
      <c r="AF105" s="228">
        <v>0.65</v>
      </c>
      <c r="AG105" s="229">
        <v>4.7999999999999996E-3</v>
      </c>
      <c r="AH105" s="228">
        <v>3.4</v>
      </c>
      <c r="AI105" s="228">
        <v>3.05</v>
      </c>
      <c r="AJ105" s="228">
        <v>0.35</v>
      </c>
      <c r="AK105" s="229">
        <v>1.09E-2</v>
      </c>
      <c r="AL105" s="228">
        <v>4.8499999999999996</v>
      </c>
      <c r="AM105" s="228">
        <v>4.5</v>
      </c>
      <c r="AN105" s="228">
        <v>0.35</v>
      </c>
      <c r="AO105" s="229">
        <v>1.5599999999999999E-2</v>
      </c>
      <c r="AP105" s="228">
        <v>314.88</v>
      </c>
      <c r="AQ105" s="228">
        <v>316.88</v>
      </c>
      <c r="AR105" s="228">
        <v>0</v>
      </c>
      <c r="AS105" s="228">
        <v>626</v>
      </c>
      <c r="AT105" s="228">
        <v>608</v>
      </c>
      <c r="AU105" s="228">
        <v>18</v>
      </c>
      <c r="AV105" s="229">
        <v>3.0300000000000001E-2</v>
      </c>
      <c r="AW105" s="228">
        <v>548</v>
      </c>
      <c r="AX105" s="228">
        <v>567</v>
      </c>
      <c r="AY105" s="228">
        <v>-20</v>
      </c>
      <c r="AZ105" s="229">
        <v>-3.4500000000000003E-2</v>
      </c>
      <c r="BA105" s="228">
        <v>71</v>
      </c>
      <c r="BB105" s="228">
        <v>31</v>
      </c>
      <c r="BC105" s="228">
        <v>39</v>
      </c>
      <c r="BD105" s="229">
        <v>1.2516</v>
      </c>
      <c r="BE105" s="228">
        <v>8</v>
      </c>
      <c r="BF105" s="228">
        <v>9</v>
      </c>
      <c r="BG105" s="228">
        <v>-1</v>
      </c>
      <c r="BH105" s="229">
        <v>-0.1517</v>
      </c>
      <c r="BI105" s="230">
        <v>4577</v>
      </c>
      <c r="BJ105" s="230">
        <v>3611</v>
      </c>
      <c r="BK105" s="228">
        <v>966</v>
      </c>
      <c r="BL105" s="229">
        <v>0.26750000000000002</v>
      </c>
      <c r="BM105" s="230">
        <v>1258</v>
      </c>
      <c r="BN105" s="230">
        <v>1277</v>
      </c>
      <c r="BO105" s="228">
        <v>-19</v>
      </c>
      <c r="BP105" s="229">
        <v>-1.4800000000000001E-2</v>
      </c>
      <c r="BQ105" s="230">
        <v>6461</v>
      </c>
      <c r="BR105" s="230">
        <v>5495</v>
      </c>
      <c r="BS105" s="228">
        <v>965</v>
      </c>
      <c r="BT105" s="229">
        <v>0.17560000000000001</v>
      </c>
      <c r="BU105" s="230">
        <v>21543954</v>
      </c>
      <c r="BV105" s="230">
        <v>12275887</v>
      </c>
      <c r="BW105" s="230">
        <v>9268067</v>
      </c>
      <c r="BX105" s="229">
        <v>0.755</v>
      </c>
      <c r="BY105" s="230">
        <v>5485</v>
      </c>
      <c r="BZ105" s="230">
        <v>5429</v>
      </c>
      <c r="CA105" s="228">
        <v>56</v>
      </c>
      <c r="CB105" s="229">
        <v>1.0200000000000001E-2</v>
      </c>
      <c r="CC105" s="230">
        <v>4830</v>
      </c>
      <c r="CD105" s="230">
        <v>4815</v>
      </c>
      <c r="CE105" s="228">
        <v>14</v>
      </c>
      <c r="CF105" s="229">
        <v>3.0000000000000001E-3</v>
      </c>
      <c r="CG105" s="228">
        <v>638</v>
      </c>
      <c r="CH105" s="228">
        <v>601</v>
      </c>
      <c r="CI105" s="228">
        <v>36</v>
      </c>
      <c r="CJ105" s="229">
        <v>6.0499999999999998E-2</v>
      </c>
      <c r="CK105" s="228">
        <v>17</v>
      </c>
      <c r="CL105" s="228">
        <v>13</v>
      </c>
      <c r="CM105" s="228">
        <v>5</v>
      </c>
      <c r="CN105" s="229">
        <v>0.37340000000000001</v>
      </c>
      <c r="CO105" s="230">
        <v>2738</v>
      </c>
      <c r="CP105" s="230">
        <v>2154</v>
      </c>
      <c r="CQ105" s="228">
        <v>584</v>
      </c>
      <c r="CR105" s="229">
        <v>0.2712</v>
      </c>
      <c r="CS105" s="230">
        <v>1169</v>
      </c>
      <c r="CT105" s="230">
        <v>1212</v>
      </c>
      <c r="CU105" s="228">
        <v>-44</v>
      </c>
      <c r="CV105" s="229">
        <v>-3.5999999999999997E-2</v>
      </c>
      <c r="CW105" s="230">
        <v>9391</v>
      </c>
      <c r="CX105" s="230">
        <v>8795</v>
      </c>
      <c r="CY105" s="228">
        <v>596</v>
      </c>
      <c r="CZ105" s="229">
        <v>6.7799999999999999E-2</v>
      </c>
      <c r="DA105" s="228">
        <v>22.31</v>
      </c>
      <c r="DB105" s="228">
        <v>22.21</v>
      </c>
      <c r="DC105" s="228">
        <v>0.1</v>
      </c>
      <c r="DD105" s="228">
        <v>0.1</v>
      </c>
      <c r="DE105" s="228">
        <v>24.7</v>
      </c>
      <c r="DF105" s="228">
        <v>24.7</v>
      </c>
      <c r="DG105" s="228">
        <v>-2.39</v>
      </c>
      <c r="DH105" s="228">
        <v>0</v>
      </c>
      <c r="DI105" s="228">
        <v>22.34</v>
      </c>
      <c r="DJ105" s="228">
        <v>22.25</v>
      </c>
      <c r="DK105" s="228">
        <v>0.09</v>
      </c>
      <c r="DL105" s="228">
        <v>0.09</v>
      </c>
      <c r="DM105" s="228">
        <v>22.21</v>
      </c>
      <c r="DN105" s="228">
        <v>22.1</v>
      </c>
      <c r="DO105" s="228">
        <v>0.11</v>
      </c>
      <c r="DP105" s="228">
        <v>0.11</v>
      </c>
      <c r="DQ105" s="228">
        <v>0.43</v>
      </c>
      <c r="DR105" s="228">
        <v>0.56000000000000005</v>
      </c>
      <c r="DS105" s="228">
        <v>-0.13</v>
      </c>
      <c r="DT105" s="229">
        <v>-0.2321</v>
      </c>
      <c r="DU105" s="228">
        <v>320</v>
      </c>
      <c r="DV105" s="228">
        <v>290</v>
      </c>
      <c r="DW105" s="228">
        <v>0.27</v>
      </c>
      <c r="DX105" s="228">
        <v>0.35</v>
      </c>
      <c r="DY105" s="228">
        <v>-0.08</v>
      </c>
      <c r="DZ105" s="229">
        <v>-0.2286</v>
      </c>
      <c r="EA105" s="229">
        <v>0.11940000000000001</v>
      </c>
      <c r="EB105" s="230">
        <v>19640325</v>
      </c>
      <c r="EC105" s="229">
        <v>6.1000000000000004E-3</v>
      </c>
      <c r="ED105" s="229">
        <v>0.11940000000000001</v>
      </c>
      <c r="EE105" s="228">
        <v>2</v>
      </c>
      <c r="EF105" s="229">
        <v>6.4000000000000003E-3</v>
      </c>
      <c r="EG105" s="230">
        <v>12474144</v>
      </c>
      <c r="EH105" s="230">
        <v>5578160</v>
      </c>
      <c r="EI105" s="229">
        <v>1.2362</v>
      </c>
      <c r="EJ105" s="229">
        <v>0.57899999999999996</v>
      </c>
      <c r="EK105" s="231">
        <v>4864.34</v>
      </c>
      <c r="EL105" s="231">
        <v>1259.53</v>
      </c>
      <c r="EM105" s="228">
        <v>631.71</v>
      </c>
      <c r="EN105" s="228">
        <v>394.5</v>
      </c>
      <c r="EO105" s="231">
        <v>6755.57</v>
      </c>
      <c r="EP105" s="231">
        <v>5758.15</v>
      </c>
      <c r="EQ105" s="228">
        <v>997.42</v>
      </c>
      <c r="ER105" s="229">
        <v>0.17319999999999999</v>
      </c>
      <c r="ES105" s="231">
        <v>2857.2</v>
      </c>
      <c r="ET105" s="231">
        <v>1153.4000000000001</v>
      </c>
      <c r="EU105" s="231">
        <v>5488.77</v>
      </c>
      <c r="EV105" s="231">
        <v>1317896781</v>
      </c>
      <c r="EW105" s="231">
        <v>9499.3700000000008</v>
      </c>
      <c r="EX105" s="231">
        <v>8931.5300000000007</v>
      </c>
      <c r="EY105" s="228">
        <v>567.84</v>
      </c>
      <c r="EZ105" s="229">
        <v>6.3600000000000004E-2</v>
      </c>
      <c r="FA105" s="229">
        <v>0.22800000000000001</v>
      </c>
      <c r="FB105" s="227" t="s">
        <v>566</v>
      </c>
      <c r="FC105">
        <f t="shared" si="1"/>
        <v>655</v>
      </c>
    </row>
    <row r="106" spans="1:159" ht="17.25" thickBot="1" x14ac:dyDescent="0.3">
      <c r="A106" s="226">
        <v>46146</v>
      </c>
      <c r="B106" s="227" t="s">
        <v>227</v>
      </c>
      <c r="C106" s="227" t="s">
        <v>243</v>
      </c>
      <c r="D106" s="228">
        <v>625</v>
      </c>
      <c r="E106" s="228">
        <v>22</v>
      </c>
      <c r="F106" s="231">
        <v>1269.4000000000001</v>
      </c>
      <c r="G106" s="231">
        <v>1232.5999999999999</v>
      </c>
      <c r="H106" s="228">
        <v>36.799999999999997</v>
      </c>
      <c r="I106" s="229">
        <v>2.9899999999999999E-2</v>
      </c>
      <c r="J106" s="231">
        <v>1261.4000000000001</v>
      </c>
      <c r="K106" s="231">
        <v>1223.0999999999999</v>
      </c>
      <c r="L106" s="228">
        <v>38.299999999999997</v>
      </c>
      <c r="M106" s="229">
        <v>3.1300000000000001E-2</v>
      </c>
      <c r="N106" s="231">
        <v>1269.4000000000001</v>
      </c>
      <c r="O106" s="231">
        <v>1232.5999999999999</v>
      </c>
      <c r="P106" s="228">
        <v>36.799999999999997</v>
      </c>
      <c r="Q106" s="229">
        <v>2.9899999999999999E-2</v>
      </c>
      <c r="R106" s="231">
        <v>1277.3</v>
      </c>
      <c r="S106" s="231">
        <v>1238.8</v>
      </c>
      <c r="T106" s="228">
        <v>38.5</v>
      </c>
      <c r="U106" s="229">
        <v>3.1099999999999999E-2</v>
      </c>
      <c r="V106" s="231">
        <v>1272.2</v>
      </c>
      <c r="W106" s="231">
        <v>1236</v>
      </c>
      <c r="X106" s="228">
        <v>36.200000000000003</v>
      </c>
      <c r="Y106" s="229">
        <v>2.93E-2</v>
      </c>
      <c r="Z106" s="228">
        <v>8</v>
      </c>
      <c r="AA106" s="228">
        <v>9.5</v>
      </c>
      <c r="AB106" s="228">
        <v>-1.5</v>
      </c>
      <c r="AC106" s="229">
        <v>6.3E-3</v>
      </c>
      <c r="AD106" s="228">
        <v>8</v>
      </c>
      <c r="AE106" s="228">
        <v>9.5</v>
      </c>
      <c r="AF106" s="228">
        <v>-1.5</v>
      </c>
      <c r="AG106" s="229">
        <v>6.3E-3</v>
      </c>
      <c r="AH106" s="228">
        <v>15.9</v>
      </c>
      <c r="AI106" s="228">
        <v>15.7</v>
      </c>
      <c r="AJ106" s="228">
        <v>0.2</v>
      </c>
      <c r="AK106" s="229">
        <v>1.26E-2</v>
      </c>
      <c r="AL106" s="228">
        <v>10.8</v>
      </c>
      <c r="AM106" s="228">
        <v>12.9</v>
      </c>
      <c r="AN106" s="228">
        <v>-2.1</v>
      </c>
      <c r="AO106" s="229">
        <v>8.6E-3</v>
      </c>
      <c r="AP106" s="231">
        <v>1268.92</v>
      </c>
      <c r="AQ106" s="231">
        <v>1277.04</v>
      </c>
      <c r="AR106" s="228">
        <v>0</v>
      </c>
      <c r="AS106" s="228">
        <v>621</v>
      </c>
      <c r="AT106" s="228">
        <v>402</v>
      </c>
      <c r="AU106" s="228">
        <v>219</v>
      </c>
      <c r="AV106" s="229">
        <v>0.54520000000000002</v>
      </c>
      <c r="AW106" s="228">
        <v>609</v>
      </c>
      <c r="AX106" s="228">
        <v>394</v>
      </c>
      <c r="AY106" s="228">
        <v>215</v>
      </c>
      <c r="AZ106" s="229">
        <v>0.54420000000000002</v>
      </c>
      <c r="BA106" s="228">
        <v>11</v>
      </c>
      <c r="BB106" s="228">
        <v>7</v>
      </c>
      <c r="BC106" s="228">
        <v>3</v>
      </c>
      <c r="BD106" s="229">
        <v>0.45650000000000002</v>
      </c>
      <c r="BE106" s="228">
        <v>2</v>
      </c>
      <c r="BF106" s="228">
        <v>0</v>
      </c>
      <c r="BG106" s="228">
        <v>1</v>
      </c>
      <c r="BH106" s="229">
        <v>3.75</v>
      </c>
      <c r="BI106" s="230">
        <v>1549</v>
      </c>
      <c r="BJ106" s="228">
        <v>514</v>
      </c>
      <c r="BK106" s="230">
        <v>1035</v>
      </c>
      <c r="BL106" s="229">
        <v>2.0137</v>
      </c>
      <c r="BM106" s="228">
        <v>894</v>
      </c>
      <c r="BN106" s="228">
        <v>410</v>
      </c>
      <c r="BO106" s="228">
        <v>484</v>
      </c>
      <c r="BP106" s="229">
        <v>1.1805000000000001</v>
      </c>
      <c r="BQ106" s="230">
        <v>3064</v>
      </c>
      <c r="BR106" s="230">
        <v>1326</v>
      </c>
      <c r="BS106" s="230">
        <v>1738</v>
      </c>
      <c r="BT106" s="229">
        <v>1.3108</v>
      </c>
      <c r="BU106" s="230">
        <v>4415989</v>
      </c>
      <c r="BV106" s="230">
        <v>914095</v>
      </c>
      <c r="BW106" s="230">
        <v>3501894</v>
      </c>
      <c r="BX106" s="229">
        <v>3.831</v>
      </c>
      <c r="BY106" s="230">
        <v>1632</v>
      </c>
      <c r="BZ106" s="230">
        <v>1648</v>
      </c>
      <c r="CA106" s="228">
        <v>-16</v>
      </c>
      <c r="CB106" s="229">
        <v>-9.9000000000000008E-3</v>
      </c>
      <c r="CC106" s="230">
        <v>1621</v>
      </c>
      <c r="CD106" s="230">
        <v>1638</v>
      </c>
      <c r="CE106" s="228">
        <v>-17</v>
      </c>
      <c r="CF106" s="229">
        <v>-1.03E-2</v>
      </c>
      <c r="CG106" s="228">
        <v>10</v>
      </c>
      <c r="CH106" s="228">
        <v>10</v>
      </c>
      <c r="CI106" s="228">
        <v>0</v>
      </c>
      <c r="CJ106" s="229">
        <v>-8.0000000000000002E-3</v>
      </c>
      <c r="CK106" s="228">
        <v>1</v>
      </c>
      <c r="CL106" s="228">
        <v>0</v>
      </c>
      <c r="CM106" s="228">
        <v>1</v>
      </c>
      <c r="CN106" s="229">
        <v>1.75</v>
      </c>
      <c r="CO106" s="228">
        <v>369</v>
      </c>
      <c r="CP106" s="228">
        <v>296</v>
      </c>
      <c r="CQ106" s="228">
        <v>73</v>
      </c>
      <c r="CR106" s="229">
        <v>0.2452</v>
      </c>
      <c r="CS106" s="228">
        <v>304</v>
      </c>
      <c r="CT106" s="228">
        <v>283</v>
      </c>
      <c r="CU106" s="228">
        <v>21</v>
      </c>
      <c r="CV106" s="229">
        <v>7.3499999999999996E-2</v>
      </c>
      <c r="CW106" s="230">
        <v>2305</v>
      </c>
      <c r="CX106" s="230">
        <v>2227</v>
      </c>
      <c r="CY106" s="228">
        <v>77</v>
      </c>
      <c r="CZ106" s="229">
        <v>3.4599999999999999E-2</v>
      </c>
      <c r="DA106" s="228">
        <v>29.86</v>
      </c>
      <c r="DB106" s="228">
        <v>33.29</v>
      </c>
      <c r="DC106" s="228">
        <v>-3.43</v>
      </c>
      <c r="DD106" s="228">
        <v>-3.43</v>
      </c>
      <c r="DE106" s="228">
        <v>37.83</v>
      </c>
      <c r="DF106" s="228">
        <v>37.69</v>
      </c>
      <c r="DG106" s="228">
        <v>-7.97</v>
      </c>
      <c r="DH106" s="228">
        <v>0.14000000000000001</v>
      </c>
      <c r="DI106" s="228">
        <v>29.41</v>
      </c>
      <c r="DJ106" s="228">
        <v>32.67</v>
      </c>
      <c r="DK106" s="228">
        <v>-3.26</v>
      </c>
      <c r="DL106" s="228">
        <v>-3.26</v>
      </c>
      <c r="DM106" s="228">
        <v>30.64</v>
      </c>
      <c r="DN106" s="228">
        <v>34.06</v>
      </c>
      <c r="DO106" s="228">
        <v>-3.42</v>
      </c>
      <c r="DP106" s="228">
        <v>-3.42</v>
      </c>
      <c r="DQ106" s="228">
        <v>0.82</v>
      </c>
      <c r="DR106" s="228">
        <v>0.95</v>
      </c>
      <c r="DS106" s="228">
        <v>-0.13</v>
      </c>
      <c r="DT106" s="229">
        <v>-0.1368</v>
      </c>
      <c r="DU106" s="231">
        <v>1300</v>
      </c>
      <c r="DV106" s="231">
        <v>1200</v>
      </c>
      <c r="DW106" s="228">
        <v>0.57999999999999996</v>
      </c>
      <c r="DX106" s="228">
        <v>0.8</v>
      </c>
      <c r="DY106" s="228">
        <v>-0.22</v>
      </c>
      <c r="DZ106" s="229">
        <v>-0.27500000000000002</v>
      </c>
      <c r="EA106" s="229">
        <v>6.6E-3</v>
      </c>
      <c r="EB106" s="230">
        <v>80625</v>
      </c>
      <c r="EC106" s="229">
        <v>6.1999999999999998E-3</v>
      </c>
      <c r="ED106" s="229">
        <v>6.6E-3</v>
      </c>
      <c r="EE106" s="228">
        <v>8.1199999999999992</v>
      </c>
      <c r="EF106" s="229">
        <v>6.4000000000000003E-3</v>
      </c>
      <c r="EG106" s="230">
        <v>2353700</v>
      </c>
      <c r="EH106" s="230">
        <v>322016</v>
      </c>
      <c r="EI106" s="229">
        <v>6.3093000000000004</v>
      </c>
      <c r="EJ106" s="229">
        <v>0.53300000000000003</v>
      </c>
      <c r="EK106" s="231">
        <v>1619.63</v>
      </c>
      <c r="EL106" s="228">
        <v>881.9</v>
      </c>
      <c r="EM106" s="228">
        <v>621.14</v>
      </c>
      <c r="EN106" s="228">
        <v>74.94</v>
      </c>
      <c r="EO106" s="231">
        <v>3122.67</v>
      </c>
      <c r="EP106" s="231">
        <v>1310.76</v>
      </c>
      <c r="EQ106" s="231">
        <v>1811.91</v>
      </c>
      <c r="ER106" s="229">
        <v>1.3823000000000001</v>
      </c>
      <c r="ES106" s="228">
        <v>382.51</v>
      </c>
      <c r="ET106" s="228">
        <v>289.97000000000003</v>
      </c>
      <c r="EU106" s="231">
        <v>1631.96</v>
      </c>
      <c r="EV106" s="231">
        <v>45844541</v>
      </c>
      <c r="EW106" s="231">
        <v>2304.44</v>
      </c>
      <c r="EX106" s="231">
        <v>2171.9299999999998</v>
      </c>
      <c r="EY106" s="228">
        <v>132.51</v>
      </c>
      <c r="EZ106" s="229">
        <v>6.0999999999999999E-2</v>
      </c>
      <c r="FA106" s="229">
        <v>0.39600000000000002</v>
      </c>
      <c r="FB106" s="227" t="s">
        <v>691</v>
      </c>
      <c r="FC106">
        <f t="shared" si="1"/>
        <v>11</v>
      </c>
    </row>
    <row r="107" spans="1:159" ht="17.25" thickBot="1" x14ac:dyDescent="0.3">
      <c r="A107" s="226">
        <v>46146</v>
      </c>
      <c r="B107" s="227" t="s">
        <v>175</v>
      </c>
      <c r="C107" s="227" t="s">
        <v>569</v>
      </c>
      <c r="D107" s="228">
        <v>2350</v>
      </c>
      <c r="E107" s="228">
        <v>22</v>
      </c>
      <c r="F107" s="228">
        <v>254.4</v>
      </c>
      <c r="G107" s="228">
        <v>247.12</v>
      </c>
      <c r="H107" s="228">
        <v>7.28</v>
      </c>
      <c r="I107" s="229">
        <v>2.9499999999999998E-2</v>
      </c>
      <c r="J107" s="228">
        <v>252.74</v>
      </c>
      <c r="K107" s="228">
        <v>246.37</v>
      </c>
      <c r="L107" s="228">
        <v>6.37</v>
      </c>
      <c r="M107" s="229">
        <v>2.5899999999999999E-2</v>
      </c>
      <c r="N107" s="228">
        <v>254.4</v>
      </c>
      <c r="O107" s="228">
        <v>247.12</v>
      </c>
      <c r="P107" s="228">
        <v>7.28</v>
      </c>
      <c r="Q107" s="229">
        <v>2.9499999999999998E-2</v>
      </c>
      <c r="R107" s="228">
        <v>256.05</v>
      </c>
      <c r="S107" s="228">
        <v>248.86</v>
      </c>
      <c r="T107" s="228">
        <v>7.19</v>
      </c>
      <c r="U107" s="229">
        <v>2.8899999999999999E-2</v>
      </c>
      <c r="V107" s="228">
        <v>257.39999999999998</v>
      </c>
      <c r="W107" s="228">
        <v>250.28</v>
      </c>
      <c r="X107" s="228">
        <v>7.12</v>
      </c>
      <c r="Y107" s="229">
        <v>2.8400000000000002E-2</v>
      </c>
      <c r="Z107" s="228">
        <v>1.66</v>
      </c>
      <c r="AA107" s="228">
        <v>0.75</v>
      </c>
      <c r="AB107" s="228">
        <v>0.91</v>
      </c>
      <c r="AC107" s="229">
        <v>6.6E-3</v>
      </c>
      <c r="AD107" s="228">
        <v>1.66</v>
      </c>
      <c r="AE107" s="228">
        <v>0.75</v>
      </c>
      <c r="AF107" s="228">
        <v>0.91</v>
      </c>
      <c r="AG107" s="229">
        <v>6.6E-3</v>
      </c>
      <c r="AH107" s="228">
        <v>3.31</v>
      </c>
      <c r="AI107" s="228">
        <v>2.4900000000000002</v>
      </c>
      <c r="AJ107" s="228">
        <v>0.82</v>
      </c>
      <c r="AK107" s="229">
        <v>1.3100000000000001E-2</v>
      </c>
      <c r="AL107" s="228">
        <v>4.66</v>
      </c>
      <c r="AM107" s="228">
        <v>3.91</v>
      </c>
      <c r="AN107" s="228">
        <v>0.75</v>
      </c>
      <c r="AO107" s="229">
        <v>1.84E-2</v>
      </c>
      <c r="AP107" s="228">
        <v>252.6</v>
      </c>
      <c r="AQ107" s="228">
        <v>254.19</v>
      </c>
      <c r="AR107" s="228">
        <v>0</v>
      </c>
      <c r="AS107" s="228">
        <v>639</v>
      </c>
      <c r="AT107" s="228">
        <v>592</v>
      </c>
      <c r="AU107" s="228">
        <v>47</v>
      </c>
      <c r="AV107" s="229">
        <v>7.8899999999999998E-2</v>
      </c>
      <c r="AW107" s="228">
        <v>561</v>
      </c>
      <c r="AX107" s="228">
        <v>538</v>
      </c>
      <c r="AY107" s="228">
        <v>24</v>
      </c>
      <c r="AZ107" s="229">
        <v>4.4299999999999999E-2</v>
      </c>
      <c r="BA107" s="228">
        <v>69</v>
      </c>
      <c r="BB107" s="228">
        <v>48</v>
      </c>
      <c r="BC107" s="228">
        <v>21</v>
      </c>
      <c r="BD107" s="229">
        <v>0.44030000000000002</v>
      </c>
      <c r="BE107" s="228">
        <v>8</v>
      </c>
      <c r="BF107" s="228">
        <v>6</v>
      </c>
      <c r="BG107" s="228">
        <v>2</v>
      </c>
      <c r="BH107" s="229">
        <v>0.27879999999999999</v>
      </c>
      <c r="BI107" s="230">
        <v>1312</v>
      </c>
      <c r="BJ107" s="230">
        <v>1385</v>
      </c>
      <c r="BK107" s="228">
        <v>-73</v>
      </c>
      <c r="BL107" s="229">
        <v>-5.2999999999999999E-2</v>
      </c>
      <c r="BM107" s="228">
        <v>628</v>
      </c>
      <c r="BN107" s="228">
        <v>604</v>
      </c>
      <c r="BO107" s="228">
        <v>24</v>
      </c>
      <c r="BP107" s="229">
        <v>4.02E-2</v>
      </c>
      <c r="BQ107" s="230">
        <v>2579</v>
      </c>
      <c r="BR107" s="230">
        <v>2582</v>
      </c>
      <c r="BS107" s="228">
        <v>-3</v>
      </c>
      <c r="BT107" s="229">
        <v>-1E-3</v>
      </c>
      <c r="BU107" s="230">
        <v>19507567</v>
      </c>
      <c r="BV107" s="230">
        <v>21477995</v>
      </c>
      <c r="BW107" s="230">
        <v>-1970428</v>
      </c>
      <c r="BX107" s="229">
        <v>-9.1700000000000004E-2</v>
      </c>
      <c r="BY107" s="230">
        <v>5075</v>
      </c>
      <c r="BZ107" s="230">
        <v>5104</v>
      </c>
      <c r="CA107" s="228">
        <v>-28</v>
      </c>
      <c r="CB107" s="229">
        <v>-5.5999999999999999E-3</v>
      </c>
      <c r="CC107" s="230">
        <v>4555</v>
      </c>
      <c r="CD107" s="230">
        <v>4616</v>
      </c>
      <c r="CE107" s="228">
        <v>-60</v>
      </c>
      <c r="CF107" s="229">
        <v>-1.2999999999999999E-2</v>
      </c>
      <c r="CG107" s="228">
        <v>508</v>
      </c>
      <c r="CH107" s="228">
        <v>479</v>
      </c>
      <c r="CI107" s="228">
        <v>29</v>
      </c>
      <c r="CJ107" s="229">
        <v>6.1499999999999999E-2</v>
      </c>
      <c r="CK107" s="228">
        <v>12</v>
      </c>
      <c r="CL107" s="228">
        <v>9</v>
      </c>
      <c r="CM107" s="228">
        <v>2</v>
      </c>
      <c r="CN107" s="229">
        <v>0.2452</v>
      </c>
      <c r="CO107" s="230">
        <v>1419</v>
      </c>
      <c r="CP107" s="230">
        <v>1394</v>
      </c>
      <c r="CQ107" s="228">
        <v>25</v>
      </c>
      <c r="CR107" s="229">
        <v>1.8100000000000002E-2</v>
      </c>
      <c r="CS107" s="228">
        <v>962</v>
      </c>
      <c r="CT107" s="228">
        <v>923</v>
      </c>
      <c r="CU107" s="228">
        <v>39</v>
      </c>
      <c r="CV107" s="229">
        <v>4.2200000000000001E-2</v>
      </c>
      <c r="CW107" s="230">
        <v>7457</v>
      </c>
      <c r="CX107" s="230">
        <v>7421</v>
      </c>
      <c r="CY107" s="228">
        <v>36</v>
      </c>
      <c r="CZ107" s="229">
        <v>4.7999999999999996E-3</v>
      </c>
      <c r="DA107" s="228">
        <v>36.159999999999997</v>
      </c>
      <c r="DB107" s="228">
        <v>36.4</v>
      </c>
      <c r="DC107" s="228">
        <v>-0.24</v>
      </c>
      <c r="DD107" s="228">
        <v>-0.24</v>
      </c>
      <c r="DE107" s="228">
        <v>37.83</v>
      </c>
      <c r="DF107" s="228">
        <v>37.72</v>
      </c>
      <c r="DG107" s="228">
        <v>-1.67</v>
      </c>
      <c r="DH107" s="228">
        <v>0.11</v>
      </c>
      <c r="DI107" s="228">
        <v>36.01</v>
      </c>
      <c r="DJ107" s="228">
        <v>36.72</v>
      </c>
      <c r="DK107" s="228">
        <v>-0.71</v>
      </c>
      <c r="DL107" s="228">
        <v>-0.71</v>
      </c>
      <c r="DM107" s="228">
        <v>36.479999999999997</v>
      </c>
      <c r="DN107" s="228">
        <v>35.67</v>
      </c>
      <c r="DO107" s="228">
        <v>0.81</v>
      </c>
      <c r="DP107" s="228">
        <v>0.81</v>
      </c>
      <c r="DQ107" s="228">
        <v>0.68</v>
      </c>
      <c r="DR107" s="228">
        <v>0.66</v>
      </c>
      <c r="DS107" s="228">
        <v>0.02</v>
      </c>
      <c r="DT107" s="229">
        <v>3.0300000000000001E-2</v>
      </c>
      <c r="DU107" s="228">
        <v>250</v>
      </c>
      <c r="DV107" s="228">
        <v>250</v>
      </c>
      <c r="DW107" s="228">
        <v>0.48</v>
      </c>
      <c r="DX107" s="228">
        <v>0.44</v>
      </c>
      <c r="DY107" s="228">
        <v>0.04</v>
      </c>
      <c r="DZ107" s="229">
        <v>9.0899999999999995E-2</v>
      </c>
      <c r="EA107" s="229">
        <v>0.10249999999999999</v>
      </c>
      <c r="EB107" s="230">
        <v>19192450</v>
      </c>
      <c r="EC107" s="229">
        <v>6.4999999999999997E-3</v>
      </c>
      <c r="ED107" s="229">
        <v>0.10249999999999999</v>
      </c>
      <c r="EE107" s="228">
        <v>1.59</v>
      </c>
      <c r="EF107" s="229">
        <v>6.3E-3</v>
      </c>
      <c r="EG107" s="230">
        <v>8474598</v>
      </c>
      <c r="EH107" s="230">
        <v>8055540</v>
      </c>
      <c r="EI107" s="229">
        <v>5.1999999999999998E-2</v>
      </c>
      <c r="EJ107" s="229">
        <v>0.43440000000000001</v>
      </c>
      <c r="EK107" s="231">
        <v>1381.93</v>
      </c>
      <c r="EL107" s="228">
        <v>607.29</v>
      </c>
      <c r="EM107" s="228">
        <v>634.6</v>
      </c>
      <c r="EN107" s="228">
        <v>245.28</v>
      </c>
      <c r="EO107" s="231">
        <v>2623.83</v>
      </c>
      <c r="EP107" s="231">
        <v>2597.71</v>
      </c>
      <c r="EQ107" s="228">
        <v>26.12</v>
      </c>
      <c r="ER107" s="229">
        <v>1.01E-2</v>
      </c>
      <c r="ES107" s="231">
        <v>1471.07</v>
      </c>
      <c r="ET107" s="228">
        <v>943.2</v>
      </c>
      <c r="EU107" s="231">
        <v>5078.8</v>
      </c>
      <c r="EV107" s="231">
        <v>490240515</v>
      </c>
      <c r="EW107" s="231">
        <v>7493.07</v>
      </c>
      <c r="EX107" s="231">
        <v>7308.13</v>
      </c>
      <c r="EY107" s="228">
        <v>184.94</v>
      </c>
      <c r="EZ107" s="229">
        <v>2.53E-2</v>
      </c>
      <c r="FA107" s="229">
        <v>0.59789999999999999</v>
      </c>
      <c r="FB107" s="227" t="s">
        <v>691</v>
      </c>
      <c r="FC107">
        <f t="shared" si="1"/>
        <v>520</v>
      </c>
    </row>
    <row r="108" spans="1:159" ht="17.25" thickBot="1" x14ac:dyDescent="0.3">
      <c r="A108" s="226">
        <v>46146</v>
      </c>
      <c r="B108" s="227" t="s">
        <v>161</v>
      </c>
      <c r="C108" s="227" t="s">
        <v>579</v>
      </c>
      <c r="D108" s="228">
        <v>1000</v>
      </c>
      <c r="E108" s="228">
        <v>22</v>
      </c>
      <c r="F108" s="228">
        <v>564.45000000000005</v>
      </c>
      <c r="G108" s="228">
        <v>563.9</v>
      </c>
      <c r="H108" s="228">
        <v>0.55000000000000004</v>
      </c>
      <c r="I108" s="229">
        <v>1E-3</v>
      </c>
      <c r="J108" s="228">
        <v>562.29999999999995</v>
      </c>
      <c r="K108" s="228">
        <v>561.15</v>
      </c>
      <c r="L108" s="228">
        <v>1.1499999999999999</v>
      </c>
      <c r="M108" s="229">
        <v>2E-3</v>
      </c>
      <c r="N108" s="228">
        <v>564.45000000000005</v>
      </c>
      <c r="O108" s="228">
        <v>563.9</v>
      </c>
      <c r="P108" s="228">
        <v>0.55000000000000004</v>
      </c>
      <c r="Q108" s="229">
        <v>1E-3</v>
      </c>
      <c r="R108" s="228">
        <v>566.95000000000005</v>
      </c>
      <c r="S108" s="228">
        <v>565.70000000000005</v>
      </c>
      <c r="T108" s="228">
        <v>1.25</v>
      </c>
      <c r="U108" s="229">
        <v>2.2000000000000001E-3</v>
      </c>
      <c r="V108" s="228">
        <v>567.9</v>
      </c>
      <c r="W108" s="228">
        <v>568.75</v>
      </c>
      <c r="X108" s="228">
        <v>-0.85</v>
      </c>
      <c r="Y108" s="229">
        <v>-1.5E-3</v>
      </c>
      <c r="Z108" s="228">
        <v>2.15</v>
      </c>
      <c r="AA108" s="228">
        <v>2.75</v>
      </c>
      <c r="AB108" s="228">
        <v>-0.6</v>
      </c>
      <c r="AC108" s="229">
        <v>3.8E-3</v>
      </c>
      <c r="AD108" s="228">
        <v>2.15</v>
      </c>
      <c r="AE108" s="228">
        <v>2.75</v>
      </c>
      <c r="AF108" s="228">
        <v>-0.6</v>
      </c>
      <c r="AG108" s="229">
        <v>3.8E-3</v>
      </c>
      <c r="AH108" s="228">
        <v>4.6500000000000004</v>
      </c>
      <c r="AI108" s="228">
        <v>4.55</v>
      </c>
      <c r="AJ108" s="228">
        <v>0.1</v>
      </c>
      <c r="AK108" s="229">
        <v>8.3000000000000001E-3</v>
      </c>
      <c r="AL108" s="228">
        <v>5.6</v>
      </c>
      <c r="AM108" s="228">
        <v>7.6</v>
      </c>
      <c r="AN108" s="228">
        <v>-2</v>
      </c>
      <c r="AO108" s="229">
        <v>0.01</v>
      </c>
      <c r="AP108" s="228">
        <v>561.23</v>
      </c>
      <c r="AQ108" s="228">
        <v>563.79</v>
      </c>
      <c r="AR108" s="228">
        <v>0</v>
      </c>
      <c r="AS108" s="228">
        <v>180</v>
      </c>
      <c r="AT108" s="228">
        <v>170</v>
      </c>
      <c r="AU108" s="228">
        <v>10</v>
      </c>
      <c r="AV108" s="229">
        <v>5.7000000000000002E-2</v>
      </c>
      <c r="AW108" s="228">
        <v>177</v>
      </c>
      <c r="AX108" s="228">
        <v>166</v>
      </c>
      <c r="AY108" s="228">
        <v>12</v>
      </c>
      <c r="AZ108" s="229">
        <v>7.1900000000000006E-2</v>
      </c>
      <c r="BA108" s="228">
        <v>2</v>
      </c>
      <c r="BB108" s="228">
        <v>5</v>
      </c>
      <c r="BC108" s="228">
        <v>-2</v>
      </c>
      <c r="BD108" s="229">
        <v>-0.49399999999999999</v>
      </c>
      <c r="BE108" s="228">
        <v>0</v>
      </c>
      <c r="BF108" s="228">
        <v>0</v>
      </c>
      <c r="BG108" s="228">
        <v>0</v>
      </c>
      <c r="BH108" s="229">
        <v>0</v>
      </c>
      <c r="BI108" s="228">
        <v>288</v>
      </c>
      <c r="BJ108" s="228">
        <v>272</v>
      </c>
      <c r="BK108" s="228">
        <v>17</v>
      </c>
      <c r="BL108" s="229">
        <v>6.08E-2</v>
      </c>
      <c r="BM108" s="228">
        <v>93</v>
      </c>
      <c r="BN108" s="228">
        <v>172</v>
      </c>
      <c r="BO108" s="228">
        <v>-79</v>
      </c>
      <c r="BP108" s="229">
        <v>-0.45879999999999999</v>
      </c>
      <c r="BQ108" s="228">
        <v>562</v>
      </c>
      <c r="BR108" s="228">
        <v>615</v>
      </c>
      <c r="BS108" s="228">
        <v>-53</v>
      </c>
      <c r="BT108" s="229">
        <v>-8.6099999999999996E-2</v>
      </c>
      <c r="BU108" s="230">
        <v>3698902</v>
      </c>
      <c r="BV108" s="230">
        <v>1974241</v>
      </c>
      <c r="BW108" s="230">
        <v>1724661</v>
      </c>
      <c r="BX108" s="229">
        <v>0.87360000000000004</v>
      </c>
      <c r="BY108" s="230">
        <v>1379</v>
      </c>
      <c r="BZ108" s="230">
        <v>1386</v>
      </c>
      <c r="CA108" s="228">
        <v>-8</v>
      </c>
      <c r="CB108" s="229">
        <v>-5.5999999999999999E-3</v>
      </c>
      <c r="CC108" s="230">
        <v>1358</v>
      </c>
      <c r="CD108" s="230">
        <v>1366</v>
      </c>
      <c r="CE108" s="228">
        <v>-8</v>
      </c>
      <c r="CF108" s="229">
        <v>-5.7999999999999996E-3</v>
      </c>
      <c r="CG108" s="228">
        <v>21</v>
      </c>
      <c r="CH108" s="228">
        <v>21</v>
      </c>
      <c r="CI108" s="228">
        <v>0</v>
      </c>
      <c r="CJ108" s="229">
        <v>8.2000000000000007E-3</v>
      </c>
      <c r="CK108" s="228">
        <v>0</v>
      </c>
      <c r="CL108" s="228">
        <v>0</v>
      </c>
      <c r="CM108" s="228">
        <v>0</v>
      </c>
      <c r="CN108" s="229">
        <v>0.33329999999999999</v>
      </c>
      <c r="CO108" s="228">
        <v>302</v>
      </c>
      <c r="CP108" s="228">
        <v>289</v>
      </c>
      <c r="CQ108" s="228">
        <v>12</v>
      </c>
      <c r="CR108" s="229">
        <v>4.2999999999999997E-2</v>
      </c>
      <c r="CS108" s="228">
        <v>211</v>
      </c>
      <c r="CT108" s="228">
        <v>200</v>
      </c>
      <c r="CU108" s="228">
        <v>11</v>
      </c>
      <c r="CV108" s="229">
        <v>5.6599999999999998E-2</v>
      </c>
      <c r="CW108" s="230">
        <v>1891</v>
      </c>
      <c r="CX108" s="230">
        <v>1875</v>
      </c>
      <c r="CY108" s="228">
        <v>16</v>
      </c>
      <c r="CZ108" s="229">
        <v>8.5000000000000006E-3</v>
      </c>
      <c r="DA108" s="228">
        <v>39.76</v>
      </c>
      <c r="DB108" s="228">
        <v>39.24</v>
      </c>
      <c r="DC108" s="228">
        <v>0.52</v>
      </c>
      <c r="DD108" s="228">
        <v>0.52</v>
      </c>
      <c r="DE108" s="228">
        <v>42.98</v>
      </c>
      <c r="DF108" s="228">
        <v>43.09</v>
      </c>
      <c r="DG108" s="228">
        <v>-3.22</v>
      </c>
      <c r="DH108" s="228">
        <v>-0.11</v>
      </c>
      <c r="DI108" s="228">
        <v>39.700000000000003</v>
      </c>
      <c r="DJ108" s="228">
        <v>39.67</v>
      </c>
      <c r="DK108" s="228">
        <v>0.03</v>
      </c>
      <c r="DL108" s="228">
        <v>0.03</v>
      </c>
      <c r="DM108" s="228">
        <v>39.94</v>
      </c>
      <c r="DN108" s="228">
        <v>38.549999999999997</v>
      </c>
      <c r="DO108" s="228">
        <v>1.39</v>
      </c>
      <c r="DP108" s="228">
        <v>1.39</v>
      </c>
      <c r="DQ108" s="228">
        <v>0.7</v>
      </c>
      <c r="DR108" s="228">
        <v>0.69</v>
      </c>
      <c r="DS108" s="228">
        <v>0.01</v>
      </c>
      <c r="DT108" s="229">
        <v>1.4500000000000001E-2</v>
      </c>
      <c r="DU108" s="228">
        <v>600</v>
      </c>
      <c r="DV108" s="228">
        <v>550</v>
      </c>
      <c r="DW108" s="228">
        <v>0.32</v>
      </c>
      <c r="DX108" s="228">
        <v>0.63</v>
      </c>
      <c r="DY108" s="228">
        <v>-0.31</v>
      </c>
      <c r="DZ108" s="229">
        <v>-0.49209999999999998</v>
      </c>
      <c r="EA108" s="229">
        <v>1.52E-2</v>
      </c>
      <c r="EB108" s="230">
        <v>367225</v>
      </c>
      <c r="EC108" s="229">
        <v>4.4000000000000003E-3</v>
      </c>
      <c r="ED108" s="229">
        <v>1.52E-2</v>
      </c>
      <c r="EE108" s="228">
        <v>2.56</v>
      </c>
      <c r="EF108" s="229">
        <v>4.5999999999999999E-3</v>
      </c>
      <c r="EG108" s="230">
        <v>1634479</v>
      </c>
      <c r="EH108" s="230">
        <v>638012</v>
      </c>
      <c r="EI108" s="229">
        <v>1.5618000000000001</v>
      </c>
      <c r="EJ108" s="229">
        <v>0.44190000000000002</v>
      </c>
      <c r="EK108" s="228">
        <v>311.14</v>
      </c>
      <c r="EL108" s="228">
        <v>92.42</v>
      </c>
      <c r="EM108" s="228">
        <v>178.94</v>
      </c>
      <c r="EN108" s="228">
        <v>86.32</v>
      </c>
      <c r="EO108" s="228">
        <v>582.5</v>
      </c>
      <c r="EP108" s="228">
        <v>626.21</v>
      </c>
      <c r="EQ108" s="228">
        <v>-43.71</v>
      </c>
      <c r="ER108" s="229">
        <v>-6.9800000000000001E-2</v>
      </c>
      <c r="ES108" s="228">
        <v>311.04000000000002</v>
      </c>
      <c r="ET108" s="228">
        <v>199.11</v>
      </c>
      <c r="EU108" s="231">
        <v>1378.72</v>
      </c>
      <c r="EV108" s="231">
        <v>75294901</v>
      </c>
      <c r="EW108" s="231">
        <v>1888.87</v>
      </c>
      <c r="EX108" s="231">
        <v>1871.73</v>
      </c>
      <c r="EY108" s="228">
        <v>17.14</v>
      </c>
      <c r="EZ108" s="229">
        <v>9.1999999999999998E-3</v>
      </c>
      <c r="FA108" s="229">
        <v>0.44490000000000002</v>
      </c>
      <c r="FB108" s="227" t="s">
        <v>691</v>
      </c>
      <c r="FC108">
        <f t="shared" si="1"/>
        <v>21</v>
      </c>
    </row>
    <row r="109" spans="1:159" ht="17.25" thickBot="1" x14ac:dyDescent="0.3">
      <c r="A109" s="226">
        <v>46146</v>
      </c>
      <c r="B109" s="227" t="s">
        <v>227</v>
      </c>
      <c r="C109" s="227" t="s">
        <v>244</v>
      </c>
      <c r="D109" s="228">
        <v>675</v>
      </c>
      <c r="E109" s="228">
        <v>22</v>
      </c>
      <c r="F109" s="231">
        <v>1273.9000000000001</v>
      </c>
      <c r="G109" s="231">
        <v>1270.3</v>
      </c>
      <c r="H109" s="228">
        <v>3.6</v>
      </c>
      <c r="I109" s="229">
        <v>2.8E-3</v>
      </c>
      <c r="J109" s="231">
        <v>1266.5999999999999</v>
      </c>
      <c r="K109" s="231">
        <v>1264.5</v>
      </c>
      <c r="L109" s="228">
        <v>2.1</v>
      </c>
      <c r="M109" s="229">
        <v>1.6999999999999999E-3</v>
      </c>
      <c r="N109" s="231">
        <v>1273.9000000000001</v>
      </c>
      <c r="O109" s="231">
        <v>1270.3</v>
      </c>
      <c r="P109" s="228">
        <v>3.6</v>
      </c>
      <c r="Q109" s="229">
        <v>2.8E-3</v>
      </c>
      <c r="R109" s="231">
        <v>1281.5</v>
      </c>
      <c r="S109" s="231">
        <v>1279.0999999999999</v>
      </c>
      <c r="T109" s="228">
        <v>2.4</v>
      </c>
      <c r="U109" s="229">
        <v>1.9E-3</v>
      </c>
      <c r="V109" s="231">
        <v>1288.4000000000001</v>
      </c>
      <c r="W109" s="231">
        <v>1282.5</v>
      </c>
      <c r="X109" s="228">
        <v>5.9</v>
      </c>
      <c r="Y109" s="229">
        <v>4.5999999999999999E-3</v>
      </c>
      <c r="Z109" s="228">
        <v>7.3</v>
      </c>
      <c r="AA109" s="228">
        <v>5.8</v>
      </c>
      <c r="AB109" s="228">
        <v>1.5</v>
      </c>
      <c r="AC109" s="229">
        <v>5.7999999999999996E-3</v>
      </c>
      <c r="AD109" s="228">
        <v>7.3</v>
      </c>
      <c r="AE109" s="228">
        <v>5.8</v>
      </c>
      <c r="AF109" s="228">
        <v>1.5</v>
      </c>
      <c r="AG109" s="229">
        <v>5.7999999999999996E-3</v>
      </c>
      <c r="AH109" s="228">
        <v>14.9</v>
      </c>
      <c r="AI109" s="228">
        <v>14.6</v>
      </c>
      <c r="AJ109" s="228">
        <v>0.3</v>
      </c>
      <c r="AK109" s="229">
        <v>1.18E-2</v>
      </c>
      <c r="AL109" s="228">
        <v>21.8</v>
      </c>
      <c r="AM109" s="228">
        <v>18</v>
      </c>
      <c r="AN109" s="228">
        <v>3.8</v>
      </c>
      <c r="AO109" s="229">
        <v>1.72E-2</v>
      </c>
      <c r="AP109" s="231">
        <v>1277.3699999999999</v>
      </c>
      <c r="AQ109" s="231">
        <v>1285.1199999999999</v>
      </c>
      <c r="AR109" s="228">
        <v>0</v>
      </c>
      <c r="AS109" s="228">
        <v>458</v>
      </c>
      <c r="AT109" s="228">
        <v>261</v>
      </c>
      <c r="AU109" s="228">
        <v>196</v>
      </c>
      <c r="AV109" s="229">
        <v>0.75209999999999999</v>
      </c>
      <c r="AW109" s="228">
        <v>439</v>
      </c>
      <c r="AX109" s="228">
        <v>250</v>
      </c>
      <c r="AY109" s="228">
        <v>189</v>
      </c>
      <c r="AZ109" s="229">
        <v>0.75829999999999997</v>
      </c>
      <c r="BA109" s="228">
        <v>18</v>
      </c>
      <c r="BB109" s="228">
        <v>10</v>
      </c>
      <c r="BC109" s="228">
        <v>9</v>
      </c>
      <c r="BD109" s="229">
        <v>0.8609</v>
      </c>
      <c r="BE109" s="228">
        <v>0</v>
      </c>
      <c r="BF109" s="228">
        <v>2</v>
      </c>
      <c r="BG109" s="228">
        <v>-1</v>
      </c>
      <c r="BH109" s="229">
        <v>-0.94440000000000002</v>
      </c>
      <c r="BI109" s="228">
        <v>575</v>
      </c>
      <c r="BJ109" s="228">
        <v>458</v>
      </c>
      <c r="BK109" s="228">
        <v>117</v>
      </c>
      <c r="BL109" s="229">
        <v>0.25490000000000002</v>
      </c>
      <c r="BM109" s="228">
        <v>356</v>
      </c>
      <c r="BN109" s="228">
        <v>371</v>
      </c>
      <c r="BO109" s="228">
        <v>-14</v>
      </c>
      <c r="BP109" s="229">
        <v>-3.8699999999999998E-2</v>
      </c>
      <c r="BQ109" s="230">
        <v>1389</v>
      </c>
      <c r="BR109" s="230">
        <v>1090</v>
      </c>
      <c r="BS109" s="228">
        <v>299</v>
      </c>
      <c r="BT109" s="229">
        <v>0.2742</v>
      </c>
      <c r="BU109" s="230">
        <v>1596002</v>
      </c>
      <c r="BV109" s="230">
        <v>1512691</v>
      </c>
      <c r="BW109" s="230">
        <v>83311</v>
      </c>
      <c r="BX109" s="229">
        <v>5.5100000000000003E-2</v>
      </c>
      <c r="BY109" s="230">
        <v>6305</v>
      </c>
      <c r="BZ109" s="230">
        <v>6283</v>
      </c>
      <c r="CA109" s="228">
        <v>22</v>
      </c>
      <c r="CB109" s="229">
        <v>3.5000000000000001E-3</v>
      </c>
      <c r="CC109" s="230">
        <v>6172</v>
      </c>
      <c r="CD109" s="230">
        <v>6157</v>
      </c>
      <c r="CE109" s="228">
        <v>15</v>
      </c>
      <c r="CF109" s="229">
        <v>2.3999999999999998E-3</v>
      </c>
      <c r="CG109" s="228">
        <v>132</v>
      </c>
      <c r="CH109" s="228">
        <v>125</v>
      </c>
      <c r="CI109" s="228">
        <v>7</v>
      </c>
      <c r="CJ109" s="229">
        <v>5.9299999999999999E-2</v>
      </c>
      <c r="CK109" s="228">
        <v>2</v>
      </c>
      <c r="CL109" s="228">
        <v>1</v>
      </c>
      <c r="CM109" s="228">
        <v>0</v>
      </c>
      <c r="CN109" s="229">
        <v>5.8799999999999998E-2</v>
      </c>
      <c r="CO109" s="228">
        <v>576</v>
      </c>
      <c r="CP109" s="228">
        <v>493</v>
      </c>
      <c r="CQ109" s="228">
        <v>83</v>
      </c>
      <c r="CR109" s="229">
        <v>0.1676</v>
      </c>
      <c r="CS109" s="228">
        <v>441</v>
      </c>
      <c r="CT109" s="228">
        <v>435</v>
      </c>
      <c r="CU109" s="228">
        <v>6</v>
      </c>
      <c r="CV109" s="229">
        <v>1.4200000000000001E-2</v>
      </c>
      <c r="CW109" s="230">
        <v>7322</v>
      </c>
      <c r="CX109" s="230">
        <v>7211</v>
      </c>
      <c r="CY109" s="228">
        <v>111</v>
      </c>
      <c r="CZ109" s="229">
        <v>1.54E-2</v>
      </c>
      <c r="DA109" s="228">
        <v>30.08</v>
      </c>
      <c r="DB109" s="228">
        <v>28.38</v>
      </c>
      <c r="DC109" s="228">
        <v>1.7</v>
      </c>
      <c r="DD109" s="228">
        <v>1.7</v>
      </c>
      <c r="DE109" s="228">
        <v>31.71</v>
      </c>
      <c r="DF109" s="228">
        <v>31.79</v>
      </c>
      <c r="DG109" s="228">
        <v>-1.63</v>
      </c>
      <c r="DH109" s="228">
        <v>-0.08</v>
      </c>
      <c r="DI109" s="228">
        <v>30.07</v>
      </c>
      <c r="DJ109" s="228">
        <v>28.31</v>
      </c>
      <c r="DK109" s="228">
        <v>1.76</v>
      </c>
      <c r="DL109" s="228">
        <v>1.76</v>
      </c>
      <c r="DM109" s="228">
        <v>30.1</v>
      </c>
      <c r="DN109" s="228">
        <v>28.46</v>
      </c>
      <c r="DO109" s="228">
        <v>1.64</v>
      </c>
      <c r="DP109" s="228">
        <v>1.64</v>
      </c>
      <c r="DQ109" s="228">
        <v>0.77</v>
      </c>
      <c r="DR109" s="228">
        <v>0.88</v>
      </c>
      <c r="DS109" s="228">
        <v>-0.11</v>
      </c>
      <c r="DT109" s="229">
        <v>-0.125</v>
      </c>
      <c r="DU109" s="231">
        <v>1300</v>
      </c>
      <c r="DV109" s="231">
        <v>1240</v>
      </c>
      <c r="DW109" s="228">
        <v>0.62</v>
      </c>
      <c r="DX109" s="228">
        <v>0.81</v>
      </c>
      <c r="DY109" s="228">
        <v>-0.19</v>
      </c>
      <c r="DZ109" s="229">
        <v>-0.2346</v>
      </c>
      <c r="EA109" s="229">
        <v>2.12E-2</v>
      </c>
      <c r="EB109" s="230">
        <v>990225</v>
      </c>
      <c r="EC109" s="229">
        <v>6.0000000000000001E-3</v>
      </c>
      <c r="ED109" s="229">
        <v>2.12E-2</v>
      </c>
      <c r="EE109" s="228">
        <v>7.75</v>
      </c>
      <c r="EF109" s="229">
        <v>6.1000000000000004E-3</v>
      </c>
      <c r="EG109" s="230">
        <v>654748</v>
      </c>
      <c r="EH109" s="230">
        <v>688459</v>
      </c>
      <c r="EI109" s="229">
        <v>-4.9000000000000002E-2</v>
      </c>
      <c r="EJ109" s="229">
        <v>0.41020000000000001</v>
      </c>
      <c r="EK109" s="228">
        <v>606.75</v>
      </c>
      <c r="EL109" s="228">
        <v>352.55</v>
      </c>
      <c r="EM109" s="228">
        <v>459.08</v>
      </c>
      <c r="EN109" s="228">
        <v>112.06</v>
      </c>
      <c r="EO109" s="231">
        <v>1418.38</v>
      </c>
      <c r="EP109" s="231">
        <v>1101.4000000000001</v>
      </c>
      <c r="EQ109" s="228">
        <v>316.97000000000003</v>
      </c>
      <c r="ER109" s="229">
        <v>0.2878</v>
      </c>
      <c r="ES109" s="228">
        <v>595.63</v>
      </c>
      <c r="ET109" s="228">
        <v>419.87</v>
      </c>
      <c r="EU109" s="231">
        <v>6305.98</v>
      </c>
      <c r="EV109" s="231">
        <v>133242960</v>
      </c>
      <c r="EW109" s="231">
        <v>7321.48</v>
      </c>
      <c r="EX109" s="231">
        <v>7190.08</v>
      </c>
      <c r="EY109" s="228">
        <v>131.4</v>
      </c>
      <c r="EZ109" s="229">
        <v>1.83E-2</v>
      </c>
      <c r="FA109" s="229">
        <v>0.43140000000000001</v>
      </c>
      <c r="FB109" s="227" t="s">
        <v>555</v>
      </c>
      <c r="FC109">
        <f t="shared" si="1"/>
        <v>133</v>
      </c>
    </row>
    <row r="110" spans="1:159" ht="17.25" thickBot="1" x14ac:dyDescent="0.3">
      <c r="A110" s="226">
        <v>46146</v>
      </c>
      <c r="B110" s="227" t="s">
        <v>168</v>
      </c>
      <c r="C110" s="227" t="s">
        <v>245</v>
      </c>
      <c r="D110" s="228">
        <v>1250</v>
      </c>
      <c r="E110" s="228">
        <v>22</v>
      </c>
      <c r="F110" s="228">
        <v>476.2</v>
      </c>
      <c r="G110" s="228">
        <v>477</v>
      </c>
      <c r="H110" s="228">
        <v>-0.8</v>
      </c>
      <c r="I110" s="229">
        <v>-1.6999999999999999E-3</v>
      </c>
      <c r="J110" s="228">
        <v>476.4</v>
      </c>
      <c r="K110" s="228">
        <v>478.6</v>
      </c>
      <c r="L110" s="228">
        <v>-2.2000000000000002</v>
      </c>
      <c r="M110" s="229">
        <v>-4.5999999999999999E-3</v>
      </c>
      <c r="N110" s="228">
        <v>476.2</v>
      </c>
      <c r="O110" s="228">
        <v>477</v>
      </c>
      <c r="P110" s="228">
        <v>-0.8</v>
      </c>
      <c r="Q110" s="229">
        <v>-1.6999999999999999E-3</v>
      </c>
      <c r="R110" s="228">
        <v>468.7</v>
      </c>
      <c r="S110" s="228">
        <v>468.8</v>
      </c>
      <c r="T110" s="228">
        <v>-0.1</v>
      </c>
      <c r="U110" s="229">
        <v>-2.0000000000000001E-4</v>
      </c>
      <c r="V110" s="228">
        <v>468.1</v>
      </c>
      <c r="W110" s="228">
        <v>463.7</v>
      </c>
      <c r="X110" s="228">
        <v>4.4000000000000004</v>
      </c>
      <c r="Y110" s="229">
        <v>9.4999999999999998E-3</v>
      </c>
      <c r="Z110" s="228">
        <v>-0.2</v>
      </c>
      <c r="AA110" s="228">
        <v>-1.6</v>
      </c>
      <c r="AB110" s="228">
        <v>1.4</v>
      </c>
      <c r="AC110" s="229">
        <v>-4.0000000000000002E-4</v>
      </c>
      <c r="AD110" s="228">
        <v>-0.2</v>
      </c>
      <c r="AE110" s="228">
        <v>-1.6</v>
      </c>
      <c r="AF110" s="228">
        <v>1.4</v>
      </c>
      <c r="AG110" s="229">
        <v>-4.0000000000000002E-4</v>
      </c>
      <c r="AH110" s="228">
        <v>-7.7</v>
      </c>
      <c r="AI110" s="228">
        <v>-9.8000000000000007</v>
      </c>
      <c r="AJ110" s="228">
        <v>2.1</v>
      </c>
      <c r="AK110" s="229">
        <v>-1.6199999999999999E-2</v>
      </c>
      <c r="AL110" s="228">
        <v>-8.3000000000000007</v>
      </c>
      <c r="AM110" s="228">
        <v>-14.9</v>
      </c>
      <c r="AN110" s="228">
        <v>6.6</v>
      </c>
      <c r="AO110" s="229">
        <v>-1.7399999999999999E-2</v>
      </c>
      <c r="AP110" s="228">
        <v>477.57</v>
      </c>
      <c r="AQ110" s="228">
        <v>470.6</v>
      </c>
      <c r="AR110" s="228">
        <v>0</v>
      </c>
      <c r="AS110" s="228">
        <v>120</v>
      </c>
      <c r="AT110" s="228">
        <v>154</v>
      </c>
      <c r="AU110" s="228">
        <v>-34</v>
      </c>
      <c r="AV110" s="229">
        <v>-0.21940000000000001</v>
      </c>
      <c r="AW110" s="228">
        <v>103</v>
      </c>
      <c r="AX110" s="228">
        <v>109</v>
      </c>
      <c r="AY110" s="228">
        <v>-7</v>
      </c>
      <c r="AZ110" s="229">
        <v>-0.06</v>
      </c>
      <c r="BA110" s="228">
        <v>17</v>
      </c>
      <c r="BB110" s="228">
        <v>29</v>
      </c>
      <c r="BC110" s="228">
        <v>-12</v>
      </c>
      <c r="BD110" s="229">
        <v>-0.42920000000000003</v>
      </c>
      <c r="BE110" s="228">
        <v>1</v>
      </c>
      <c r="BF110" s="228">
        <v>16</v>
      </c>
      <c r="BG110" s="228">
        <v>-15</v>
      </c>
      <c r="BH110" s="229">
        <v>-0.91910000000000003</v>
      </c>
      <c r="BI110" s="228">
        <v>162</v>
      </c>
      <c r="BJ110" s="228">
        <v>138</v>
      </c>
      <c r="BK110" s="228">
        <v>24</v>
      </c>
      <c r="BL110" s="229">
        <v>0.17050000000000001</v>
      </c>
      <c r="BM110" s="228">
        <v>101</v>
      </c>
      <c r="BN110" s="228">
        <v>76</v>
      </c>
      <c r="BO110" s="228">
        <v>25</v>
      </c>
      <c r="BP110" s="229">
        <v>0.33410000000000001</v>
      </c>
      <c r="BQ110" s="228">
        <v>383</v>
      </c>
      <c r="BR110" s="228">
        <v>368</v>
      </c>
      <c r="BS110" s="228">
        <v>15</v>
      </c>
      <c r="BT110" s="229">
        <v>4.07E-2</v>
      </c>
      <c r="BU110" s="230">
        <v>746563</v>
      </c>
      <c r="BV110" s="230">
        <v>1155806</v>
      </c>
      <c r="BW110" s="230">
        <v>-409243</v>
      </c>
      <c r="BX110" s="229">
        <v>-0.35410000000000003</v>
      </c>
      <c r="BY110" s="230">
        <v>1887</v>
      </c>
      <c r="BZ110" s="230">
        <v>1862</v>
      </c>
      <c r="CA110" s="228">
        <v>25</v>
      </c>
      <c r="CB110" s="229">
        <v>1.3599999999999999E-2</v>
      </c>
      <c r="CC110" s="230">
        <v>1810</v>
      </c>
      <c r="CD110" s="230">
        <v>1793</v>
      </c>
      <c r="CE110" s="228">
        <v>17</v>
      </c>
      <c r="CF110" s="229">
        <v>9.4000000000000004E-3</v>
      </c>
      <c r="CG110" s="228">
        <v>58</v>
      </c>
      <c r="CH110" s="228">
        <v>50</v>
      </c>
      <c r="CI110" s="228">
        <v>8</v>
      </c>
      <c r="CJ110" s="229">
        <v>0.15670000000000001</v>
      </c>
      <c r="CK110" s="228">
        <v>20</v>
      </c>
      <c r="CL110" s="228">
        <v>19</v>
      </c>
      <c r="CM110" s="228">
        <v>1</v>
      </c>
      <c r="CN110" s="229">
        <v>2.8000000000000001E-2</v>
      </c>
      <c r="CO110" s="228">
        <v>267</v>
      </c>
      <c r="CP110" s="228">
        <v>240</v>
      </c>
      <c r="CQ110" s="228">
        <v>27</v>
      </c>
      <c r="CR110" s="229">
        <v>0.1128</v>
      </c>
      <c r="CS110" s="228">
        <v>197</v>
      </c>
      <c r="CT110" s="228">
        <v>188</v>
      </c>
      <c r="CU110" s="228">
        <v>9</v>
      </c>
      <c r="CV110" s="229">
        <v>4.9799999999999997E-2</v>
      </c>
      <c r="CW110" s="230">
        <v>2351</v>
      </c>
      <c r="CX110" s="230">
        <v>2289</v>
      </c>
      <c r="CY110" s="228">
        <v>62</v>
      </c>
      <c r="CZ110" s="229">
        <v>2.69E-2</v>
      </c>
      <c r="DA110" s="228">
        <v>39.049999999999997</v>
      </c>
      <c r="DB110" s="228">
        <v>39.020000000000003</v>
      </c>
      <c r="DC110" s="228">
        <v>0.03</v>
      </c>
      <c r="DD110" s="228">
        <v>0.03</v>
      </c>
      <c r="DE110" s="228">
        <v>38.020000000000003</v>
      </c>
      <c r="DF110" s="228">
        <v>38.11</v>
      </c>
      <c r="DG110" s="228">
        <v>1.03</v>
      </c>
      <c r="DH110" s="228">
        <v>-0.09</v>
      </c>
      <c r="DI110" s="228">
        <v>38.369999999999997</v>
      </c>
      <c r="DJ110" s="228">
        <v>38.79</v>
      </c>
      <c r="DK110" s="228">
        <v>-0.42</v>
      </c>
      <c r="DL110" s="228">
        <v>-0.42</v>
      </c>
      <c r="DM110" s="228">
        <v>40.130000000000003</v>
      </c>
      <c r="DN110" s="228">
        <v>39.43</v>
      </c>
      <c r="DO110" s="228">
        <v>0.7</v>
      </c>
      <c r="DP110" s="228">
        <v>0.7</v>
      </c>
      <c r="DQ110" s="228">
        <v>0.74</v>
      </c>
      <c r="DR110" s="228">
        <v>0.78</v>
      </c>
      <c r="DS110" s="228">
        <v>-0.04</v>
      </c>
      <c r="DT110" s="229">
        <v>-5.1299999999999998E-2</v>
      </c>
      <c r="DU110" s="228">
        <v>500</v>
      </c>
      <c r="DV110" s="228">
        <v>480</v>
      </c>
      <c r="DW110" s="228">
        <v>0.62</v>
      </c>
      <c r="DX110" s="228">
        <v>0.55000000000000004</v>
      </c>
      <c r="DY110" s="228">
        <v>7.0000000000000007E-2</v>
      </c>
      <c r="DZ110" s="229">
        <v>0.1273</v>
      </c>
      <c r="EA110" s="229">
        <v>4.0899999999999999E-2</v>
      </c>
      <c r="EB110" s="230">
        <v>1446250</v>
      </c>
      <c r="EC110" s="229">
        <v>-1.5699999999999999E-2</v>
      </c>
      <c r="ED110" s="229">
        <v>4.0899999999999999E-2</v>
      </c>
      <c r="EE110" s="228">
        <v>-6.97</v>
      </c>
      <c r="EF110" s="229">
        <v>-1.46E-2</v>
      </c>
      <c r="EG110" s="230">
        <v>250125</v>
      </c>
      <c r="EH110" s="230">
        <v>376114</v>
      </c>
      <c r="EI110" s="229">
        <v>-0.33500000000000002</v>
      </c>
      <c r="EJ110" s="229">
        <v>0.33500000000000002</v>
      </c>
      <c r="EK110" s="228">
        <v>172.89</v>
      </c>
      <c r="EL110" s="228">
        <v>99.7</v>
      </c>
      <c r="EM110" s="228">
        <v>120.55</v>
      </c>
      <c r="EN110" s="228">
        <v>109.49</v>
      </c>
      <c r="EO110" s="228">
        <v>393.15</v>
      </c>
      <c r="EP110" s="228">
        <v>375.59</v>
      </c>
      <c r="EQ110" s="228">
        <v>17.55</v>
      </c>
      <c r="ER110" s="229">
        <v>4.6699999999999998E-2</v>
      </c>
      <c r="ES110" s="228">
        <v>276.41000000000003</v>
      </c>
      <c r="ET110" s="228">
        <v>191.72</v>
      </c>
      <c r="EU110" s="231">
        <v>1885.76</v>
      </c>
      <c r="EV110" s="231">
        <v>58777851</v>
      </c>
      <c r="EW110" s="231">
        <v>2353.89</v>
      </c>
      <c r="EX110" s="231">
        <v>2294.63</v>
      </c>
      <c r="EY110" s="228">
        <v>59.26</v>
      </c>
      <c r="EZ110" s="229">
        <v>2.58E-2</v>
      </c>
      <c r="FA110" s="229">
        <v>0.83989999999999998</v>
      </c>
      <c r="FB110" s="227" t="s">
        <v>566</v>
      </c>
      <c r="FC110">
        <f t="shared" si="1"/>
        <v>77</v>
      </c>
    </row>
    <row r="111" spans="1:159" ht="17.25" thickBot="1" x14ac:dyDescent="0.3">
      <c r="A111" s="226">
        <v>46146</v>
      </c>
      <c r="B111" s="227" t="s">
        <v>168</v>
      </c>
      <c r="C111" s="227" t="s">
        <v>581</v>
      </c>
      <c r="D111" s="228">
        <v>1175</v>
      </c>
      <c r="E111" s="228">
        <v>22</v>
      </c>
      <c r="F111" s="228">
        <v>415.35</v>
      </c>
      <c r="G111" s="228">
        <v>415.15</v>
      </c>
      <c r="H111" s="228">
        <v>0.2</v>
      </c>
      <c r="I111" s="229">
        <v>5.0000000000000001E-4</v>
      </c>
      <c r="J111" s="228">
        <v>413.3</v>
      </c>
      <c r="K111" s="228">
        <v>412.75</v>
      </c>
      <c r="L111" s="228">
        <v>0.55000000000000004</v>
      </c>
      <c r="M111" s="229">
        <v>1.2999999999999999E-3</v>
      </c>
      <c r="N111" s="228">
        <v>415.35</v>
      </c>
      <c r="O111" s="228">
        <v>415.15</v>
      </c>
      <c r="P111" s="228">
        <v>0.2</v>
      </c>
      <c r="Q111" s="229">
        <v>5.0000000000000001E-4</v>
      </c>
      <c r="R111" s="228">
        <v>418.1</v>
      </c>
      <c r="S111" s="228">
        <v>417.4</v>
      </c>
      <c r="T111" s="228">
        <v>0.7</v>
      </c>
      <c r="U111" s="229">
        <v>1.6999999999999999E-3</v>
      </c>
      <c r="V111" s="228">
        <v>419.85</v>
      </c>
      <c r="W111" s="228">
        <v>420</v>
      </c>
      <c r="X111" s="228">
        <v>-0.15</v>
      </c>
      <c r="Y111" s="229">
        <v>-4.0000000000000002E-4</v>
      </c>
      <c r="Z111" s="228">
        <v>2.0499999999999998</v>
      </c>
      <c r="AA111" s="228">
        <v>2.4</v>
      </c>
      <c r="AB111" s="228">
        <v>-0.35</v>
      </c>
      <c r="AC111" s="229">
        <v>5.0000000000000001E-3</v>
      </c>
      <c r="AD111" s="228">
        <v>2.0499999999999998</v>
      </c>
      <c r="AE111" s="228">
        <v>2.4</v>
      </c>
      <c r="AF111" s="228">
        <v>-0.35</v>
      </c>
      <c r="AG111" s="229">
        <v>5.0000000000000001E-3</v>
      </c>
      <c r="AH111" s="228">
        <v>4.8</v>
      </c>
      <c r="AI111" s="228">
        <v>4.6500000000000004</v>
      </c>
      <c r="AJ111" s="228">
        <v>0.15</v>
      </c>
      <c r="AK111" s="229">
        <v>1.1599999999999999E-2</v>
      </c>
      <c r="AL111" s="228">
        <v>6.55</v>
      </c>
      <c r="AM111" s="228">
        <v>7.25</v>
      </c>
      <c r="AN111" s="228">
        <v>-0.7</v>
      </c>
      <c r="AO111" s="229">
        <v>1.5800000000000002E-2</v>
      </c>
      <c r="AP111" s="228">
        <v>416.07</v>
      </c>
      <c r="AQ111" s="228">
        <v>418.4</v>
      </c>
      <c r="AR111" s="228">
        <v>0</v>
      </c>
      <c r="AS111" s="228">
        <v>91</v>
      </c>
      <c r="AT111" s="228">
        <v>106</v>
      </c>
      <c r="AU111" s="228">
        <v>-16</v>
      </c>
      <c r="AV111" s="229">
        <v>-0.1489</v>
      </c>
      <c r="AW111" s="228">
        <v>86</v>
      </c>
      <c r="AX111" s="228">
        <v>102</v>
      </c>
      <c r="AY111" s="228">
        <v>-16</v>
      </c>
      <c r="AZ111" s="229">
        <v>-0.15479999999999999</v>
      </c>
      <c r="BA111" s="228">
        <v>4</v>
      </c>
      <c r="BB111" s="228">
        <v>4</v>
      </c>
      <c r="BC111" s="228">
        <v>0</v>
      </c>
      <c r="BD111" s="229">
        <v>-5.62E-2</v>
      </c>
      <c r="BE111" s="228">
        <v>0</v>
      </c>
      <c r="BF111" s="228">
        <v>0</v>
      </c>
      <c r="BG111" s="228">
        <v>0</v>
      </c>
      <c r="BH111" s="229">
        <v>0</v>
      </c>
      <c r="BI111" s="228">
        <v>215</v>
      </c>
      <c r="BJ111" s="228">
        <v>199</v>
      </c>
      <c r="BK111" s="228">
        <v>16</v>
      </c>
      <c r="BL111" s="229">
        <v>8.1100000000000005E-2</v>
      </c>
      <c r="BM111" s="228">
        <v>108</v>
      </c>
      <c r="BN111" s="228">
        <v>165</v>
      </c>
      <c r="BO111" s="228">
        <v>-58</v>
      </c>
      <c r="BP111" s="229">
        <v>-0.34849999999999998</v>
      </c>
      <c r="BQ111" s="228">
        <v>413</v>
      </c>
      <c r="BR111" s="228">
        <v>471</v>
      </c>
      <c r="BS111" s="228">
        <v>-57</v>
      </c>
      <c r="BT111" s="229">
        <v>-0.1216</v>
      </c>
      <c r="BU111" s="230">
        <v>1770671</v>
      </c>
      <c r="BV111" s="230">
        <v>2445338</v>
      </c>
      <c r="BW111" s="230">
        <v>-674667</v>
      </c>
      <c r="BX111" s="229">
        <v>-0.27589999999999998</v>
      </c>
      <c r="BY111" s="230">
        <v>1092</v>
      </c>
      <c r="BZ111" s="230">
        <v>1076</v>
      </c>
      <c r="CA111" s="228">
        <v>16</v>
      </c>
      <c r="CB111" s="229">
        <v>1.5100000000000001E-2</v>
      </c>
      <c r="CC111" s="230">
        <v>1071</v>
      </c>
      <c r="CD111" s="230">
        <v>1056</v>
      </c>
      <c r="CE111" s="228">
        <v>15</v>
      </c>
      <c r="CF111" s="229">
        <v>1.47E-2</v>
      </c>
      <c r="CG111" s="228">
        <v>20</v>
      </c>
      <c r="CH111" s="228">
        <v>20</v>
      </c>
      <c r="CI111" s="228">
        <v>1</v>
      </c>
      <c r="CJ111" s="229">
        <v>2.9499999999999998E-2</v>
      </c>
      <c r="CK111" s="228">
        <v>0</v>
      </c>
      <c r="CL111" s="228">
        <v>0</v>
      </c>
      <c r="CM111" s="228">
        <v>0</v>
      </c>
      <c r="CN111" s="229">
        <v>0.75</v>
      </c>
      <c r="CO111" s="228">
        <v>227</v>
      </c>
      <c r="CP111" s="228">
        <v>191</v>
      </c>
      <c r="CQ111" s="228">
        <v>36</v>
      </c>
      <c r="CR111" s="229">
        <v>0.1883</v>
      </c>
      <c r="CS111" s="228">
        <v>139</v>
      </c>
      <c r="CT111" s="228">
        <v>127</v>
      </c>
      <c r="CU111" s="228">
        <v>12</v>
      </c>
      <c r="CV111" s="229">
        <v>9.0399999999999994E-2</v>
      </c>
      <c r="CW111" s="230">
        <v>1458</v>
      </c>
      <c r="CX111" s="230">
        <v>1394</v>
      </c>
      <c r="CY111" s="228">
        <v>64</v>
      </c>
      <c r="CZ111" s="229">
        <v>4.5699999999999998E-2</v>
      </c>
      <c r="DA111" s="228">
        <v>43.54</v>
      </c>
      <c r="DB111" s="228">
        <v>42.14</v>
      </c>
      <c r="DC111" s="228">
        <v>1.4</v>
      </c>
      <c r="DD111" s="228">
        <v>1.4</v>
      </c>
      <c r="DE111" s="228">
        <v>51.38</v>
      </c>
      <c r="DF111" s="228">
        <v>51.51</v>
      </c>
      <c r="DG111" s="228">
        <v>-7.84</v>
      </c>
      <c r="DH111" s="228">
        <v>-0.13</v>
      </c>
      <c r="DI111" s="228">
        <v>43.5</v>
      </c>
      <c r="DJ111" s="228">
        <v>42.26</v>
      </c>
      <c r="DK111" s="228">
        <v>1.24</v>
      </c>
      <c r="DL111" s="228">
        <v>1.24</v>
      </c>
      <c r="DM111" s="228">
        <v>43.61</v>
      </c>
      <c r="DN111" s="228">
        <v>42</v>
      </c>
      <c r="DO111" s="228">
        <v>1.61</v>
      </c>
      <c r="DP111" s="228">
        <v>1.61</v>
      </c>
      <c r="DQ111" s="228">
        <v>0.61</v>
      </c>
      <c r="DR111" s="228">
        <v>0.67</v>
      </c>
      <c r="DS111" s="228">
        <v>-0.06</v>
      </c>
      <c r="DT111" s="229">
        <v>-8.9599999999999999E-2</v>
      </c>
      <c r="DU111" s="228">
        <v>420</v>
      </c>
      <c r="DV111" s="228">
        <v>420</v>
      </c>
      <c r="DW111" s="228">
        <v>0.5</v>
      </c>
      <c r="DX111" s="228">
        <v>0.83</v>
      </c>
      <c r="DY111" s="228">
        <v>-0.33</v>
      </c>
      <c r="DZ111" s="229">
        <v>-0.39760000000000001</v>
      </c>
      <c r="EA111" s="229">
        <v>1.9099999999999999E-2</v>
      </c>
      <c r="EB111" s="230">
        <v>483625</v>
      </c>
      <c r="EC111" s="229">
        <v>6.6E-3</v>
      </c>
      <c r="ED111" s="229">
        <v>1.9099999999999999E-2</v>
      </c>
      <c r="EE111" s="228">
        <v>2.33</v>
      </c>
      <c r="EF111" s="229">
        <v>5.5999999999999999E-3</v>
      </c>
      <c r="EG111" s="230">
        <v>647154</v>
      </c>
      <c r="EH111" s="230">
        <v>863361</v>
      </c>
      <c r="EI111" s="229">
        <v>-0.25040000000000001</v>
      </c>
      <c r="EJ111" s="229">
        <v>0.36549999999999999</v>
      </c>
      <c r="EK111" s="228">
        <v>232.06</v>
      </c>
      <c r="EL111" s="228">
        <v>108.88</v>
      </c>
      <c r="EM111" s="228">
        <v>90.84</v>
      </c>
      <c r="EN111" s="228">
        <v>65.92</v>
      </c>
      <c r="EO111" s="228">
        <v>431.78</v>
      </c>
      <c r="EP111" s="228">
        <v>483.28</v>
      </c>
      <c r="EQ111" s="228">
        <v>-51.5</v>
      </c>
      <c r="ER111" s="229">
        <v>-0.1066</v>
      </c>
      <c r="ES111" s="228">
        <v>241.65</v>
      </c>
      <c r="ET111" s="228">
        <v>136.82</v>
      </c>
      <c r="EU111" s="231">
        <v>1092.27</v>
      </c>
      <c r="EV111" s="231">
        <v>57686748</v>
      </c>
      <c r="EW111" s="231">
        <v>1470.74</v>
      </c>
      <c r="EX111" s="231">
        <v>1403.85</v>
      </c>
      <c r="EY111" s="228">
        <v>66.89</v>
      </c>
      <c r="EZ111" s="229">
        <v>4.7600000000000003E-2</v>
      </c>
      <c r="FA111" s="229">
        <v>0.60850000000000004</v>
      </c>
      <c r="FB111" s="227" t="s">
        <v>555</v>
      </c>
      <c r="FC111">
        <f t="shared" si="1"/>
        <v>21</v>
      </c>
    </row>
    <row r="112" spans="1:159" ht="17.25" thickBot="1" x14ac:dyDescent="0.3">
      <c r="A112" s="226">
        <v>46146</v>
      </c>
      <c r="B112" s="227" t="s">
        <v>184</v>
      </c>
      <c r="C112" s="227" t="s">
        <v>673</v>
      </c>
      <c r="D112" s="228">
        <v>100</v>
      </c>
      <c r="E112" s="228">
        <v>22</v>
      </c>
      <c r="F112" s="231">
        <v>4104.8999999999996</v>
      </c>
      <c r="G112" s="231">
        <v>4055.6</v>
      </c>
      <c r="H112" s="228">
        <v>49.3</v>
      </c>
      <c r="I112" s="229">
        <v>1.2200000000000001E-2</v>
      </c>
      <c r="J112" s="231">
        <v>4098.8999999999996</v>
      </c>
      <c r="K112" s="231">
        <v>4044.4</v>
      </c>
      <c r="L112" s="228">
        <v>54.5</v>
      </c>
      <c r="M112" s="229">
        <v>1.35E-2</v>
      </c>
      <c r="N112" s="231">
        <v>4104.8999999999996</v>
      </c>
      <c r="O112" s="231">
        <v>4055.6</v>
      </c>
      <c r="P112" s="228">
        <v>49.3</v>
      </c>
      <c r="Q112" s="229">
        <v>1.2200000000000001E-2</v>
      </c>
      <c r="R112" s="231">
        <v>4076.4</v>
      </c>
      <c r="S112" s="231">
        <v>4026.5</v>
      </c>
      <c r="T112" s="228">
        <v>49.9</v>
      </c>
      <c r="U112" s="229">
        <v>1.24E-2</v>
      </c>
      <c r="V112" s="231">
        <v>4055.3</v>
      </c>
      <c r="W112" s="231">
        <v>4020</v>
      </c>
      <c r="X112" s="228">
        <v>35.299999999999997</v>
      </c>
      <c r="Y112" s="229">
        <v>8.8000000000000005E-3</v>
      </c>
      <c r="Z112" s="228">
        <v>6</v>
      </c>
      <c r="AA112" s="228">
        <v>11.2</v>
      </c>
      <c r="AB112" s="228">
        <v>-5.2</v>
      </c>
      <c r="AC112" s="229">
        <v>1.5E-3</v>
      </c>
      <c r="AD112" s="228">
        <v>6</v>
      </c>
      <c r="AE112" s="228">
        <v>11.2</v>
      </c>
      <c r="AF112" s="228">
        <v>-5.2</v>
      </c>
      <c r="AG112" s="229">
        <v>1.5E-3</v>
      </c>
      <c r="AH112" s="228">
        <v>-22.5</v>
      </c>
      <c r="AI112" s="228">
        <v>-17.899999999999999</v>
      </c>
      <c r="AJ112" s="228">
        <v>-4.5999999999999996</v>
      </c>
      <c r="AK112" s="229">
        <v>-5.4999999999999997E-3</v>
      </c>
      <c r="AL112" s="228">
        <v>-43.6</v>
      </c>
      <c r="AM112" s="228">
        <v>-24.4</v>
      </c>
      <c r="AN112" s="228">
        <v>-19.2</v>
      </c>
      <c r="AO112" s="229">
        <v>-1.06E-2</v>
      </c>
      <c r="AP112" s="231">
        <v>4071.63</v>
      </c>
      <c r="AQ112" s="231">
        <v>4039.48</v>
      </c>
      <c r="AR112" s="228">
        <v>0</v>
      </c>
      <c r="AS112" s="228">
        <v>172</v>
      </c>
      <c r="AT112" s="228">
        <v>265</v>
      </c>
      <c r="AU112" s="228">
        <v>-93</v>
      </c>
      <c r="AV112" s="229">
        <v>-0.35210000000000002</v>
      </c>
      <c r="AW112" s="228">
        <v>163</v>
      </c>
      <c r="AX112" s="228">
        <v>247</v>
      </c>
      <c r="AY112" s="228">
        <v>-84</v>
      </c>
      <c r="AZ112" s="229">
        <v>-0.34079999999999999</v>
      </c>
      <c r="BA112" s="228">
        <v>8</v>
      </c>
      <c r="BB112" s="228">
        <v>17</v>
      </c>
      <c r="BC112" s="228">
        <v>-9</v>
      </c>
      <c r="BD112" s="229">
        <v>-0.52929999999999999</v>
      </c>
      <c r="BE112" s="228">
        <v>1</v>
      </c>
      <c r="BF112" s="228">
        <v>1</v>
      </c>
      <c r="BG112" s="228">
        <v>0</v>
      </c>
      <c r="BH112" s="229">
        <v>-0.21210000000000001</v>
      </c>
      <c r="BI112" s="228">
        <v>367</v>
      </c>
      <c r="BJ112" s="228">
        <v>395</v>
      </c>
      <c r="BK112" s="228">
        <v>-28</v>
      </c>
      <c r="BL112" s="229">
        <v>-7.1900000000000006E-2</v>
      </c>
      <c r="BM112" s="228">
        <v>140</v>
      </c>
      <c r="BN112" s="228">
        <v>202</v>
      </c>
      <c r="BO112" s="228">
        <v>-62</v>
      </c>
      <c r="BP112" s="229">
        <v>-0.309</v>
      </c>
      <c r="BQ112" s="228">
        <v>678</v>
      </c>
      <c r="BR112" s="228">
        <v>862</v>
      </c>
      <c r="BS112" s="228">
        <v>-184</v>
      </c>
      <c r="BT112" s="229">
        <v>-0.21360000000000001</v>
      </c>
      <c r="BU112" s="230">
        <v>642773</v>
      </c>
      <c r="BV112" s="230">
        <v>999229</v>
      </c>
      <c r="BW112" s="230">
        <v>-356456</v>
      </c>
      <c r="BX112" s="229">
        <v>-0.35670000000000002</v>
      </c>
      <c r="BY112" s="230">
        <v>1127</v>
      </c>
      <c r="BZ112" s="230">
        <v>1119</v>
      </c>
      <c r="CA112" s="228">
        <v>8</v>
      </c>
      <c r="CB112" s="229">
        <v>7.6E-3</v>
      </c>
      <c r="CC112" s="230">
        <v>1058</v>
      </c>
      <c r="CD112" s="230">
        <v>1051</v>
      </c>
      <c r="CE112" s="228">
        <v>7</v>
      </c>
      <c r="CF112" s="229">
        <v>6.6E-3</v>
      </c>
      <c r="CG112" s="228">
        <v>66</v>
      </c>
      <c r="CH112" s="228">
        <v>65</v>
      </c>
      <c r="CI112" s="228">
        <v>1</v>
      </c>
      <c r="CJ112" s="229">
        <v>1.2E-2</v>
      </c>
      <c r="CK112" s="228">
        <v>4</v>
      </c>
      <c r="CL112" s="228">
        <v>3</v>
      </c>
      <c r="CM112" s="228">
        <v>1</v>
      </c>
      <c r="CN112" s="229">
        <v>0.26090000000000002</v>
      </c>
      <c r="CO112" s="228">
        <v>399</v>
      </c>
      <c r="CP112" s="228">
        <v>359</v>
      </c>
      <c r="CQ112" s="228">
        <v>40</v>
      </c>
      <c r="CR112" s="229">
        <v>0.1113</v>
      </c>
      <c r="CS112" s="228">
        <v>276</v>
      </c>
      <c r="CT112" s="228">
        <v>263</v>
      </c>
      <c r="CU112" s="228">
        <v>12</v>
      </c>
      <c r="CV112" s="229">
        <v>4.7399999999999998E-2</v>
      </c>
      <c r="CW112" s="230">
        <v>1802</v>
      </c>
      <c r="CX112" s="230">
        <v>1741</v>
      </c>
      <c r="CY112" s="228">
        <v>61</v>
      </c>
      <c r="CZ112" s="229">
        <v>3.5000000000000003E-2</v>
      </c>
      <c r="DA112" s="228">
        <v>53.98</v>
      </c>
      <c r="DB112" s="228">
        <v>52.59</v>
      </c>
      <c r="DC112" s="228">
        <v>1.39</v>
      </c>
      <c r="DD112" s="228">
        <v>1.39</v>
      </c>
      <c r="DE112" s="228">
        <v>60.29</v>
      </c>
      <c r="DF112" s="228">
        <v>60.42</v>
      </c>
      <c r="DG112" s="228">
        <v>-6.31</v>
      </c>
      <c r="DH112" s="228">
        <v>-0.13</v>
      </c>
      <c r="DI112" s="228">
        <v>54.15</v>
      </c>
      <c r="DJ112" s="228">
        <v>52.55</v>
      </c>
      <c r="DK112" s="228">
        <v>1.6</v>
      </c>
      <c r="DL112" s="228">
        <v>1.6</v>
      </c>
      <c r="DM112" s="228">
        <v>53.53</v>
      </c>
      <c r="DN112" s="228">
        <v>52.67</v>
      </c>
      <c r="DO112" s="228">
        <v>0.86</v>
      </c>
      <c r="DP112" s="228">
        <v>0.86</v>
      </c>
      <c r="DQ112" s="228">
        <v>0.69</v>
      </c>
      <c r="DR112" s="228">
        <v>0.73</v>
      </c>
      <c r="DS112" s="228">
        <v>-0.04</v>
      </c>
      <c r="DT112" s="229">
        <v>-5.4800000000000001E-2</v>
      </c>
      <c r="DU112" s="231">
        <v>4500</v>
      </c>
      <c r="DV112" s="231">
        <v>4000</v>
      </c>
      <c r="DW112" s="228">
        <v>0.38</v>
      </c>
      <c r="DX112" s="228">
        <v>0.51</v>
      </c>
      <c r="DY112" s="228">
        <v>-0.13</v>
      </c>
      <c r="DZ112" s="229">
        <v>-0.25490000000000002</v>
      </c>
      <c r="EA112" s="229">
        <v>6.1400000000000003E-2</v>
      </c>
      <c r="EB112" s="230">
        <v>164900</v>
      </c>
      <c r="EC112" s="229">
        <v>-6.8999999999999999E-3</v>
      </c>
      <c r="ED112" s="229">
        <v>6.1400000000000003E-2</v>
      </c>
      <c r="EE112" s="228">
        <v>-32.15</v>
      </c>
      <c r="EF112" s="229">
        <v>-7.9000000000000008E-3</v>
      </c>
      <c r="EG112" s="230">
        <v>127281</v>
      </c>
      <c r="EH112" s="230">
        <v>244915</v>
      </c>
      <c r="EI112" s="229">
        <v>-0.4803</v>
      </c>
      <c r="EJ112" s="229">
        <v>0.19800000000000001</v>
      </c>
      <c r="EK112" s="228">
        <v>397.21</v>
      </c>
      <c r="EL112" s="228">
        <v>137.37</v>
      </c>
      <c r="EM112" s="228">
        <v>170.65</v>
      </c>
      <c r="EN112" s="228">
        <v>139.66</v>
      </c>
      <c r="EO112" s="228">
        <v>705.22</v>
      </c>
      <c r="EP112" s="228">
        <v>882.27</v>
      </c>
      <c r="EQ112" s="228">
        <v>-177.05</v>
      </c>
      <c r="ER112" s="229">
        <v>-0.20069999999999999</v>
      </c>
      <c r="ES112" s="228">
        <v>425.37</v>
      </c>
      <c r="ET112" s="228">
        <v>262.27999999999997</v>
      </c>
      <c r="EU112" s="231">
        <v>1126.54</v>
      </c>
      <c r="EV112" s="231">
        <v>4679418</v>
      </c>
      <c r="EW112" s="231">
        <v>1814.19</v>
      </c>
      <c r="EX112" s="231">
        <v>1737.59</v>
      </c>
      <c r="EY112" s="228">
        <v>76.599999999999994</v>
      </c>
      <c r="EZ112" s="229">
        <v>4.41E-2</v>
      </c>
      <c r="FA112" s="229">
        <v>0.93799999999999994</v>
      </c>
      <c r="FB112" s="227" t="s">
        <v>555</v>
      </c>
      <c r="FC112">
        <f t="shared" si="1"/>
        <v>69</v>
      </c>
    </row>
    <row r="113" spans="1:159" ht="17.25" thickBot="1" x14ac:dyDescent="0.3">
      <c r="A113" s="226">
        <v>46146</v>
      </c>
      <c r="B113" s="227" t="s">
        <v>161</v>
      </c>
      <c r="C113" s="227" t="s">
        <v>609</v>
      </c>
      <c r="D113" s="228">
        <v>175</v>
      </c>
      <c r="E113" s="228">
        <v>22</v>
      </c>
      <c r="F113" s="231">
        <v>5086.3999999999996</v>
      </c>
      <c r="G113" s="231">
        <v>4885.8</v>
      </c>
      <c r="H113" s="228">
        <v>200.6</v>
      </c>
      <c r="I113" s="229">
        <v>4.1099999999999998E-2</v>
      </c>
      <c r="J113" s="231">
        <v>5058.3</v>
      </c>
      <c r="K113" s="231">
        <v>4857.5</v>
      </c>
      <c r="L113" s="228">
        <v>200.8</v>
      </c>
      <c r="M113" s="229">
        <v>4.1300000000000003E-2</v>
      </c>
      <c r="N113" s="231">
        <v>5086.3999999999996</v>
      </c>
      <c r="O113" s="231">
        <v>4885.8</v>
      </c>
      <c r="P113" s="228">
        <v>200.6</v>
      </c>
      <c r="Q113" s="229">
        <v>4.1099999999999998E-2</v>
      </c>
      <c r="R113" s="231">
        <v>5057.7</v>
      </c>
      <c r="S113" s="231">
        <v>4862.3999999999996</v>
      </c>
      <c r="T113" s="228">
        <v>195.3</v>
      </c>
      <c r="U113" s="229">
        <v>4.02E-2</v>
      </c>
      <c r="V113" s="231">
        <v>5030.5</v>
      </c>
      <c r="W113" s="231">
        <v>4826.2</v>
      </c>
      <c r="X113" s="228">
        <v>204.3</v>
      </c>
      <c r="Y113" s="229">
        <v>4.2299999999999997E-2</v>
      </c>
      <c r="Z113" s="228">
        <v>28.1</v>
      </c>
      <c r="AA113" s="228">
        <v>28.3</v>
      </c>
      <c r="AB113" s="228">
        <v>-0.2</v>
      </c>
      <c r="AC113" s="229">
        <v>5.5999999999999999E-3</v>
      </c>
      <c r="AD113" s="228">
        <v>28.1</v>
      </c>
      <c r="AE113" s="228">
        <v>28.3</v>
      </c>
      <c r="AF113" s="228">
        <v>-0.2</v>
      </c>
      <c r="AG113" s="229">
        <v>5.5999999999999999E-3</v>
      </c>
      <c r="AH113" s="228">
        <v>-0.6</v>
      </c>
      <c r="AI113" s="228">
        <v>4.9000000000000004</v>
      </c>
      <c r="AJ113" s="228">
        <v>-5.5</v>
      </c>
      <c r="AK113" s="229">
        <v>-1E-4</v>
      </c>
      <c r="AL113" s="228">
        <v>-27.8</v>
      </c>
      <c r="AM113" s="228">
        <v>-31.3</v>
      </c>
      <c r="AN113" s="228">
        <v>3.5</v>
      </c>
      <c r="AO113" s="229">
        <v>-5.4999999999999997E-3</v>
      </c>
      <c r="AP113" s="231">
        <v>4992.5</v>
      </c>
      <c r="AQ113" s="231">
        <v>4968.37</v>
      </c>
      <c r="AR113" s="228">
        <v>0</v>
      </c>
      <c r="AS113" s="228">
        <v>360</v>
      </c>
      <c r="AT113" s="228">
        <v>345</v>
      </c>
      <c r="AU113" s="228">
        <v>15</v>
      </c>
      <c r="AV113" s="229">
        <v>4.3400000000000001E-2</v>
      </c>
      <c r="AW113" s="228">
        <v>351</v>
      </c>
      <c r="AX113" s="228">
        <v>338</v>
      </c>
      <c r="AY113" s="228">
        <v>13</v>
      </c>
      <c r="AZ113" s="229">
        <v>3.85E-2</v>
      </c>
      <c r="BA113" s="228">
        <v>8</v>
      </c>
      <c r="BB113" s="228">
        <v>6</v>
      </c>
      <c r="BC113" s="228">
        <v>2</v>
      </c>
      <c r="BD113" s="229">
        <v>0.34379999999999999</v>
      </c>
      <c r="BE113" s="228">
        <v>1</v>
      </c>
      <c r="BF113" s="228">
        <v>1</v>
      </c>
      <c r="BG113" s="228">
        <v>0</v>
      </c>
      <c r="BH113" s="229">
        <v>0</v>
      </c>
      <c r="BI113" s="228">
        <v>914</v>
      </c>
      <c r="BJ113" s="228">
        <v>304</v>
      </c>
      <c r="BK113" s="228">
        <v>610</v>
      </c>
      <c r="BL113" s="229">
        <v>2.0072999999999999</v>
      </c>
      <c r="BM113" s="228">
        <v>391</v>
      </c>
      <c r="BN113" s="228">
        <v>143</v>
      </c>
      <c r="BO113" s="228">
        <v>248</v>
      </c>
      <c r="BP113" s="229">
        <v>1.7323</v>
      </c>
      <c r="BQ113" s="230">
        <v>1664</v>
      </c>
      <c r="BR113" s="228">
        <v>792</v>
      </c>
      <c r="BS113" s="228">
        <v>873</v>
      </c>
      <c r="BT113" s="229">
        <v>1.1023000000000001</v>
      </c>
      <c r="BU113" s="230">
        <v>676369</v>
      </c>
      <c r="BV113" s="230">
        <v>731490</v>
      </c>
      <c r="BW113" s="230">
        <v>-55121</v>
      </c>
      <c r="BX113" s="229">
        <v>-7.5399999999999995E-2</v>
      </c>
      <c r="BY113" s="228">
        <v>855</v>
      </c>
      <c r="BZ113" s="228">
        <v>834</v>
      </c>
      <c r="CA113" s="228">
        <v>21</v>
      </c>
      <c r="CB113" s="229">
        <v>2.5000000000000001E-2</v>
      </c>
      <c r="CC113" s="228">
        <v>844</v>
      </c>
      <c r="CD113" s="228">
        <v>826</v>
      </c>
      <c r="CE113" s="228">
        <v>18</v>
      </c>
      <c r="CF113" s="229">
        <v>2.23E-2</v>
      </c>
      <c r="CG113" s="228">
        <v>9</v>
      </c>
      <c r="CH113" s="228">
        <v>7</v>
      </c>
      <c r="CI113" s="228">
        <v>2</v>
      </c>
      <c r="CJ113" s="229">
        <v>0.29110000000000003</v>
      </c>
      <c r="CK113" s="228">
        <v>2</v>
      </c>
      <c r="CL113" s="228">
        <v>1</v>
      </c>
      <c r="CM113" s="228">
        <v>0</v>
      </c>
      <c r="CN113" s="229">
        <v>0.30769999999999997</v>
      </c>
      <c r="CO113" s="228">
        <v>279</v>
      </c>
      <c r="CP113" s="228">
        <v>162</v>
      </c>
      <c r="CQ113" s="228">
        <v>118</v>
      </c>
      <c r="CR113" s="229">
        <v>0.72840000000000005</v>
      </c>
      <c r="CS113" s="228">
        <v>217</v>
      </c>
      <c r="CT113" s="228">
        <v>132</v>
      </c>
      <c r="CU113" s="228">
        <v>85</v>
      </c>
      <c r="CV113" s="229">
        <v>0.64559999999999995</v>
      </c>
      <c r="CW113" s="230">
        <v>1352</v>
      </c>
      <c r="CX113" s="230">
        <v>1128</v>
      </c>
      <c r="CY113" s="228">
        <v>224</v>
      </c>
      <c r="CZ113" s="229">
        <v>0.19839999999999999</v>
      </c>
      <c r="DA113" s="228">
        <v>44.85</v>
      </c>
      <c r="DB113" s="228">
        <v>44.33</v>
      </c>
      <c r="DC113" s="228">
        <v>0.52</v>
      </c>
      <c r="DD113" s="228">
        <v>0.52</v>
      </c>
      <c r="DE113" s="228">
        <v>46.05</v>
      </c>
      <c r="DF113" s="228">
        <v>45.84</v>
      </c>
      <c r="DG113" s="228">
        <v>-1.2</v>
      </c>
      <c r="DH113" s="228">
        <v>0.21</v>
      </c>
      <c r="DI113" s="228">
        <v>43.6</v>
      </c>
      <c r="DJ113" s="228">
        <v>44.33</v>
      </c>
      <c r="DK113" s="228">
        <v>-0.73</v>
      </c>
      <c r="DL113" s="228">
        <v>-0.73</v>
      </c>
      <c r="DM113" s="228">
        <v>47.77</v>
      </c>
      <c r="DN113" s="228">
        <v>44.34</v>
      </c>
      <c r="DO113" s="228">
        <v>3.43</v>
      </c>
      <c r="DP113" s="228">
        <v>3.43</v>
      </c>
      <c r="DQ113" s="228">
        <v>0.78</v>
      </c>
      <c r="DR113" s="228">
        <v>0.82</v>
      </c>
      <c r="DS113" s="228">
        <v>-0.04</v>
      </c>
      <c r="DT113" s="229">
        <v>-4.8800000000000003E-2</v>
      </c>
      <c r="DU113" s="231">
        <v>5500</v>
      </c>
      <c r="DV113" s="231">
        <v>4500</v>
      </c>
      <c r="DW113" s="228">
        <v>0.43</v>
      </c>
      <c r="DX113" s="228">
        <v>0.47</v>
      </c>
      <c r="DY113" s="228">
        <v>-0.04</v>
      </c>
      <c r="DZ113" s="229">
        <v>-8.5099999999999995E-2</v>
      </c>
      <c r="EA113" s="229">
        <v>1.24E-2</v>
      </c>
      <c r="EB113" s="230">
        <v>16100</v>
      </c>
      <c r="EC113" s="229">
        <v>-5.5999999999999999E-3</v>
      </c>
      <c r="ED113" s="229">
        <v>1.24E-2</v>
      </c>
      <c r="EE113" s="228">
        <v>-24.13</v>
      </c>
      <c r="EF113" s="229">
        <v>-4.7999999999999996E-3</v>
      </c>
      <c r="EG113" s="230">
        <v>315744</v>
      </c>
      <c r="EH113" s="230">
        <v>436437</v>
      </c>
      <c r="EI113" s="229">
        <v>-0.27650000000000002</v>
      </c>
      <c r="EJ113" s="229">
        <v>0.46679999999999999</v>
      </c>
      <c r="EK113" s="228">
        <v>964.51</v>
      </c>
      <c r="EL113" s="228">
        <v>366.26</v>
      </c>
      <c r="EM113" s="228">
        <v>353.02</v>
      </c>
      <c r="EN113" s="228">
        <v>47.87</v>
      </c>
      <c r="EO113" s="231">
        <v>1683.79</v>
      </c>
      <c r="EP113" s="228">
        <v>777.5</v>
      </c>
      <c r="EQ113" s="228">
        <v>906.28</v>
      </c>
      <c r="ER113" s="229">
        <v>1.1656</v>
      </c>
      <c r="ES113" s="228">
        <v>286.66000000000003</v>
      </c>
      <c r="ET113" s="228">
        <v>201.97</v>
      </c>
      <c r="EU113" s="228">
        <v>854.89</v>
      </c>
      <c r="EV113" s="231">
        <v>9320940</v>
      </c>
      <c r="EW113" s="231">
        <v>1343.52</v>
      </c>
      <c r="EX113" s="231">
        <v>1084.27</v>
      </c>
      <c r="EY113" s="228">
        <v>259.25</v>
      </c>
      <c r="EZ113" s="229">
        <v>0.23910000000000001</v>
      </c>
      <c r="FA113" s="229">
        <v>0.28510000000000002</v>
      </c>
      <c r="FB113" s="227" t="s">
        <v>555</v>
      </c>
      <c r="FC113">
        <f t="shared" si="1"/>
        <v>11</v>
      </c>
    </row>
    <row r="114" spans="1:159" ht="17.25" thickBot="1" x14ac:dyDescent="0.3">
      <c r="A114" s="226">
        <v>46146</v>
      </c>
      <c r="B114" s="227" t="s">
        <v>175</v>
      </c>
      <c r="C114" s="227" t="s">
        <v>679</v>
      </c>
      <c r="D114" s="228">
        <v>500</v>
      </c>
      <c r="E114" s="228">
        <v>22</v>
      </c>
      <c r="F114" s="228">
        <v>856.5</v>
      </c>
      <c r="G114" s="228">
        <v>873.4</v>
      </c>
      <c r="H114" s="228">
        <v>-16.899999999999999</v>
      </c>
      <c r="I114" s="229">
        <v>-1.9300000000000001E-2</v>
      </c>
      <c r="J114" s="228">
        <v>863.95</v>
      </c>
      <c r="K114" s="228">
        <v>895.7</v>
      </c>
      <c r="L114" s="228">
        <v>-31.75</v>
      </c>
      <c r="M114" s="229">
        <v>-3.5400000000000001E-2</v>
      </c>
      <c r="N114" s="228">
        <v>856.5</v>
      </c>
      <c r="O114" s="228">
        <v>873.4</v>
      </c>
      <c r="P114" s="228">
        <v>-16.899999999999999</v>
      </c>
      <c r="Q114" s="229">
        <v>-1.9300000000000001E-2</v>
      </c>
      <c r="R114" s="228">
        <v>835.95</v>
      </c>
      <c r="S114" s="228">
        <v>852.35</v>
      </c>
      <c r="T114" s="228">
        <v>-16.399999999999999</v>
      </c>
      <c r="U114" s="229">
        <v>-1.9199999999999998E-2</v>
      </c>
      <c r="V114" s="228">
        <v>828.65</v>
      </c>
      <c r="W114" s="228">
        <v>843.1</v>
      </c>
      <c r="X114" s="228">
        <v>-14.45</v>
      </c>
      <c r="Y114" s="229">
        <v>-1.7100000000000001E-2</v>
      </c>
      <c r="Z114" s="228">
        <v>-7.45</v>
      </c>
      <c r="AA114" s="228">
        <v>-22.3</v>
      </c>
      <c r="AB114" s="228">
        <v>14.85</v>
      </c>
      <c r="AC114" s="229">
        <v>-8.6E-3</v>
      </c>
      <c r="AD114" s="228">
        <v>-7.45</v>
      </c>
      <c r="AE114" s="228">
        <v>-22.3</v>
      </c>
      <c r="AF114" s="228">
        <v>14.85</v>
      </c>
      <c r="AG114" s="229">
        <v>-8.6E-3</v>
      </c>
      <c r="AH114" s="228">
        <v>-28</v>
      </c>
      <c r="AI114" s="228">
        <v>-43.35</v>
      </c>
      <c r="AJ114" s="228">
        <v>15.35</v>
      </c>
      <c r="AK114" s="229">
        <v>-3.2399999999999998E-2</v>
      </c>
      <c r="AL114" s="228">
        <v>-35.299999999999997</v>
      </c>
      <c r="AM114" s="228">
        <v>-52.6</v>
      </c>
      <c r="AN114" s="228">
        <v>17.3</v>
      </c>
      <c r="AO114" s="229">
        <v>-4.0899999999999999E-2</v>
      </c>
      <c r="AP114" s="228">
        <v>859.2</v>
      </c>
      <c r="AQ114" s="228">
        <v>841.92</v>
      </c>
      <c r="AR114" s="228">
        <v>0</v>
      </c>
      <c r="AS114" s="228">
        <v>196</v>
      </c>
      <c r="AT114" s="228">
        <v>758</v>
      </c>
      <c r="AU114" s="228">
        <v>-562</v>
      </c>
      <c r="AV114" s="229">
        <v>-0.74160000000000004</v>
      </c>
      <c r="AW114" s="228">
        <v>161</v>
      </c>
      <c r="AX114" s="228">
        <v>696</v>
      </c>
      <c r="AY114" s="228">
        <v>-535</v>
      </c>
      <c r="AZ114" s="229">
        <v>-0.76890000000000003</v>
      </c>
      <c r="BA114" s="228">
        <v>32</v>
      </c>
      <c r="BB114" s="228">
        <v>55</v>
      </c>
      <c r="BC114" s="228">
        <v>-23</v>
      </c>
      <c r="BD114" s="229">
        <v>-0.42680000000000001</v>
      </c>
      <c r="BE114" s="228">
        <v>3</v>
      </c>
      <c r="BF114" s="228">
        <v>7</v>
      </c>
      <c r="BG114" s="228">
        <v>-3</v>
      </c>
      <c r="BH114" s="229">
        <v>-0.4839</v>
      </c>
      <c r="BI114" s="228">
        <v>517</v>
      </c>
      <c r="BJ114" s="230">
        <v>1275</v>
      </c>
      <c r="BK114" s="228">
        <v>-757</v>
      </c>
      <c r="BL114" s="229">
        <v>-0.59409999999999996</v>
      </c>
      <c r="BM114" s="228">
        <v>249</v>
      </c>
      <c r="BN114" s="228">
        <v>955</v>
      </c>
      <c r="BO114" s="228">
        <v>-706</v>
      </c>
      <c r="BP114" s="229">
        <v>-0.73899999999999999</v>
      </c>
      <c r="BQ114" s="228">
        <v>963</v>
      </c>
      <c r="BR114" s="230">
        <v>2988</v>
      </c>
      <c r="BS114" s="230">
        <v>-2025</v>
      </c>
      <c r="BT114" s="229">
        <v>-0.67779999999999996</v>
      </c>
      <c r="BU114" s="230">
        <v>2708189</v>
      </c>
      <c r="BV114" s="230">
        <v>7119998</v>
      </c>
      <c r="BW114" s="230">
        <v>-4411809</v>
      </c>
      <c r="BX114" s="229">
        <v>-0.61960000000000004</v>
      </c>
      <c r="BY114" s="228">
        <v>493</v>
      </c>
      <c r="BZ114" s="228">
        <v>463</v>
      </c>
      <c r="CA114" s="228">
        <v>30</v>
      </c>
      <c r="CB114" s="229">
        <v>6.4899999999999999E-2</v>
      </c>
      <c r="CC114" s="228">
        <v>444</v>
      </c>
      <c r="CD114" s="228">
        <v>429</v>
      </c>
      <c r="CE114" s="228">
        <v>15</v>
      </c>
      <c r="CF114" s="229">
        <v>3.5799999999999998E-2</v>
      </c>
      <c r="CG114" s="228">
        <v>40</v>
      </c>
      <c r="CH114" s="228">
        <v>27</v>
      </c>
      <c r="CI114" s="228">
        <v>13</v>
      </c>
      <c r="CJ114" s="229">
        <v>0.47410000000000002</v>
      </c>
      <c r="CK114" s="228">
        <v>8</v>
      </c>
      <c r="CL114" s="228">
        <v>7</v>
      </c>
      <c r="CM114" s="228">
        <v>2</v>
      </c>
      <c r="CN114" s="229">
        <v>0.26319999999999999</v>
      </c>
      <c r="CO114" s="228">
        <v>452</v>
      </c>
      <c r="CP114" s="228">
        <v>365</v>
      </c>
      <c r="CQ114" s="228">
        <v>87</v>
      </c>
      <c r="CR114" s="229">
        <v>0.23769999999999999</v>
      </c>
      <c r="CS114" s="228">
        <v>211</v>
      </c>
      <c r="CT114" s="228">
        <v>188</v>
      </c>
      <c r="CU114" s="228">
        <v>24</v>
      </c>
      <c r="CV114" s="229">
        <v>0.12509999999999999</v>
      </c>
      <c r="CW114" s="230">
        <v>1156</v>
      </c>
      <c r="CX114" s="230">
        <v>1016</v>
      </c>
      <c r="CY114" s="228">
        <v>140</v>
      </c>
      <c r="CZ114" s="229">
        <v>0.1381</v>
      </c>
      <c r="DA114" s="228">
        <v>43.58</v>
      </c>
      <c r="DB114" s="228">
        <v>44.22</v>
      </c>
      <c r="DC114" s="228">
        <v>-0.64</v>
      </c>
      <c r="DD114" s="228">
        <v>-0.64</v>
      </c>
      <c r="DE114" s="228">
        <v>51.36</v>
      </c>
      <c r="DF114" s="228">
        <v>51.42</v>
      </c>
      <c r="DG114" s="228">
        <v>-7.78</v>
      </c>
      <c r="DH114" s="228">
        <v>-0.06</v>
      </c>
      <c r="DI114" s="228">
        <v>44.34</v>
      </c>
      <c r="DJ114" s="228">
        <v>45.26</v>
      </c>
      <c r="DK114" s="228">
        <v>-0.92</v>
      </c>
      <c r="DL114" s="228">
        <v>-0.92</v>
      </c>
      <c r="DM114" s="228">
        <v>42.02</v>
      </c>
      <c r="DN114" s="228">
        <v>42.83</v>
      </c>
      <c r="DO114" s="228">
        <v>-0.81</v>
      </c>
      <c r="DP114" s="228">
        <v>-0.81</v>
      </c>
      <c r="DQ114" s="228">
        <v>0.47</v>
      </c>
      <c r="DR114" s="228">
        <v>0.52</v>
      </c>
      <c r="DS114" s="228">
        <v>-0.05</v>
      </c>
      <c r="DT114" s="229">
        <v>-9.6199999999999994E-2</v>
      </c>
      <c r="DU114" s="228">
        <v>980</v>
      </c>
      <c r="DV114" s="228">
        <v>760</v>
      </c>
      <c r="DW114" s="228">
        <v>0.48</v>
      </c>
      <c r="DX114" s="228">
        <v>0.75</v>
      </c>
      <c r="DY114" s="228">
        <v>-0.27</v>
      </c>
      <c r="DZ114" s="229">
        <v>-0.36</v>
      </c>
      <c r="EA114" s="229">
        <v>9.8400000000000001E-2</v>
      </c>
      <c r="EB114" s="230">
        <v>394975</v>
      </c>
      <c r="EC114" s="229">
        <v>-2.4E-2</v>
      </c>
      <c r="ED114" s="229">
        <v>9.8400000000000001E-2</v>
      </c>
      <c r="EE114" s="228">
        <v>-17.28</v>
      </c>
      <c r="EF114" s="229">
        <v>-2.01E-2</v>
      </c>
      <c r="EG114" s="230">
        <v>1087840</v>
      </c>
      <c r="EH114" s="230">
        <v>2155342</v>
      </c>
      <c r="EI114" s="229">
        <v>-0.49530000000000002</v>
      </c>
      <c r="EJ114" s="229">
        <v>0.4017</v>
      </c>
      <c r="EK114" s="228">
        <v>578.61</v>
      </c>
      <c r="EL114" s="228">
        <v>252.03</v>
      </c>
      <c r="EM114" s="228">
        <v>196.21</v>
      </c>
      <c r="EN114" s="228">
        <v>73.05</v>
      </c>
      <c r="EO114" s="231">
        <v>1026.8499999999999</v>
      </c>
      <c r="EP114" s="231">
        <v>3332.19</v>
      </c>
      <c r="EQ114" s="231">
        <v>-2305.35</v>
      </c>
      <c r="ER114" s="229">
        <v>-0.69179999999999997</v>
      </c>
      <c r="ES114" s="228">
        <v>513.49</v>
      </c>
      <c r="ET114" s="228">
        <v>217.47</v>
      </c>
      <c r="EU114" s="228">
        <v>491.52</v>
      </c>
      <c r="EV114" s="231">
        <v>19953342</v>
      </c>
      <c r="EW114" s="231">
        <v>1222.48</v>
      </c>
      <c r="EX114" s="231">
        <v>1086.49</v>
      </c>
      <c r="EY114" s="228">
        <v>135.99</v>
      </c>
      <c r="EZ114" s="229">
        <v>0.12520000000000001</v>
      </c>
      <c r="FA114" s="229">
        <v>0.67630000000000001</v>
      </c>
      <c r="FB114" s="227" t="s">
        <v>566</v>
      </c>
      <c r="FC114">
        <f t="shared" si="1"/>
        <v>49</v>
      </c>
    </row>
    <row r="115" spans="1:159" ht="17.25" thickBot="1" x14ac:dyDescent="0.3">
      <c r="A115" s="226">
        <v>46146</v>
      </c>
      <c r="B115" s="227" t="s">
        <v>172</v>
      </c>
      <c r="C115" s="227" t="s">
        <v>246</v>
      </c>
      <c r="D115" s="228">
        <v>2000</v>
      </c>
      <c r="E115" s="228">
        <v>22</v>
      </c>
      <c r="F115" s="228">
        <v>372.5</v>
      </c>
      <c r="G115" s="228">
        <v>385.9</v>
      </c>
      <c r="H115" s="228">
        <v>-13.4</v>
      </c>
      <c r="I115" s="229">
        <v>-3.4700000000000002E-2</v>
      </c>
      <c r="J115" s="228">
        <v>371.65</v>
      </c>
      <c r="K115" s="228">
        <v>383.3</v>
      </c>
      <c r="L115" s="228">
        <v>-11.65</v>
      </c>
      <c r="M115" s="229">
        <v>-3.04E-2</v>
      </c>
      <c r="N115" s="228">
        <v>372.5</v>
      </c>
      <c r="O115" s="228">
        <v>385.9</v>
      </c>
      <c r="P115" s="228">
        <v>-13.4</v>
      </c>
      <c r="Q115" s="229">
        <v>-3.4700000000000002E-2</v>
      </c>
      <c r="R115" s="228">
        <v>374.95</v>
      </c>
      <c r="S115" s="228">
        <v>387.75</v>
      </c>
      <c r="T115" s="228">
        <v>-12.8</v>
      </c>
      <c r="U115" s="229">
        <v>-3.3000000000000002E-2</v>
      </c>
      <c r="V115" s="228">
        <v>376.6</v>
      </c>
      <c r="W115" s="228">
        <v>388.95</v>
      </c>
      <c r="X115" s="228">
        <v>-12.35</v>
      </c>
      <c r="Y115" s="229">
        <v>-3.1800000000000002E-2</v>
      </c>
      <c r="Z115" s="228">
        <v>0.85</v>
      </c>
      <c r="AA115" s="228">
        <v>2.6</v>
      </c>
      <c r="AB115" s="228">
        <v>-1.75</v>
      </c>
      <c r="AC115" s="229">
        <v>2.3E-3</v>
      </c>
      <c r="AD115" s="228">
        <v>0.85</v>
      </c>
      <c r="AE115" s="228">
        <v>2.6</v>
      </c>
      <c r="AF115" s="228">
        <v>-1.75</v>
      </c>
      <c r="AG115" s="229">
        <v>2.3E-3</v>
      </c>
      <c r="AH115" s="228">
        <v>3.3</v>
      </c>
      <c r="AI115" s="228">
        <v>4.45</v>
      </c>
      <c r="AJ115" s="228">
        <v>-1.1499999999999999</v>
      </c>
      <c r="AK115" s="229">
        <v>8.8999999999999999E-3</v>
      </c>
      <c r="AL115" s="228">
        <v>4.95</v>
      </c>
      <c r="AM115" s="228">
        <v>5.65</v>
      </c>
      <c r="AN115" s="228">
        <v>-0.7</v>
      </c>
      <c r="AO115" s="229">
        <v>1.3299999999999999E-2</v>
      </c>
      <c r="AP115" s="228">
        <v>372.66</v>
      </c>
      <c r="AQ115" s="228">
        <v>375.64</v>
      </c>
      <c r="AR115" s="228">
        <v>0</v>
      </c>
      <c r="AS115" s="230">
        <v>3099</v>
      </c>
      <c r="AT115" s="230">
        <v>1460</v>
      </c>
      <c r="AU115" s="230">
        <v>1639</v>
      </c>
      <c r="AV115" s="229">
        <v>1.1223000000000001</v>
      </c>
      <c r="AW115" s="230">
        <v>2929</v>
      </c>
      <c r="AX115" s="230">
        <v>1344</v>
      </c>
      <c r="AY115" s="230">
        <v>1585</v>
      </c>
      <c r="AZ115" s="229">
        <v>1.1792</v>
      </c>
      <c r="BA115" s="228">
        <v>154</v>
      </c>
      <c r="BB115" s="228">
        <v>112</v>
      </c>
      <c r="BC115" s="228">
        <v>43</v>
      </c>
      <c r="BD115" s="229">
        <v>0.3841</v>
      </c>
      <c r="BE115" s="228">
        <v>16</v>
      </c>
      <c r="BF115" s="228">
        <v>5</v>
      </c>
      <c r="BG115" s="228">
        <v>11</v>
      </c>
      <c r="BH115" s="229">
        <v>2.3871000000000002</v>
      </c>
      <c r="BI115" s="230">
        <v>5856</v>
      </c>
      <c r="BJ115" s="230">
        <v>1699</v>
      </c>
      <c r="BK115" s="230">
        <v>4157</v>
      </c>
      <c r="BL115" s="229">
        <v>2.4459</v>
      </c>
      <c r="BM115" s="230">
        <v>2790</v>
      </c>
      <c r="BN115" s="230">
        <v>1135</v>
      </c>
      <c r="BO115" s="230">
        <v>1654</v>
      </c>
      <c r="BP115" s="229">
        <v>1.4571000000000001</v>
      </c>
      <c r="BQ115" s="230">
        <v>11745</v>
      </c>
      <c r="BR115" s="230">
        <v>4295</v>
      </c>
      <c r="BS115" s="230">
        <v>7450</v>
      </c>
      <c r="BT115" s="229">
        <v>1.7344999999999999</v>
      </c>
      <c r="BU115" s="230">
        <v>80480790</v>
      </c>
      <c r="BV115" s="230">
        <v>26168375</v>
      </c>
      <c r="BW115" s="230">
        <v>54312415</v>
      </c>
      <c r="BX115" s="229">
        <v>2.0754999999999999</v>
      </c>
      <c r="BY115" s="230">
        <v>8492</v>
      </c>
      <c r="BZ115" s="230">
        <v>9020</v>
      </c>
      <c r="CA115" s="228">
        <v>-527</v>
      </c>
      <c r="CB115" s="229">
        <v>-5.8400000000000001E-2</v>
      </c>
      <c r="CC115" s="230">
        <v>6954</v>
      </c>
      <c r="CD115" s="230">
        <v>7584</v>
      </c>
      <c r="CE115" s="228">
        <v>-630</v>
      </c>
      <c r="CF115" s="229">
        <v>-8.3099999999999993E-2</v>
      </c>
      <c r="CG115" s="230">
        <v>1520</v>
      </c>
      <c r="CH115" s="230">
        <v>1429</v>
      </c>
      <c r="CI115" s="228">
        <v>91</v>
      </c>
      <c r="CJ115" s="229">
        <v>6.3899999999999998E-2</v>
      </c>
      <c r="CK115" s="228">
        <v>18</v>
      </c>
      <c r="CL115" s="228">
        <v>7</v>
      </c>
      <c r="CM115" s="228">
        <v>11</v>
      </c>
      <c r="CN115" s="229">
        <v>1.7302999999999999</v>
      </c>
      <c r="CO115" s="230">
        <v>1825</v>
      </c>
      <c r="CP115" s="230">
        <v>1153</v>
      </c>
      <c r="CQ115" s="228">
        <v>671</v>
      </c>
      <c r="CR115" s="229">
        <v>0.58189999999999997</v>
      </c>
      <c r="CS115" s="230">
        <v>1188</v>
      </c>
      <c r="CT115" s="230">
        <v>1133</v>
      </c>
      <c r="CU115" s="228">
        <v>55</v>
      </c>
      <c r="CV115" s="229">
        <v>4.8099999999999997E-2</v>
      </c>
      <c r="CW115" s="230">
        <v>11505</v>
      </c>
      <c r="CX115" s="230">
        <v>11306</v>
      </c>
      <c r="CY115" s="228">
        <v>199</v>
      </c>
      <c r="CZ115" s="229">
        <v>1.7600000000000001E-2</v>
      </c>
      <c r="DA115" s="228">
        <v>27</v>
      </c>
      <c r="DB115" s="228">
        <v>32.96</v>
      </c>
      <c r="DC115" s="228">
        <v>-5.96</v>
      </c>
      <c r="DD115" s="228">
        <v>-5.96</v>
      </c>
      <c r="DE115" s="228">
        <v>27.34</v>
      </c>
      <c r="DF115" s="228">
        <v>27.09</v>
      </c>
      <c r="DG115" s="228">
        <v>-0.34</v>
      </c>
      <c r="DH115" s="228">
        <v>0.25</v>
      </c>
      <c r="DI115" s="228">
        <v>26.84</v>
      </c>
      <c r="DJ115" s="228">
        <v>32.11</v>
      </c>
      <c r="DK115" s="228">
        <v>-5.27</v>
      </c>
      <c r="DL115" s="228">
        <v>-5.27</v>
      </c>
      <c r="DM115" s="228">
        <v>27.34</v>
      </c>
      <c r="DN115" s="228">
        <v>34.229999999999997</v>
      </c>
      <c r="DO115" s="228">
        <v>-6.89</v>
      </c>
      <c r="DP115" s="228">
        <v>-6.89</v>
      </c>
      <c r="DQ115" s="228">
        <v>0.65</v>
      </c>
      <c r="DR115" s="228">
        <v>0.98</v>
      </c>
      <c r="DS115" s="228">
        <v>-0.33</v>
      </c>
      <c r="DT115" s="229">
        <v>-0.3367</v>
      </c>
      <c r="DU115" s="228">
        <v>400</v>
      </c>
      <c r="DV115" s="228">
        <v>360</v>
      </c>
      <c r="DW115" s="228">
        <v>0.48</v>
      </c>
      <c r="DX115" s="228">
        <v>0.67</v>
      </c>
      <c r="DY115" s="228">
        <v>-0.19</v>
      </c>
      <c r="DZ115" s="229">
        <v>-0.28360000000000002</v>
      </c>
      <c r="EA115" s="229">
        <v>0.18110000000000001</v>
      </c>
      <c r="EB115" s="230">
        <v>38532000</v>
      </c>
      <c r="EC115" s="229">
        <v>6.6E-3</v>
      </c>
      <c r="ED115" s="229">
        <v>0.18110000000000001</v>
      </c>
      <c r="EE115" s="228">
        <v>2.98</v>
      </c>
      <c r="EF115" s="229">
        <v>8.0000000000000002E-3</v>
      </c>
      <c r="EG115" s="230">
        <v>56219341</v>
      </c>
      <c r="EH115" s="230">
        <v>16226636</v>
      </c>
      <c r="EI115" s="229">
        <v>2.4645999999999999</v>
      </c>
      <c r="EJ115" s="229">
        <v>0.69850000000000001</v>
      </c>
      <c r="EK115" s="231">
        <v>6193.59</v>
      </c>
      <c r="EL115" s="231">
        <v>2798.39</v>
      </c>
      <c r="EM115" s="231">
        <v>3101.56</v>
      </c>
      <c r="EN115" s="228">
        <v>252.1</v>
      </c>
      <c r="EO115" s="231">
        <v>12093.54</v>
      </c>
      <c r="EP115" s="231">
        <v>4503.62</v>
      </c>
      <c r="EQ115" s="231">
        <v>7589.92</v>
      </c>
      <c r="ER115" s="229">
        <v>1.6853</v>
      </c>
      <c r="ES115" s="231">
        <v>1927.33</v>
      </c>
      <c r="ET115" s="231">
        <v>1172.03</v>
      </c>
      <c r="EU115" s="231">
        <v>8502.68</v>
      </c>
      <c r="EV115" s="231">
        <v>882793124</v>
      </c>
      <c r="EW115" s="231">
        <v>11602.04</v>
      </c>
      <c r="EX115" s="231">
        <v>11708.83</v>
      </c>
      <c r="EY115" s="228">
        <v>-106.79</v>
      </c>
      <c r="EZ115" s="229">
        <v>-9.1000000000000004E-3</v>
      </c>
      <c r="FA115" s="229">
        <v>0.34989999999999999</v>
      </c>
      <c r="FB115" s="227" t="s">
        <v>567</v>
      </c>
      <c r="FC115">
        <f t="shared" si="1"/>
        <v>1538</v>
      </c>
    </row>
    <row r="116" spans="1:159" ht="17.25" thickBot="1" x14ac:dyDescent="0.3">
      <c r="A116" s="226">
        <v>46146</v>
      </c>
      <c r="B116" s="227" t="s">
        <v>221</v>
      </c>
      <c r="C116" s="227" t="s">
        <v>576</v>
      </c>
      <c r="D116" s="228">
        <v>425</v>
      </c>
      <c r="E116" s="228">
        <v>22</v>
      </c>
      <c r="F116" s="228">
        <v>769.5</v>
      </c>
      <c r="G116" s="228">
        <v>761.6</v>
      </c>
      <c r="H116" s="228">
        <v>7.9</v>
      </c>
      <c r="I116" s="229">
        <v>1.04E-2</v>
      </c>
      <c r="J116" s="228">
        <v>768.55</v>
      </c>
      <c r="K116" s="228">
        <v>759.05</v>
      </c>
      <c r="L116" s="228">
        <v>9.5</v>
      </c>
      <c r="M116" s="229">
        <v>1.2500000000000001E-2</v>
      </c>
      <c r="N116" s="228">
        <v>769.5</v>
      </c>
      <c r="O116" s="228">
        <v>761.6</v>
      </c>
      <c r="P116" s="228">
        <v>7.9</v>
      </c>
      <c r="Q116" s="229">
        <v>1.04E-2</v>
      </c>
      <c r="R116" s="228">
        <v>773.95</v>
      </c>
      <c r="S116" s="228">
        <v>766.5</v>
      </c>
      <c r="T116" s="228">
        <v>7.45</v>
      </c>
      <c r="U116" s="229">
        <v>9.7000000000000003E-3</v>
      </c>
      <c r="V116" s="228">
        <v>776</v>
      </c>
      <c r="W116" s="228">
        <v>767.95</v>
      </c>
      <c r="X116" s="228">
        <v>8.0500000000000007</v>
      </c>
      <c r="Y116" s="229">
        <v>1.0500000000000001E-2</v>
      </c>
      <c r="Z116" s="228">
        <v>0.95</v>
      </c>
      <c r="AA116" s="228">
        <v>2.5499999999999998</v>
      </c>
      <c r="AB116" s="228">
        <v>-1.6</v>
      </c>
      <c r="AC116" s="229">
        <v>1.1999999999999999E-3</v>
      </c>
      <c r="AD116" s="228">
        <v>0.95</v>
      </c>
      <c r="AE116" s="228">
        <v>2.5499999999999998</v>
      </c>
      <c r="AF116" s="228">
        <v>-1.6</v>
      </c>
      <c r="AG116" s="229">
        <v>1.1999999999999999E-3</v>
      </c>
      <c r="AH116" s="228">
        <v>5.4</v>
      </c>
      <c r="AI116" s="228">
        <v>7.45</v>
      </c>
      <c r="AJ116" s="228">
        <v>-2.0499999999999998</v>
      </c>
      <c r="AK116" s="229">
        <v>7.0000000000000001E-3</v>
      </c>
      <c r="AL116" s="228">
        <v>7.45</v>
      </c>
      <c r="AM116" s="228">
        <v>8.9</v>
      </c>
      <c r="AN116" s="228">
        <v>-1.45</v>
      </c>
      <c r="AO116" s="229">
        <v>9.7000000000000003E-3</v>
      </c>
      <c r="AP116" s="228">
        <v>769.76</v>
      </c>
      <c r="AQ116" s="228">
        <v>775.08</v>
      </c>
      <c r="AR116" s="228">
        <v>0</v>
      </c>
      <c r="AS116" s="228">
        <v>154</v>
      </c>
      <c r="AT116" s="228">
        <v>166</v>
      </c>
      <c r="AU116" s="228">
        <v>-12</v>
      </c>
      <c r="AV116" s="229">
        <v>-7.2300000000000003E-2</v>
      </c>
      <c r="AW116" s="228">
        <v>147</v>
      </c>
      <c r="AX116" s="228">
        <v>159</v>
      </c>
      <c r="AY116" s="228">
        <v>-12</v>
      </c>
      <c r="AZ116" s="229">
        <v>-7.3899999999999993E-2</v>
      </c>
      <c r="BA116" s="228">
        <v>6</v>
      </c>
      <c r="BB116" s="228">
        <v>6</v>
      </c>
      <c r="BC116" s="228">
        <v>0</v>
      </c>
      <c r="BD116" s="229">
        <v>5.7999999999999996E-3</v>
      </c>
      <c r="BE116" s="228">
        <v>0</v>
      </c>
      <c r="BF116" s="228">
        <v>1</v>
      </c>
      <c r="BG116" s="228">
        <v>0</v>
      </c>
      <c r="BH116" s="229">
        <v>-0.35</v>
      </c>
      <c r="BI116" s="228">
        <v>328</v>
      </c>
      <c r="BJ116" s="228">
        <v>437</v>
      </c>
      <c r="BK116" s="228">
        <v>-109</v>
      </c>
      <c r="BL116" s="229">
        <v>-0.24970000000000001</v>
      </c>
      <c r="BM116" s="228">
        <v>83</v>
      </c>
      <c r="BN116" s="228">
        <v>137</v>
      </c>
      <c r="BO116" s="228">
        <v>-53</v>
      </c>
      <c r="BP116" s="229">
        <v>-0.39029999999999998</v>
      </c>
      <c r="BQ116" s="228">
        <v>565</v>
      </c>
      <c r="BR116" s="228">
        <v>740</v>
      </c>
      <c r="BS116" s="228">
        <v>-175</v>
      </c>
      <c r="BT116" s="229">
        <v>-0.2361</v>
      </c>
      <c r="BU116" s="230">
        <v>2550295</v>
      </c>
      <c r="BV116" s="230">
        <v>2983443</v>
      </c>
      <c r="BW116" s="230">
        <v>-433148</v>
      </c>
      <c r="BX116" s="229">
        <v>-0.1452</v>
      </c>
      <c r="BY116" s="228">
        <v>481</v>
      </c>
      <c r="BZ116" s="228">
        <v>477</v>
      </c>
      <c r="CA116" s="228">
        <v>4</v>
      </c>
      <c r="CB116" s="229">
        <v>8.3000000000000001E-3</v>
      </c>
      <c r="CC116" s="228">
        <v>464</v>
      </c>
      <c r="CD116" s="228">
        <v>460</v>
      </c>
      <c r="CE116" s="228">
        <v>3</v>
      </c>
      <c r="CF116" s="229">
        <v>7.6E-3</v>
      </c>
      <c r="CG116" s="228">
        <v>16</v>
      </c>
      <c r="CH116" s="228">
        <v>15</v>
      </c>
      <c r="CI116" s="228">
        <v>0</v>
      </c>
      <c r="CJ116" s="229">
        <v>2.3400000000000001E-2</v>
      </c>
      <c r="CK116" s="228">
        <v>1</v>
      </c>
      <c r="CL116" s="228">
        <v>1</v>
      </c>
      <c r="CM116" s="228">
        <v>0</v>
      </c>
      <c r="CN116" s="229">
        <v>0.1176</v>
      </c>
      <c r="CO116" s="228">
        <v>185</v>
      </c>
      <c r="CP116" s="228">
        <v>133</v>
      </c>
      <c r="CQ116" s="228">
        <v>52</v>
      </c>
      <c r="CR116" s="229">
        <v>0.39560000000000001</v>
      </c>
      <c r="CS116" s="228">
        <v>119</v>
      </c>
      <c r="CT116" s="228">
        <v>108</v>
      </c>
      <c r="CU116" s="228">
        <v>12</v>
      </c>
      <c r="CV116" s="229">
        <v>0.1094</v>
      </c>
      <c r="CW116" s="228">
        <v>785</v>
      </c>
      <c r="CX116" s="228">
        <v>717</v>
      </c>
      <c r="CY116" s="228">
        <v>68</v>
      </c>
      <c r="CZ116" s="229">
        <v>9.5100000000000004E-2</v>
      </c>
      <c r="DA116" s="228">
        <v>46.79</v>
      </c>
      <c r="DB116" s="228">
        <v>46.99</v>
      </c>
      <c r="DC116" s="228">
        <v>-0.2</v>
      </c>
      <c r="DD116" s="228">
        <v>-0.2</v>
      </c>
      <c r="DE116" s="228">
        <v>44.73</v>
      </c>
      <c r="DF116" s="228">
        <v>44.82</v>
      </c>
      <c r="DG116" s="228">
        <v>2.06</v>
      </c>
      <c r="DH116" s="228">
        <v>-0.09</v>
      </c>
      <c r="DI116" s="228">
        <v>46.39</v>
      </c>
      <c r="DJ116" s="228">
        <v>46.81</v>
      </c>
      <c r="DK116" s="228">
        <v>-0.42</v>
      </c>
      <c r="DL116" s="228">
        <v>-0.42</v>
      </c>
      <c r="DM116" s="228">
        <v>48.35</v>
      </c>
      <c r="DN116" s="228">
        <v>47.56</v>
      </c>
      <c r="DO116" s="228">
        <v>0.79</v>
      </c>
      <c r="DP116" s="228">
        <v>0.79</v>
      </c>
      <c r="DQ116" s="228">
        <v>0.64</v>
      </c>
      <c r="DR116" s="228">
        <v>0.81</v>
      </c>
      <c r="DS116" s="228">
        <v>-0.17</v>
      </c>
      <c r="DT116" s="229">
        <v>-0.2099</v>
      </c>
      <c r="DU116" s="228">
        <v>800</v>
      </c>
      <c r="DV116" s="228">
        <v>700</v>
      </c>
      <c r="DW116" s="228">
        <v>0.25</v>
      </c>
      <c r="DX116" s="228">
        <v>0.31</v>
      </c>
      <c r="DY116" s="228">
        <v>-0.06</v>
      </c>
      <c r="DZ116" s="229">
        <v>-0.19350000000000001</v>
      </c>
      <c r="EA116" s="229">
        <v>3.5099999999999999E-2</v>
      </c>
      <c r="EB116" s="230">
        <v>212925</v>
      </c>
      <c r="EC116" s="229">
        <v>5.7999999999999996E-3</v>
      </c>
      <c r="ED116" s="229">
        <v>3.5099999999999999E-2</v>
      </c>
      <c r="EE116" s="228">
        <v>5.32</v>
      </c>
      <c r="EF116" s="229">
        <v>6.8999999999999999E-3</v>
      </c>
      <c r="EG116" s="230">
        <v>1066102</v>
      </c>
      <c r="EH116" s="230">
        <v>1000276</v>
      </c>
      <c r="EI116" s="229">
        <v>6.5799999999999997E-2</v>
      </c>
      <c r="EJ116" s="229">
        <v>0.41799999999999998</v>
      </c>
      <c r="EK116" s="228">
        <v>351.86</v>
      </c>
      <c r="EL116" s="228">
        <v>84.13</v>
      </c>
      <c r="EM116" s="228">
        <v>153.99</v>
      </c>
      <c r="EN116" s="228">
        <v>61.48</v>
      </c>
      <c r="EO116" s="228">
        <v>589.98</v>
      </c>
      <c r="EP116" s="228">
        <v>752.92</v>
      </c>
      <c r="EQ116" s="228">
        <v>-162.94</v>
      </c>
      <c r="ER116" s="229">
        <v>-0.21640000000000001</v>
      </c>
      <c r="ES116" s="228">
        <v>190.93</v>
      </c>
      <c r="ET116" s="228">
        <v>111.3</v>
      </c>
      <c r="EU116" s="228">
        <v>480.87</v>
      </c>
      <c r="EV116" s="231">
        <v>24611073</v>
      </c>
      <c r="EW116" s="228">
        <v>783.1</v>
      </c>
      <c r="EX116" s="228">
        <v>705.28</v>
      </c>
      <c r="EY116" s="228">
        <v>77.819999999999993</v>
      </c>
      <c r="EZ116" s="229">
        <v>0.1103</v>
      </c>
      <c r="FA116" s="229">
        <v>0.41460000000000002</v>
      </c>
      <c r="FB116" s="227" t="s">
        <v>555</v>
      </c>
      <c r="FC116">
        <f t="shared" si="1"/>
        <v>17</v>
      </c>
    </row>
    <row r="117" spans="1:159" ht="17.25" thickBot="1" x14ac:dyDescent="0.3">
      <c r="A117" s="226">
        <v>46146</v>
      </c>
      <c r="B117" s="227" t="s">
        <v>170</v>
      </c>
      <c r="C117" s="227" t="s">
        <v>535</v>
      </c>
      <c r="D117" s="228">
        <v>850</v>
      </c>
      <c r="E117" s="228">
        <v>22</v>
      </c>
      <c r="F117" s="231">
        <v>1172</v>
      </c>
      <c r="G117" s="231">
        <v>1107.45</v>
      </c>
      <c r="H117" s="228">
        <v>64.55</v>
      </c>
      <c r="I117" s="229">
        <v>5.8299999999999998E-2</v>
      </c>
      <c r="J117" s="231">
        <v>1166.4000000000001</v>
      </c>
      <c r="K117" s="231">
        <v>1100.95</v>
      </c>
      <c r="L117" s="228">
        <v>65.45</v>
      </c>
      <c r="M117" s="229">
        <v>5.9400000000000001E-2</v>
      </c>
      <c r="N117" s="231">
        <v>1172</v>
      </c>
      <c r="O117" s="231">
        <v>1107.45</v>
      </c>
      <c r="P117" s="228">
        <v>64.55</v>
      </c>
      <c r="Q117" s="229">
        <v>5.8299999999999998E-2</v>
      </c>
      <c r="R117" s="231">
        <v>1179.9000000000001</v>
      </c>
      <c r="S117" s="231">
        <v>1115.75</v>
      </c>
      <c r="T117" s="228">
        <v>64.150000000000006</v>
      </c>
      <c r="U117" s="229">
        <v>5.7500000000000002E-2</v>
      </c>
      <c r="V117" s="231">
        <v>1185.2</v>
      </c>
      <c r="W117" s="231">
        <v>1118.5999999999999</v>
      </c>
      <c r="X117" s="228">
        <v>66.599999999999994</v>
      </c>
      <c r="Y117" s="229">
        <v>5.9499999999999997E-2</v>
      </c>
      <c r="Z117" s="228">
        <v>5.6</v>
      </c>
      <c r="AA117" s="228">
        <v>6.5</v>
      </c>
      <c r="AB117" s="228">
        <v>-0.9</v>
      </c>
      <c r="AC117" s="229">
        <v>4.7999999999999996E-3</v>
      </c>
      <c r="AD117" s="228">
        <v>5.6</v>
      </c>
      <c r="AE117" s="228">
        <v>6.5</v>
      </c>
      <c r="AF117" s="228">
        <v>-0.9</v>
      </c>
      <c r="AG117" s="229">
        <v>4.7999999999999996E-3</v>
      </c>
      <c r="AH117" s="228">
        <v>13.5</v>
      </c>
      <c r="AI117" s="228">
        <v>14.8</v>
      </c>
      <c r="AJ117" s="228">
        <v>-1.3</v>
      </c>
      <c r="AK117" s="229">
        <v>1.1599999999999999E-2</v>
      </c>
      <c r="AL117" s="228">
        <v>18.8</v>
      </c>
      <c r="AM117" s="228">
        <v>17.649999999999999</v>
      </c>
      <c r="AN117" s="228">
        <v>1.1499999999999999</v>
      </c>
      <c r="AO117" s="229">
        <v>1.61E-2</v>
      </c>
      <c r="AP117" s="231">
        <v>1157.6199999999999</v>
      </c>
      <c r="AQ117" s="231">
        <v>1166.71</v>
      </c>
      <c r="AR117" s="228">
        <v>0</v>
      </c>
      <c r="AS117" s="230">
        <v>1071</v>
      </c>
      <c r="AT117" s="228">
        <v>576</v>
      </c>
      <c r="AU117" s="228">
        <v>496</v>
      </c>
      <c r="AV117" s="229">
        <v>0.86099999999999999</v>
      </c>
      <c r="AW117" s="230">
        <v>1039</v>
      </c>
      <c r="AX117" s="228">
        <v>561</v>
      </c>
      <c r="AY117" s="228">
        <v>478</v>
      </c>
      <c r="AZ117" s="229">
        <v>0.85219999999999996</v>
      </c>
      <c r="BA117" s="228">
        <v>29</v>
      </c>
      <c r="BB117" s="228">
        <v>13</v>
      </c>
      <c r="BC117" s="228">
        <v>16</v>
      </c>
      <c r="BD117" s="229">
        <v>1.2422</v>
      </c>
      <c r="BE117" s="228">
        <v>4</v>
      </c>
      <c r="BF117" s="228">
        <v>2</v>
      </c>
      <c r="BG117" s="228">
        <v>2</v>
      </c>
      <c r="BH117" s="229">
        <v>0.90480000000000005</v>
      </c>
      <c r="BI117" s="230">
        <v>3108</v>
      </c>
      <c r="BJ117" s="230">
        <v>1143</v>
      </c>
      <c r="BK117" s="230">
        <v>1965</v>
      </c>
      <c r="BL117" s="229">
        <v>1.7192000000000001</v>
      </c>
      <c r="BM117" s="230">
        <v>1390</v>
      </c>
      <c r="BN117" s="228">
        <v>675</v>
      </c>
      <c r="BO117" s="228">
        <v>715</v>
      </c>
      <c r="BP117" s="229">
        <v>1.0586</v>
      </c>
      <c r="BQ117" s="230">
        <v>5569</v>
      </c>
      <c r="BR117" s="230">
        <v>2394</v>
      </c>
      <c r="BS117" s="230">
        <v>3176</v>
      </c>
      <c r="BT117" s="229">
        <v>1.3266</v>
      </c>
      <c r="BU117" s="230">
        <v>4925483</v>
      </c>
      <c r="BV117" s="230">
        <v>2448088</v>
      </c>
      <c r="BW117" s="230">
        <v>2477395</v>
      </c>
      <c r="BX117" s="229">
        <v>1.012</v>
      </c>
      <c r="BY117" s="230">
        <v>2135</v>
      </c>
      <c r="BZ117" s="230">
        <v>2118</v>
      </c>
      <c r="CA117" s="228">
        <v>17</v>
      </c>
      <c r="CB117" s="229">
        <v>8.2000000000000007E-3</v>
      </c>
      <c r="CC117" s="230">
        <v>2110</v>
      </c>
      <c r="CD117" s="230">
        <v>2096</v>
      </c>
      <c r="CE117" s="228">
        <v>14</v>
      </c>
      <c r="CF117" s="229">
        <v>6.4999999999999997E-3</v>
      </c>
      <c r="CG117" s="228">
        <v>24</v>
      </c>
      <c r="CH117" s="228">
        <v>21</v>
      </c>
      <c r="CI117" s="228">
        <v>2</v>
      </c>
      <c r="CJ117" s="229">
        <v>0.107</v>
      </c>
      <c r="CK117" s="228">
        <v>2</v>
      </c>
      <c r="CL117" s="228">
        <v>0</v>
      </c>
      <c r="CM117" s="228">
        <v>1</v>
      </c>
      <c r="CN117" s="229">
        <v>3.5</v>
      </c>
      <c r="CO117" s="228">
        <v>668</v>
      </c>
      <c r="CP117" s="228">
        <v>597</v>
      </c>
      <c r="CQ117" s="228">
        <v>71</v>
      </c>
      <c r="CR117" s="229">
        <v>0.1187</v>
      </c>
      <c r="CS117" s="228">
        <v>427</v>
      </c>
      <c r="CT117" s="228">
        <v>350</v>
      </c>
      <c r="CU117" s="228">
        <v>77</v>
      </c>
      <c r="CV117" s="229">
        <v>0.2198</v>
      </c>
      <c r="CW117" s="230">
        <v>3230</v>
      </c>
      <c r="CX117" s="230">
        <v>3065</v>
      </c>
      <c r="CY117" s="228">
        <v>165</v>
      </c>
      <c r="CZ117" s="229">
        <v>5.3900000000000003E-2</v>
      </c>
      <c r="DA117" s="228">
        <v>32.36</v>
      </c>
      <c r="DB117" s="228">
        <v>38.06</v>
      </c>
      <c r="DC117" s="228">
        <v>-5.7</v>
      </c>
      <c r="DD117" s="228">
        <v>-5.7</v>
      </c>
      <c r="DE117" s="228">
        <v>39.89</v>
      </c>
      <c r="DF117" s="228">
        <v>39.22</v>
      </c>
      <c r="DG117" s="228">
        <v>-7.53</v>
      </c>
      <c r="DH117" s="228">
        <v>0.67</v>
      </c>
      <c r="DI117" s="228">
        <v>31.64</v>
      </c>
      <c r="DJ117" s="228">
        <v>37.39</v>
      </c>
      <c r="DK117" s="228">
        <v>-5.75</v>
      </c>
      <c r="DL117" s="228">
        <v>-5.75</v>
      </c>
      <c r="DM117" s="228">
        <v>33.97</v>
      </c>
      <c r="DN117" s="228">
        <v>39.19</v>
      </c>
      <c r="DO117" s="228">
        <v>-5.22</v>
      </c>
      <c r="DP117" s="228">
        <v>-5.22</v>
      </c>
      <c r="DQ117" s="228">
        <v>0.64</v>
      </c>
      <c r="DR117" s="228">
        <v>0.59</v>
      </c>
      <c r="DS117" s="228">
        <v>0.05</v>
      </c>
      <c r="DT117" s="229">
        <v>8.4699999999999998E-2</v>
      </c>
      <c r="DU117" s="231">
        <v>1200</v>
      </c>
      <c r="DV117" s="231">
        <v>1100</v>
      </c>
      <c r="DW117" s="228">
        <v>0.45</v>
      </c>
      <c r="DX117" s="228">
        <v>0.59</v>
      </c>
      <c r="DY117" s="228">
        <v>-0.14000000000000001</v>
      </c>
      <c r="DZ117" s="229">
        <v>-0.23730000000000001</v>
      </c>
      <c r="EA117" s="229">
        <v>1.1900000000000001E-2</v>
      </c>
      <c r="EB117" s="230">
        <v>186150</v>
      </c>
      <c r="EC117" s="229">
        <v>6.7000000000000002E-3</v>
      </c>
      <c r="ED117" s="229">
        <v>1.1900000000000001E-2</v>
      </c>
      <c r="EE117" s="228">
        <v>9.09</v>
      </c>
      <c r="EF117" s="229">
        <v>7.9000000000000008E-3</v>
      </c>
      <c r="EG117" s="230">
        <v>2303960</v>
      </c>
      <c r="EH117" s="230">
        <v>1099019</v>
      </c>
      <c r="EI117" s="229">
        <v>1.0964</v>
      </c>
      <c r="EJ117" s="229">
        <v>0.46779999999999999</v>
      </c>
      <c r="EK117" s="231">
        <v>3226.28</v>
      </c>
      <c r="EL117" s="231">
        <v>1332.98</v>
      </c>
      <c r="EM117" s="231">
        <v>1058.3499999999999</v>
      </c>
      <c r="EN117" s="228">
        <v>82.94</v>
      </c>
      <c r="EO117" s="231">
        <v>5617.61</v>
      </c>
      <c r="EP117" s="231">
        <v>2327.37</v>
      </c>
      <c r="EQ117" s="231">
        <v>3290.24</v>
      </c>
      <c r="ER117" s="229">
        <v>1.4137</v>
      </c>
      <c r="ES117" s="228">
        <v>669.58</v>
      </c>
      <c r="ET117" s="228">
        <v>395.84</v>
      </c>
      <c r="EU117" s="231">
        <v>2135.34</v>
      </c>
      <c r="EV117" s="231">
        <v>58713729</v>
      </c>
      <c r="EW117" s="231">
        <v>3200.76</v>
      </c>
      <c r="EX117" s="231">
        <v>2907.91</v>
      </c>
      <c r="EY117" s="228">
        <v>292.85000000000002</v>
      </c>
      <c r="EZ117" s="229">
        <v>0.1007</v>
      </c>
      <c r="FA117" s="229">
        <v>0.46939999999999998</v>
      </c>
      <c r="FB117" s="227" t="s">
        <v>555</v>
      </c>
      <c r="FC117">
        <f t="shared" si="1"/>
        <v>25</v>
      </c>
    </row>
    <row r="118" spans="1:159" ht="17.25" thickBot="1" x14ac:dyDescent="0.3">
      <c r="A118" s="226">
        <v>46146</v>
      </c>
      <c r="B118" s="227" t="s">
        <v>175</v>
      </c>
      <c r="C118" s="227" t="s">
        <v>248</v>
      </c>
      <c r="D118" s="228">
        <v>1000</v>
      </c>
      <c r="E118" s="228">
        <v>22</v>
      </c>
      <c r="F118" s="228">
        <v>560.20000000000005</v>
      </c>
      <c r="G118" s="228">
        <v>558</v>
      </c>
      <c r="H118" s="228">
        <v>2.2000000000000002</v>
      </c>
      <c r="I118" s="229">
        <v>3.8999999999999998E-3</v>
      </c>
      <c r="J118" s="228">
        <v>557</v>
      </c>
      <c r="K118" s="228">
        <v>554.70000000000005</v>
      </c>
      <c r="L118" s="228">
        <v>2.2999999999999998</v>
      </c>
      <c r="M118" s="229">
        <v>4.1000000000000003E-3</v>
      </c>
      <c r="N118" s="228">
        <v>560.20000000000005</v>
      </c>
      <c r="O118" s="228">
        <v>558</v>
      </c>
      <c r="P118" s="228">
        <v>2.2000000000000002</v>
      </c>
      <c r="Q118" s="229">
        <v>3.8999999999999998E-3</v>
      </c>
      <c r="R118" s="228">
        <v>563.5</v>
      </c>
      <c r="S118" s="228">
        <v>561.1</v>
      </c>
      <c r="T118" s="228">
        <v>2.4</v>
      </c>
      <c r="U118" s="229">
        <v>4.3E-3</v>
      </c>
      <c r="V118" s="228">
        <v>567.5</v>
      </c>
      <c r="W118" s="228">
        <v>565</v>
      </c>
      <c r="X118" s="228">
        <v>2.5</v>
      </c>
      <c r="Y118" s="229">
        <v>4.4000000000000003E-3</v>
      </c>
      <c r="Z118" s="228">
        <v>3.2</v>
      </c>
      <c r="AA118" s="228">
        <v>3.3</v>
      </c>
      <c r="AB118" s="228">
        <v>-0.1</v>
      </c>
      <c r="AC118" s="229">
        <v>5.7000000000000002E-3</v>
      </c>
      <c r="AD118" s="228">
        <v>3.2</v>
      </c>
      <c r="AE118" s="228">
        <v>3.3</v>
      </c>
      <c r="AF118" s="228">
        <v>-0.1</v>
      </c>
      <c r="AG118" s="229">
        <v>5.7000000000000002E-3</v>
      </c>
      <c r="AH118" s="228">
        <v>6.5</v>
      </c>
      <c r="AI118" s="228">
        <v>6.4</v>
      </c>
      <c r="AJ118" s="228">
        <v>0.1</v>
      </c>
      <c r="AK118" s="229">
        <v>1.17E-2</v>
      </c>
      <c r="AL118" s="228">
        <v>10.5</v>
      </c>
      <c r="AM118" s="228">
        <v>10.3</v>
      </c>
      <c r="AN118" s="228">
        <v>0.2</v>
      </c>
      <c r="AO118" s="229">
        <v>1.89E-2</v>
      </c>
      <c r="AP118" s="228">
        <v>559.94000000000005</v>
      </c>
      <c r="AQ118" s="228">
        <v>563.26</v>
      </c>
      <c r="AR118" s="228">
        <v>0</v>
      </c>
      <c r="AS118" s="228">
        <v>90</v>
      </c>
      <c r="AT118" s="228">
        <v>139</v>
      </c>
      <c r="AU118" s="228">
        <v>-50</v>
      </c>
      <c r="AV118" s="229">
        <v>-0.35649999999999998</v>
      </c>
      <c r="AW118" s="228">
        <v>87</v>
      </c>
      <c r="AX118" s="228">
        <v>136</v>
      </c>
      <c r="AY118" s="228">
        <v>-49</v>
      </c>
      <c r="AZ118" s="229">
        <v>-0.36259999999999998</v>
      </c>
      <c r="BA118" s="228">
        <v>2</v>
      </c>
      <c r="BB118" s="228">
        <v>3</v>
      </c>
      <c r="BC118" s="228">
        <v>-1</v>
      </c>
      <c r="BD118" s="229">
        <v>-0.1875</v>
      </c>
      <c r="BE118" s="228">
        <v>1</v>
      </c>
      <c r="BF118" s="228">
        <v>1</v>
      </c>
      <c r="BG118" s="228">
        <v>0</v>
      </c>
      <c r="BH118" s="229">
        <v>0.3</v>
      </c>
      <c r="BI118" s="228">
        <v>176</v>
      </c>
      <c r="BJ118" s="228">
        <v>188</v>
      </c>
      <c r="BK118" s="228">
        <v>-12</v>
      </c>
      <c r="BL118" s="229">
        <v>-6.5699999999999995E-2</v>
      </c>
      <c r="BM118" s="228">
        <v>72</v>
      </c>
      <c r="BN118" s="228">
        <v>141</v>
      </c>
      <c r="BO118" s="228">
        <v>-69</v>
      </c>
      <c r="BP118" s="229">
        <v>-0.4889</v>
      </c>
      <c r="BQ118" s="228">
        <v>338</v>
      </c>
      <c r="BR118" s="228">
        <v>469</v>
      </c>
      <c r="BS118" s="228">
        <v>-131</v>
      </c>
      <c r="BT118" s="229">
        <v>-0.27960000000000002</v>
      </c>
      <c r="BU118" s="230">
        <v>707318</v>
      </c>
      <c r="BV118" s="230">
        <v>741129</v>
      </c>
      <c r="BW118" s="230">
        <v>-33811</v>
      </c>
      <c r="BX118" s="229">
        <v>-4.5600000000000002E-2</v>
      </c>
      <c r="BY118" s="230">
        <v>1697</v>
      </c>
      <c r="BZ118" s="230">
        <v>1674</v>
      </c>
      <c r="CA118" s="228">
        <v>23</v>
      </c>
      <c r="CB118" s="229">
        <v>1.4E-2</v>
      </c>
      <c r="CC118" s="230">
        <v>1675</v>
      </c>
      <c r="CD118" s="230">
        <v>1652</v>
      </c>
      <c r="CE118" s="228">
        <v>23</v>
      </c>
      <c r="CF118" s="229">
        <v>1.3599999999999999E-2</v>
      </c>
      <c r="CG118" s="228">
        <v>22</v>
      </c>
      <c r="CH118" s="228">
        <v>21</v>
      </c>
      <c r="CI118" s="228">
        <v>1</v>
      </c>
      <c r="CJ118" s="229">
        <v>2.3699999999999999E-2</v>
      </c>
      <c r="CK118" s="228">
        <v>1</v>
      </c>
      <c r="CL118" s="228">
        <v>0</v>
      </c>
      <c r="CM118" s="228">
        <v>0</v>
      </c>
      <c r="CN118" s="229">
        <v>1</v>
      </c>
      <c r="CO118" s="228">
        <v>292</v>
      </c>
      <c r="CP118" s="228">
        <v>280</v>
      </c>
      <c r="CQ118" s="228">
        <v>12</v>
      </c>
      <c r="CR118" s="229">
        <v>4.4200000000000003E-2</v>
      </c>
      <c r="CS118" s="228">
        <v>190</v>
      </c>
      <c r="CT118" s="228">
        <v>186</v>
      </c>
      <c r="CU118" s="228">
        <v>4</v>
      </c>
      <c r="CV118" s="229">
        <v>1.9599999999999999E-2</v>
      </c>
      <c r="CW118" s="230">
        <v>2180</v>
      </c>
      <c r="CX118" s="230">
        <v>2140</v>
      </c>
      <c r="CY118" s="228">
        <v>39</v>
      </c>
      <c r="CZ118" s="229">
        <v>1.8499999999999999E-2</v>
      </c>
      <c r="DA118" s="228">
        <v>31.98</v>
      </c>
      <c r="DB118" s="228">
        <v>31.88</v>
      </c>
      <c r="DC118" s="228">
        <v>0.1</v>
      </c>
      <c r="DD118" s="228">
        <v>0.1</v>
      </c>
      <c r="DE118" s="228">
        <v>33.47</v>
      </c>
      <c r="DF118" s="228">
        <v>33.549999999999997</v>
      </c>
      <c r="DG118" s="228">
        <v>-1.49</v>
      </c>
      <c r="DH118" s="228">
        <v>-0.08</v>
      </c>
      <c r="DI118" s="228">
        <v>31.74</v>
      </c>
      <c r="DJ118" s="228">
        <v>30.91</v>
      </c>
      <c r="DK118" s="228">
        <v>0.83</v>
      </c>
      <c r="DL118" s="228">
        <v>0.83</v>
      </c>
      <c r="DM118" s="228">
        <v>32.58</v>
      </c>
      <c r="DN118" s="228">
        <v>33.18</v>
      </c>
      <c r="DO118" s="228">
        <v>-0.6</v>
      </c>
      <c r="DP118" s="228">
        <v>-0.6</v>
      </c>
      <c r="DQ118" s="228">
        <v>0.65</v>
      </c>
      <c r="DR118" s="228">
        <v>0.66</v>
      </c>
      <c r="DS118" s="228">
        <v>-0.01</v>
      </c>
      <c r="DT118" s="229">
        <v>-1.52E-2</v>
      </c>
      <c r="DU118" s="228">
        <v>600</v>
      </c>
      <c r="DV118" s="228">
        <v>520</v>
      </c>
      <c r="DW118" s="228">
        <v>0.41</v>
      </c>
      <c r="DX118" s="228">
        <v>0.75</v>
      </c>
      <c r="DY118" s="228">
        <v>-0.34</v>
      </c>
      <c r="DZ118" s="229">
        <v>-0.45329999999999998</v>
      </c>
      <c r="EA118" s="229">
        <v>1.34E-2</v>
      </c>
      <c r="EB118" s="230">
        <v>388000</v>
      </c>
      <c r="EC118" s="229">
        <v>5.8999999999999999E-3</v>
      </c>
      <c r="ED118" s="229">
        <v>1.34E-2</v>
      </c>
      <c r="EE118" s="228">
        <v>3.32</v>
      </c>
      <c r="EF118" s="229">
        <v>5.8999999999999999E-3</v>
      </c>
      <c r="EG118" s="230">
        <v>312602</v>
      </c>
      <c r="EH118" s="230">
        <v>252966</v>
      </c>
      <c r="EI118" s="229">
        <v>0.23569999999999999</v>
      </c>
      <c r="EJ118" s="229">
        <v>0.442</v>
      </c>
      <c r="EK118" s="228">
        <v>185.69</v>
      </c>
      <c r="EL118" s="228">
        <v>71.180000000000007</v>
      </c>
      <c r="EM118" s="228">
        <v>89.67</v>
      </c>
      <c r="EN118" s="228">
        <v>83.16</v>
      </c>
      <c r="EO118" s="228">
        <v>346.53</v>
      </c>
      <c r="EP118" s="228">
        <v>470.32</v>
      </c>
      <c r="EQ118" s="228">
        <v>-123.79</v>
      </c>
      <c r="ER118" s="229">
        <v>-0.26319999999999999</v>
      </c>
      <c r="ES118" s="228">
        <v>301.76</v>
      </c>
      <c r="ET118" s="228">
        <v>183.63</v>
      </c>
      <c r="EU118" s="231">
        <v>1697.55</v>
      </c>
      <c r="EV118" s="231">
        <v>45183075</v>
      </c>
      <c r="EW118" s="231">
        <v>2182.9299999999998</v>
      </c>
      <c r="EX118" s="231">
        <v>2136.56</v>
      </c>
      <c r="EY118" s="228">
        <v>46.37</v>
      </c>
      <c r="EZ118" s="229">
        <v>2.1700000000000001E-2</v>
      </c>
      <c r="FA118" s="229">
        <v>0.86109999999999998</v>
      </c>
      <c r="FB118" s="227" t="s">
        <v>555</v>
      </c>
      <c r="FC118">
        <f t="shared" si="1"/>
        <v>22</v>
      </c>
    </row>
    <row r="119" spans="1:159" ht="17.25" thickBot="1" x14ac:dyDescent="0.3">
      <c r="A119" s="226">
        <v>46146</v>
      </c>
      <c r="B119" s="227" t="s">
        <v>175</v>
      </c>
      <c r="C119" s="227" t="s">
        <v>606</v>
      </c>
      <c r="D119" s="228">
        <v>700</v>
      </c>
      <c r="E119" s="228">
        <v>22</v>
      </c>
      <c r="F119" s="228">
        <v>799</v>
      </c>
      <c r="G119" s="228">
        <v>791.3</v>
      </c>
      <c r="H119" s="228">
        <v>7.7</v>
      </c>
      <c r="I119" s="229">
        <v>9.7000000000000003E-3</v>
      </c>
      <c r="J119" s="228">
        <v>802</v>
      </c>
      <c r="K119" s="228">
        <v>797.9</v>
      </c>
      <c r="L119" s="228">
        <v>4.0999999999999996</v>
      </c>
      <c r="M119" s="229">
        <v>5.1000000000000004E-3</v>
      </c>
      <c r="N119" s="228">
        <v>799</v>
      </c>
      <c r="O119" s="228">
        <v>791.3</v>
      </c>
      <c r="P119" s="228">
        <v>7.7</v>
      </c>
      <c r="Q119" s="229">
        <v>9.7000000000000003E-3</v>
      </c>
      <c r="R119" s="228">
        <v>794.55</v>
      </c>
      <c r="S119" s="228">
        <v>786.3</v>
      </c>
      <c r="T119" s="228">
        <v>8.25</v>
      </c>
      <c r="U119" s="229">
        <v>1.0500000000000001E-2</v>
      </c>
      <c r="V119" s="228">
        <v>790.95</v>
      </c>
      <c r="W119" s="228">
        <v>781.55</v>
      </c>
      <c r="X119" s="228">
        <v>9.4</v>
      </c>
      <c r="Y119" s="229">
        <v>1.2E-2</v>
      </c>
      <c r="Z119" s="228">
        <v>-3</v>
      </c>
      <c r="AA119" s="228">
        <v>-6.6</v>
      </c>
      <c r="AB119" s="228">
        <v>3.6</v>
      </c>
      <c r="AC119" s="229">
        <v>-3.7000000000000002E-3</v>
      </c>
      <c r="AD119" s="228">
        <v>-3</v>
      </c>
      <c r="AE119" s="228">
        <v>-6.6</v>
      </c>
      <c r="AF119" s="228">
        <v>3.6</v>
      </c>
      <c r="AG119" s="229">
        <v>-3.7000000000000002E-3</v>
      </c>
      <c r="AH119" s="228">
        <v>-7.45</v>
      </c>
      <c r="AI119" s="228">
        <v>-11.6</v>
      </c>
      <c r="AJ119" s="228">
        <v>4.1500000000000004</v>
      </c>
      <c r="AK119" s="229">
        <v>-9.2999999999999992E-3</v>
      </c>
      <c r="AL119" s="228">
        <v>-11.05</v>
      </c>
      <c r="AM119" s="228">
        <v>-16.350000000000001</v>
      </c>
      <c r="AN119" s="228">
        <v>5.3</v>
      </c>
      <c r="AO119" s="229">
        <v>-1.38E-2</v>
      </c>
      <c r="AP119" s="228">
        <v>799.26</v>
      </c>
      <c r="AQ119" s="228">
        <v>794.81</v>
      </c>
      <c r="AR119" s="228">
        <v>0</v>
      </c>
      <c r="AS119" s="228">
        <v>85</v>
      </c>
      <c r="AT119" s="228">
        <v>161</v>
      </c>
      <c r="AU119" s="228">
        <v>-76</v>
      </c>
      <c r="AV119" s="229">
        <v>-0.47339999999999999</v>
      </c>
      <c r="AW119" s="228">
        <v>66</v>
      </c>
      <c r="AX119" s="228">
        <v>134</v>
      </c>
      <c r="AY119" s="228">
        <v>-67</v>
      </c>
      <c r="AZ119" s="229">
        <v>-0.50519999999999998</v>
      </c>
      <c r="BA119" s="228">
        <v>15</v>
      </c>
      <c r="BB119" s="228">
        <v>18</v>
      </c>
      <c r="BC119" s="228">
        <v>-3</v>
      </c>
      <c r="BD119" s="229">
        <v>-0.17019999999999999</v>
      </c>
      <c r="BE119" s="228">
        <v>3</v>
      </c>
      <c r="BF119" s="228">
        <v>9</v>
      </c>
      <c r="BG119" s="228">
        <v>-5</v>
      </c>
      <c r="BH119" s="229">
        <v>-0.62419999999999998</v>
      </c>
      <c r="BI119" s="228">
        <v>279</v>
      </c>
      <c r="BJ119" s="228">
        <v>258</v>
      </c>
      <c r="BK119" s="228">
        <v>21</v>
      </c>
      <c r="BL119" s="229">
        <v>8.0799999999999997E-2</v>
      </c>
      <c r="BM119" s="228">
        <v>97</v>
      </c>
      <c r="BN119" s="228">
        <v>166</v>
      </c>
      <c r="BO119" s="228">
        <v>-69</v>
      </c>
      <c r="BP119" s="229">
        <v>-0.4163</v>
      </c>
      <c r="BQ119" s="228">
        <v>461</v>
      </c>
      <c r="BR119" s="228">
        <v>585</v>
      </c>
      <c r="BS119" s="228">
        <v>-125</v>
      </c>
      <c r="BT119" s="229">
        <v>-0.2127</v>
      </c>
      <c r="BU119" s="230">
        <v>1094171</v>
      </c>
      <c r="BV119" s="230">
        <v>1288616</v>
      </c>
      <c r="BW119" s="230">
        <v>-194445</v>
      </c>
      <c r="BX119" s="229">
        <v>-0.15090000000000001</v>
      </c>
      <c r="BY119" s="228">
        <v>792</v>
      </c>
      <c r="BZ119" s="228">
        <v>788</v>
      </c>
      <c r="CA119" s="228">
        <v>4</v>
      </c>
      <c r="CB119" s="229">
        <v>4.5999999999999999E-3</v>
      </c>
      <c r="CC119" s="228">
        <v>707</v>
      </c>
      <c r="CD119" s="228">
        <v>712</v>
      </c>
      <c r="CE119" s="228">
        <v>-5</v>
      </c>
      <c r="CF119" s="229">
        <v>-6.4000000000000003E-3</v>
      </c>
      <c r="CG119" s="228">
        <v>71</v>
      </c>
      <c r="CH119" s="228">
        <v>65</v>
      </c>
      <c r="CI119" s="228">
        <v>6</v>
      </c>
      <c r="CJ119" s="229">
        <v>9.6100000000000005E-2</v>
      </c>
      <c r="CK119" s="228">
        <v>13</v>
      </c>
      <c r="CL119" s="228">
        <v>11</v>
      </c>
      <c r="CM119" s="228">
        <v>2</v>
      </c>
      <c r="CN119" s="229">
        <v>0.1741</v>
      </c>
      <c r="CO119" s="228">
        <v>467</v>
      </c>
      <c r="CP119" s="228">
        <v>410</v>
      </c>
      <c r="CQ119" s="228">
        <v>57</v>
      </c>
      <c r="CR119" s="229">
        <v>0.13980000000000001</v>
      </c>
      <c r="CS119" s="228">
        <v>287</v>
      </c>
      <c r="CT119" s="228">
        <v>268</v>
      </c>
      <c r="CU119" s="228">
        <v>18</v>
      </c>
      <c r="CV119" s="229">
        <v>6.8400000000000002E-2</v>
      </c>
      <c r="CW119" s="230">
        <v>1545</v>
      </c>
      <c r="CX119" s="230">
        <v>1466</v>
      </c>
      <c r="CY119" s="228">
        <v>79</v>
      </c>
      <c r="CZ119" s="229">
        <v>5.4100000000000002E-2</v>
      </c>
      <c r="DA119" s="228">
        <v>29.73</v>
      </c>
      <c r="DB119" s="228">
        <v>31.28</v>
      </c>
      <c r="DC119" s="228">
        <v>-1.55</v>
      </c>
      <c r="DD119" s="228">
        <v>-1.55</v>
      </c>
      <c r="DE119" s="228">
        <v>32.82</v>
      </c>
      <c r="DF119" s="228">
        <v>32.880000000000003</v>
      </c>
      <c r="DG119" s="228">
        <v>-3.09</v>
      </c>
      <c r="DH119" s="228">
        <v>-0.06</v>
      </c>
      <c r="DI119" s="228">
        <v>29.85</v>
      </c>
      <c r="DJ119" s="228">
        <v>31.73</v>
      </c>
      <c r="DK119" s="228">
        <v>-1.88</v>
      </c>
      <c r="DL119" s="228">
        <v>-1.88</v>
      </c>
      <c r="DM119" s="228">
        <v>29.38</v>
      </c>
      <c r="DN119" s="228">
        <v>30.58</v>
      </c>
      <c r="DO119" s="228">
        <v>-1.2</v>
      </c>
      <c r="DP119" s="228">
        <v>-1.2</v>
      </c>
      <c r="DQ119" s="228">
        <v>0.61</v>
      </c>
      <c r="DR119" s="228">
        <v>0.65</v>
      </c>
      <c r="DS119" s="228">
        <v>-0.04</v>
      </c>
      <c r="DT119" s="229">
        <v>-6.1499999999999999E-2</v>
      </c>
      <c r="DU119" s="228">
        <v>830</v>
      </c>
      <c r="DV119" s="228">
        <v>800</v>
      </c>
      <c r="DW119" s="228">
        <v>0.35</v>
      </c>
      <c r="DX119" s="228">
        <v>0.64</v>
      </c>
      <c r="DY119" s="228">
        <v>-0.28999999999999998</v>
      </c>
      <c r="DZ119" s="229">
        <v>-0.4531</v>
      </c>
      <c r="EA119" s="229">
        <v>0.1069</v>
      </c>
      <c r="EB119" s="230">
        <v>956200</v>
      </c>
      <c r="EC119" s="229">
        <v>-5.5999999999999999E-3</v>
      </c>
      <c r="ED119" s="229">
        <v>0.1069</v>
      </c>
      <c r="EE119" s="228">
        <v>-4.45</v>
      </c>
      <c r="EF119" s="229">
        <v>-5.5999999999999999E-3</v>
      </c>
      <c r="EG119" s="230">
        <v>460657</v>
      </c>
      <c r="EH119" s="230">
        <v>599602</v>
      </c>
      <c r="EI119" s="229">
        <v>-0.23169999999999999</v>
      </c>
      <c r="EJ119" s="229">
        <v>0.42099999999999999</v>
      </c>
      <c r="EK119" s="228">
        <v>298.01</v>
      </c>
      <c r="EL119" s="228">
        <v>95.24</v>
      </c>
      <c r="EM119" s="228">
        <v>84.53</v>
      </c>
      <c r="EN119" s="228">
        <v>53.26</v>
      </c>
      <c r="EO119" s="228">
        <v>477.78</v>
      </c>
      <c r="EP119" s="228">
        <v>599.08000000000004</v>
      </c>
      <c r="EQ119" s="228">
        <v>-121.3</v>
      </c>
      <c r="ER119" s="229">
        <v>-0.20250000000000001</v>
      </c>
      <c r="ES119" s="228">
        <v>498.46</v>
      </c>
      <c r="ET119" s="228">
        <v>280.67</v>
      </c>
      <c r="EU119" s="228">
        <v>791.44</v>
      </c>
      <c r="EV119" s="231">
        <v>33206238</v>
      </c>
      <c r="EW119" s="231">
        <v>1570.56</v>
      </c>
      <c r="EX119" s="231">
        <v>1481.52</v>
      </c>
      <c r="EY119" s="228">
        <v>89.04</v>
      </c>
      <c r="EZ119" s="229">
        <v>6.0100000000000001E-2</v>
      </c>
      <c r="FA119" s="229">
        <v>0.58250000000000002</v>
      </c>
      <c r="FB119" s="227" t="s">
        <v>555</v>
      </c>
      <c r="FC119">
        <f t="shared" si="1"/>
        <v>85</v>
      </c>
    </row>
    <row r="120" spans="1:159" ht="17.25" thickBot="1" x14ac:dyDescent="0.3">
      <c r="A120" s="226">
        <v>46146</v>
      </c>
      <c r="B120" s="227" t="s">
        <v>206</v>
      </c>
      <c r="C120" s="227" t="s">
        <v>587</v>
      </c>
      <c r="D120" s="228">
        <v>450</v>
      </c>
      <c r="E120" s="228">
        <v>22</v>
      </c>
      <c r="F120" s="228">
        <v>926.55</v>
      </c>
      <c r="G120" s="228">
        <v>902.4</v>
      </c>
      <c r="H120" s="228">
        <v>24.15</v>
      </c>
      <c r="I120" s="229">
        <v>2.6800000000000001E-2</v>
      </c>
      <c r="J120" s="228">
        <v>923.6</v>
      </c>
      <c r="K120" s="228">
        <v>897.9</v>
      </c>
      <c r="L120" s="228">
        <v>25.7</v>
      </c>
      <c r="M120" s="229">
        <v>2.86E-2</v>
      </c>
      <c r="N120" s="228">
        <v>926.55</v>
      </c>
      <c r="O120" s="228">
        <v>902.4</v>
      </c>
      <c r="P120" s="228">
        <v>24.15</v>
      </c>
      <c r="Q120" s="229">
        <v>2.6800000000000001E-2</v>
      </c>
      <c r="R120" s="228">
        <v>932.4</v>
      </c>
      <c r="S120" s="228">
        <v>907.6</v>
      </c>
      <c r="T120" s="228">
        <v>24.8</v>
      </c>
      <c r="U120" s="229">
        <v>2.7300000000000001E-2</v>
      </c>
      <c r="V120" s="228">
        <v>938.85</v>
      </c>
      <c r="W120" s="228">
        <v>916.7</v>
      </c>
      <c r="X120" s="228">
        <v>22.15</v>
      </c>
      <c r="Y120" s="229">
        <v>2.4199999999999999E-2</v>
      </c>
      <c r="Z120" s="228">
        <v>2.95</v>
      </c>
      <c r="AA120" s="228">
        <v>4.5</v>
      </c>
      <c r="AB120" s="228">
        <v>-1.55</v>
      </c>
      <c r="AC120" s="229">
        <v>3.2000000000000002E-3</v>
      </c>
      <c r="AD120" s="228">
        <v>2.95</v>
      </c>
      <c r="AE120" s="228">
        <v>4.5</v>
      </c>
      <c r="AF120" s="228">
        <v>-1.55</v>
      </c>
      <c r="AG120" s="229">
        <v>3.2000000000000002E-3</v>
      </c>
      <c r="AH120" s="228">
        <v>8.8000000000000007</v>
      </c>
      <c r="AI120" s="228">
        <v>9.6999999999999993</v>
      </c>
      <c r="AJ120" s="228">
        <v>-0.9</v>
      </c>
      <c r="AK120" s="229">
        <v>9.4999999999999998E-3</v>
      </c>
      <c r="AL120" s="228">
        <v>15.25</v>
      </c>
      <c r="AM120" s="228">
        <v>18.8</v>
      </c>
      <c r="AN120" s="228">
        <v>-3.55</v>
      </c>
      <c r="AO120" s="229">
        <v>1.6500000000000001E-2</v>
      </c>
      <c r="AP120" s="228">
        <v>923.36</v>
      </c>
      <c r="AQ120" s="228">
        <v>928.92</v>
      </c>
      <c r="AR120" s="228">
        <v>0</v>
      </c>
      <c r="AS120" s="228">
        <v>164</v>
      </c>
      <c r="AT120" s="228">
        <v>186</v>
      </c>
      <c r="AU120" s="228">
        <v>-22</v>
      </c>
      <c r="AV120" s="229">
        <v>-0.1167</v>
      </c>
      <c r="AW120" s="228">
        <v>155</v>
      </c>
      <c r="AX120" s="228">
        <v>180</v>
      </c>
      <c r="AY120" s="228">
        <v>-25</v>
      </c>
      <c r="AZ120" s="229">
        <v>-0.1391</v>
      </c>
      <c r="BA120" s="228">
        <v>9</v>
      </c>
      <c r="BB120" s="228">
        <v>6</v>
      </c>
      <c r="BC120" s="228">
        <v>3</v>
      </c>
      <c r="BD120" s="229">
        <v>0.5766</v>
      </c>
      <c r="BE120" s="228">
        <v>1</v>
      </c>
      <c r="BF120" s="228">
        <v>1</v>
      </c>
      <c r="BG120" s="228">
        <v>0</v>
      </c>
      <c r="BH120" s="229">
        <v>0</v>
      </c>
      <c r="BI120" s="228">
        <v>406</v>
      </c>
      <c r="BJ120" s="228">
        <v>325</v>
      </c>
      <c r="BK120" s="228">
        <v>81</v>
      </c>
      <c r="BL120" s="229">
        <v>0.25019999999999998</v>
      </c>
      <c r="BM120" s="228">
        <v>143</v>
      </c>
      <c r="BN120" s="228">
        <v>175</v>
      </c>
      <c r="BO120" s="228">
        <v>-32</v>
      </c>
      <c r="BP120" s="229">
        <v>-0.18310000000000001</v>
      </c>
      <c r="BQ120" s="228">
        <v>713</v>
      </c>
      <c r="BR120" s="228">
        <v>685</v>
      </c>
      <c r="BS120" s="228">
        <v>28</v>
      </c>
      <c r="BT120" s="229">
        <v>4.02E-2</v>
      </c>
      <c r="BU120" s="230">
        <v>2935239</v>
      </c>
      <c r="BV120" s="230">
        <v>3057364</v>
      </c>
      <c r="BW120" s="230">
        <v>-122125</v>
      </c>
      <c r="BX120" s="229">
        <v>-3.9899999999999998E-2</v>
      </c>
      <c r="BY120" s="230">
        <v>1386</v>
      </c>
      <c r="BZ120" s="230">
        <v>1410</v>
      </c>
      <c r="CA120" s="228">
        <v>-24</v>
      </c>
      <c r="CB120" s="229">
        <v>-1.7100000000000001E-2</v>
      </c>
      <c r="CC120" s="230">
        <v>1266</v>
      </c>
      <c r="CD120" s="230">
        <v>1290</v>
      </c>
      <c r="CE120" s="228">
        <v>-24</v>
      </c>
      <c r="CF120" s="229">
        <v>-1.8499999999999999E-2</v>
      </c>
      <c r="CG120" s="228">
        <v>119</v>
      </c>
      <c r="CH120" s="228">
        <v>119</v>
      </c>
      <c r="CI120" s="228">
        <v>0</v>
      </c>
      <c r="CJ120" s="229">
        <v>-1.4E-3</v>
      </c>
      <c r="CK120" s="228">
        <v>1</v>
      </c>
      <c r="CL120" s="228">
        <v>1</v>
      </c>
      <c r="CM120" s="228">
        <v>0</v>
      </c>
      <c r="CN120" s="229">
        <v>-6.25E-2</v>
      </c>
      <c r="CO120" s="228">
        <v>228</v>
      </c>
      <c r="CP120" s="228">
        <v>240</v>
      </c>
      <c r="CQ120" s="228">
        <v>-12</v>
      </c>
      <c r="CR120" s="229">
        <v>-4.9700000000000001E-2</v>
      </c>
      <c r="CS120" s="228">
        <v>152</v>
      </c>
      <c r="CT120" s="228">
        <v>143</v>
      </c>
      <c r="CU120" s="228">
        <v>9</v>
      </c>
      <c r="CV120" s="229">
        <v>6.3600000000000004E-2</v>
      </c>
      <c r="CW120" s="230">
        <v>1766</v>
      </c>
      <c r="CX120" s="230">
        <v>1793</v>
      </c>
      <c r="CY120" s="228">
        <v>-27</v>
      </c>
      <c r="CZ120" s="229">
        <v>-1.4999999999999999E-2</v>
      </c>
      <c r="DA120" s="228">
        <v>39.659999999999997</v>
      </c>
      <c r="DB120" s="228">
        <v>40.33</v>
      </c>
      <c r="DC120" s="228">
        <v>-0.67</v>
      </c>
      <c r="DD120" s="228">
        <v>-0.67</v>
      </c>
      <c r="DE120" s="228">
        <v>47.85</v>
      </c>
      <c r="DF120" s="228">
        <v>47.81</v>
      </c>
      <c r="DG120" s="228">
        <v>-8.19</v>
      </c>
      <c r="DH120" s="228">
        <v>0.04</v>
      </c>
      <c r="DI120" s="228">
        <v>39.46</v>
      </c>
      <c r="DJ120" s="228">
        <v>40.53</v>
      </c>
      <c r="DK120" s="228">
        <v>-1.07</v>
      </c>
      <c r="DL120" s="228">
        <v>-1.07</v>
      </c>
      <c r="DM120" s="228">
        <v>40.22</v>
      </c>
      <c r="DN120" s="228">
        <v>39.97</v>
      </c>
      <c r="DO120" s="228">
        <v>0.25</v>
      </c>
      <c r="DP120" s="228">
        <v>0.25</v>
      </c>
      <c r="DQ120" s="228">
        <v>0.67</v>
      </c>
      <c r="DR120" s="228">
        <v>0.6</v>
      </c>
      <c r="DS120" s="228">
        <v>7.0000000000000007E-2</v>
      </c>
      <c r="DT120" s="229">
        <v>0.1167</v>
      </c>
      <c r="DU120" s="231">
        <v>1000</v>
      </c>
      <c r="DV120" s="228">
        <v>900</v>
      </c>
      <c r="DW120" s="228">
        <v>0.35</v>
      </c>
      <c r="DX120" s="228">
        <v>0.54</v>
      </c>
      <c r="DY120" s="228">
        <v>-0.19</v>
      </c>
      <c r="DZ120" s="229">
        <v>-0.35189999999999999</v>
      </c>
      <c r="EA120" s="229">
        <v>8.6499999999999994E-2</v>
      </c>
      <c r="EB120" s="230">
        <v>1295650</v>
      </c>
      <c r="EC120" s="229">
        <v>6.3E-3</v>
      </c>
      <c r="ED120" s="229">
        <v>8.6499999999999994E-2</v>
      </c>
      <c r="EE120" s="228">
        <v>5.56</v>
      </c>
      <c r="EF120" s="229">
        <v>6.0000000000000001E-3</v>
      </c>
      <c r="EG120" s="230">
        <v>1782607</v>
      </c>
      <c r="EH120" s="230">
        <v>1604718</v>
      </c>
      <c r="EI120" s="229">
        <v>0.1109</v>
      </c>
      <c r="EJ120" s="229">
        <v>0.60729999999999995</v>
      </c>
      <c r="EK120" s="228">
        <v>430.86</v>
      </c>
      <c r="EL120" s="228">
        <v>139.61000000000001</v>
      </c>
      <c r="EM120" s="228">
        <v>163.76</v>
      </c>
      <c r="EN120" s="228">
        <v>131.13999999999999</v>
      </c>
      <c r="EO120" s="228">
        <v>734.23</v>
      </c>
      <c r="EP120" s="228">
        <v>693.72</v>
      </c>
      <c r="EQ120" s="228">
        <v>40.51</v>
      </c>
      <c r="ER120" s="229">
        <v>5.8400000000000001E-2</v>
      </c>
      <c r="ES120" s="228">
        <v>231</v>
      </c>
      <c r="ET120" s="228">
        <v>141.78</v>
      </c>
      <c r="EU120" s="231">
        <v>1386.69</v>
      </c>
      <c r="EV120" s="231">
        <v>42165698</v>
      </c>
      <c r="EW120" s="231">
        <v>1759.47</v>
      </c>
      <c r="EX120" s="231">
        <v>1748.39</v>
      </c>
      <c r="EY120" s="228">
        <v>11.08</v>
      </c>
      <c r="EZ120" s="229">
        <v>6.3E-3</v>
      </c>
      <c r="FA120" s="229">
        <v>0.45200000000000001</v>
      </c>
      <c r="FB120" s="227" t="s">
        <v>691</v>
      </c>
      <c r="FC120">
        <f t="shared" si="1"/>
        <v>120</v>
      </c>
    </row>
    <row r="121" spans="1:159" ht="17.25" thickBot="1" x14ac:dyDescent="0.3">
      <c r="A121" s="226">
        <v>46146</v>
      </c>
      <c r="B121" s="227" t="s">
        <v>184</v>
      </c>
      <c r="C121" s="227" t="s">
        <v>249</v>
      </c>
      <c r="D121" s="228">
        <v>175</v>
      </c>
      <c r="E121" s="228">
        <v>22</v>
      </c>
      <c r="F121" s="231">
        <v>4120.3</v>
      </c>
      <c r="G121" s="231">
        <v>4037.7</v>
      </c>
      <c r="H121" s="228">
        <v>82.6</v>
      </c>
      <c r="I121" s="229">
        <v>2.0500000000000001E-2</v>
      </c>
      <c r="J121" s="231">
        <v>4100.8</v>
      </c>
      <c r="K121" s="231">
        <v>4014</v>
      </c>
      <c r="L121" s="228">
        <v>86.8</v>
      </c>
      <c r="M121" s="229">
        <v>2.1600000000000001E-2</v>
      </c>
      <c r="N121" s="231">
        <v>4120.3</v>
      </c>
      <c r="O121" s="231">
        <v>4037.7</v>
      </c>
      <c r="P121" s="228">
        <v>82.6</v>
      </c>
      <c r="Q121" s="229">
        <v>2.0500000000000001E-2</v>
      </c>
      <c r="R121" s="231">
        <v>4113.8</v>
      </c>
      <c r="S121" s="231">
        <v>4033.5</v>
      </c>
      <c r="T121" s="228">
        <v>80.3</v>
      </c>
      <c r="U121" s="229">
        <v>1.9900000000000001E-2</v>
      </c>
      <c r="V121" s="231">
        <v>4133.7</v>
      </c>
      <c r="W121" s="231">
        <v>4048.5</v>
      </c>
      <c r="X121" s="228">
        <v>85.2</v>
      </c>
      <c r="Y121" s="229">
        <v>2.1000000000000001E-2</v>
      </c>
      <c r="Z121" s="228">
        <v>19.5</v>
      </c>
      <c r="AA121" s="228">
        <v>23.7</v>
      </c>
      <c r="AB121" s="228">
        <v>-4.2</v>
      </c>
      <c r="AC121" s="229">
        <v>4.7999999999999996E-3</v>
      </c>
      <c r="AD121" s="228">
        <v>19.5</v>
      </c>
      <c r="AE121" s="228">
        <v>23.7</v>
      </c>
      <c r="AF121" s="228">
        <v>-4.2</v>
      </c>
      <c r="AG121" s="229">
        <v>4.7999999999999996E-3</v>
      </c>
      <c r="AH121" s="228">
        <v>13</v>
      </c>
      <c r="AI121" s="228">
        <v>19.5</v>
      </c>
      <c r="AJ121" s="228">
        <v>-6.5</v>
      </c>
      <c r="AK121" s="229">
        <v>3.2000000000000002E-3</v>
      </c>
      <c r="AL121" s="228">
        <v>32.9</v>
      </c>
      <c r="AM121" s="228">
        <v>34.5</v>
      </c>
      <c r="AN121" s="228">
        <v>-1.6</v>
      </c>
      <c r="AO121" s="229">
        <v>8.0000000000000002E-3</v>
      </c>
      <c r="AP121" s="231">
        <v>4130.3599999999997</v>
      </c>
      <c r="AQ121" s="231">
        <v>4121.46</v>
      </c>
      <c r="AR121" s="228">
        <v>0</v>
      </c>
      <c r="AS121" s="228">
        <v>935</v>
      </c>
      <c r="AT121" s="228">
        <v>954</v>
      </c>
      <c r="AU121" s="228">
        <v>-19</v>
      </c>
      <c r="AV121" s="229">
        <v>-0.02</v>
      </c>
      <c r="AW121" s="228">
        <v>819</v>
      </c>
      <c r="AX121" s="228">
        <v>872</v>
      </c>
      <c r="AY121" s="228">
        <v>-53</v>
      </c>
      <c r="AZ121" s="229">
        <v>-6.0999999999999999E-2</v>
      </c>
      <c r="BA121" s="228">
        <v>108</v>
      </c>
      <c r="BB121" s="228">
        <v>68</v>
      </c>
      <c r="BC121" s="228">
        <v>39</v>
      </c>
      <c r="BD121" s="229">
        <v>0.57779999999999998</v>
      </c>
      <c r="BE121" s="228">
        <v>8</v>
      </c>
      <c r="BF121" s="228">
        <v>14</v>
      </c>
      <c r="BG121" s="228">
        <v>-5</v>
      </c>
      <c r="BH121" s="229">
        <v>-0.38619999999999999</v>
      </c>
      <c r="BI121" s="230">
        <v>3972</v>
      </c>
      <c r="BJ121" s="230">
        <v>1950</v>
      </c>
      <c r="BK121" s="230">
        <v>2022</v>
      </c>
      <c r="BL121" s="229">
        <v>1.0370999999999999</v>
      </c>
      <c r="BM121" s="230">
        <v>1462</v>
      </c>
      <c r="BN121" s="230">
        <v>1258</v>
      </c>
      <c r="BO121" s="228">
        <v>204</v>
      </c>
      <c r="BP121" s="229">
        <v>0.16209999999999999</v>
      </c>
      <c r="BQ121" s="230">
        <v>6369</v>
      </c>
      <c r="BR121" s="230">
        <v>4162</v>
      </c>
      <c r="BS121" s="230">
        <v>2207</v>
      </c>
      <c r="BT121" s="229">
        <v>0.53029999999999999</v>
      </c>
      <c r="BU121" s="230">
        <v>2253184</v>
      </c>
      <c r="BV121" s="230">
        <v>2818876</v>
      </c>
      <c r="BW121" s="230">
        <v>-565692</v>
      </c>
      <c r="BX121" s="229">
        <v>-0.20069999999999999</v>
      </c>
      <c r="BY121" s="230">
        <v>5843</v>
      </c>
      <c r="BZ121" s="230">
        <v>5938</v>
      </c>
      <c r="CA121" s="228">
        <v>-95</v>
      </c>
      <c r="CB121" s="229">
        <v>-1.6E-2</v>
      </c>
      <c r="CC121" s="230">
        <v>5566</v>
      </c>
      <c r="CD121" s="230">
        <v>5676</v>
      </c>
      <c r="CE121" s="228">
        <v>-110</v>
      </c>
      <c r="CF121" s="229">
        <v>-1.9400000000000001E-2</v>
      </c>
      <c r="CG121" s="228">
        <v>266</v>
      </c>
      <c r="CH121" s="228">
        <v>251</v>
      </c>
      <c r="CI121" s="228">
        <v>14</v>
      </c>
      <c r="CJ121" s="229">
        <v>5.74E-2</v>
      </c>
      <c r="CK121" s="228">
        <v>11</v>
      </c>
      <c r="CL121" s="228">
        <v>11</v>
      </c>
      <c r="CM121" s="228">
        <v>1</v>
      </c>
      <c r="CN121" s="229">
        <v>6.08E-2</v>
      </c>
      <c r="CO121" s="230">
        <v>2042</v>
      </c>
      <c r="CP121" s="230">
        <v>1564</v>
      </c>
      <c r="CQ121" s="228">
        <v>478</v>
      </c>
      <c r="CR121" s="229">
        <v>0.3054</v>
      </c>
      <c r="CS121" s="230">
        <v>1696</v>
      </c>
      <c r="CT121" s="230">
        <v>1529</v>
      </c>
      <c r="CU121" s="228">
        <v>167</v>
      </c>
      <c r="CV121" s="229">
        <v>0.1094</v>
      </c>
      <c r="CW121" s="230">
        <v>9580</v>
      </c>
      <c r="CX121" s="230">
        <v>9030</v>
      </c>
      <c r="CY121" s="228">
        <v>550</v>
      </c>
      <c r="CZ121" s="229">
        <v>6.0900000000000003E-2</v>
      </c>
      <c r="DA121" s="228">
        <v>30.75</v>
      </c>
      <c r="DB121" s="228">
        <v>32.61</v>
      </c>
      <c r="DC121" s="228">
        <v>-1.86</v>
      </c>
      <c r="DD121" s="228">
        <v>-1.86</v>
      </c>
      <c r="DE121" s="228">
        <v>33.630000000000003</v>
      </c>
      <c r="DF121" s="228">
        <v>33.590000000000003</v>
      </c>
      <c r="DG121" s="228">
        <v>-2.88</v>
      </c>
      <c r="DH121" s="228">
        <v>0.04</v>
      </c>
      <c r="DI121" s="228">
        <v>30.21</v>
      </c>
      <c r="DJ121" s="228">
        <v>32.22</v>
      </c>
      <c r="DK121" s="228">
        <v>-2.0099999999999998</v>
      </c>
      <c r="DL121" s="228">
        <v>-2.0099999999999998</v>
      </c>
      <c r="DM121" s="228">
        <v>32.21</v>
      </c>
      <c r="DN121" s="228">
        <v>33.22</v>
      </c>
      <c r="DO121" s="228">
        <v>-1.01</v>
      </c>
      <c r="DP121" s="228">
        <v>-1.01</v>
      </c>
      <c r="DQ121" s="228">
        <v>0.83</v>
      </c>
      <c r="DR121" s="228">
        <v>0.98</v>
      </c>
      <c r="DS121" s="228">
        <v>-0.15</v>
      </c>
      <c r="DT121" s="229">
        <v>-0.15310000000000001</v>
      </c>
      <c r="DU121" s="231">
        <v>4200</v>
      </c>
      <c r="DV121" s="231">
        <v>3800</v>
      </c>
      <c r="DW121" s="228">
        <v>0.37</v>
      </c>
      <c r="DX121" s="228">
        <v>0.65</v>
      </c>
      <c r="DY121" s="228">
        <v>-0.28000000000000003</v>
      </c>
      <c r="DZ121" s="229">
        <v>-0.43080000000000002</v>
      </c>
      <c r="EA121" s="229">
        <v>4.7399999999999998E-2</v>
      </c>
      <c r="EB121" s="230">
        <v>635425</v>
      </c>
      <c r="EC121" s="229">
        <v>-1.6000000000000001E-3</v>
      </c>
      <c r="ED121" s="229">
        <v>4.7399999999999998E-2</v>
      </c>
      <c r="EE121" s="228">
        <v>-8.9</v>
      </c>
      <c r="EF121" s="229">
        <v>-2.2000000000000001E-3</v>
      </c>
      <c r="EG121" s="230">
        <v>1175799</v>
      </c>
      <c r="EH121" s="230">
        <v>1285575</v>
      </c>
      <c r="EI121" s="229">
        <v>-8.5400000000000004E-2</v>
      </c>
      <c r="EJ121" s="229">
        <v>0.52180000000000004</v>
      </c>
      <c r="EK121" s="231">
        <v>4201.84</v>
      </c>
      <c r="EL121" s="231">
        <v>1441.48</v>
      </c>
      <c r="EM121" s="228">
        <v>936.84</v>
      </c>
      <c r="EN121" s="228">
        <v>264.36</v>
      </c>
      <c r="EO121" s="231">
        <v>6580.16</v>
      </c>
      <c r="EP121" s="231">
        <v>4179.82</v>
      </c>
      <c r="EQ121" s="231">
        <v>2400.34</v>
      </c>
      <c r="ER121" s="229">
        <v>0.57430000000000003</v>
      </c>
      <c r="ES121" s="231">
        <v>2128.88</v>
      </c>
      <c r="ET121" s="231">
        <v>1609.02</v>
      </c>
      <c r="EU121" s="231">
        <v>5842.23</v>
      </c>
      <c r="EV121" s="231">
        <v>136099497</v>
      </c>
      <c r="EW121" s="231">
        <v>9580.14</v>
      </c>
      <c r="EX121" s="231">
        <v>8887.9699999999993</v>
      </c>
      <c r="EY121" s="228">
        <v>692.17</v>
      </c>
      <c r="EZ121" s="229">
        <v>7.7899999999999997E-2</v>
      </c>
      <c r="FA121" s="229">
        <v>0.17080000000000001</v>
      </c>
      <c r="FB121" s="227" t="s">
        <v>691</v>
      </c>
      <c r="FC121">
        <f t="shared" si="1"/>
        <v>277</v>
      </c>
    </row>
    <row r="122" spans="1:159" ht="17.25" thickBot="1" x14ac:dyDescent="0.3">
      <c r="A122" s="226">
        <v>46146</v>
      </c>
      <c r="B122" s="227" t="s">
        <v>175</v>
      </c>
      <c r="C122" s="227" t="s">
        <v>564</v>
      </c>
      <c r="D122" s="228">
        <v>2250</v>
      </c>
      <c r="E122" s="228">
        <v>22</v>
      </c>
      <c r="F122" s="228">
        <v>284.64999999999998</v>
      </c>
      <c r="G122" s="228">
        <v>280.81</v>
      </c>
      <c r="H122" s="228">
        <v>3.84</v>
      </c>
      <c r="I122" s="229">
        <v>1.37E-2</v>
      </c>
      <c r="J122" s="228">
        <v>285.64999999999998</v>
      </c>
      <c r="K122" s="228">
        <v>279.73</v>
      </c>
      <c r="L122" s="228">
        <v>5.92</v>
      </c>
      <c r="M122" s="229">
        <v>2.12E-2</v>
      </c>
      <c r="N122" s="228">
        <v>284.64999999999998</v>
      </c>
      <c r="O122" s="228">
        <v>280.81</v>
      </c>
      <c r="P122" s="228">
        <v>3.84</v>
      </c>
      <c r="Q122" s="229">
        <v>1.37E-2</v>
      </c>
      <c r="R122" s="228">
        <v>283</v>
      </c>
      <c r="S122" s="228">
        <v>279.39</v>
      </c>
      <c r="T122" s="228">
        <v>3.61</v>
      </c>
      <c r="U122" s="229">
        <v>1.29E-2</v>
      </c>
      <c r="V122" s="228">
        <v>283.14999999999998</v>
      </c>
      <c r="W122" s="228">
        <v>279.41000000000003</v>
      </c>
      <c r="X122" s="228">
        <v>3.74</v>
      </c>
      <c r="Y122" s="229">
        <v>1.34E-2</v>
      </c>
      <c r="Z122" s="228">
        <v>-1</v>
      </c>
      <c r="AA122" s="228">
        <v>1.08</v>
      </c>
      <c r="AB122" s="228">
        <v>-2.08</v>
      </c>
      <c r="AC122" s="229">
        <v>-3.5000000000000001E-3</v>
      </c>
      <c r="AD122" s="228">
        <v>-1</v>
      </c>
      <c r="AE122" s="228">
        <v>1.08</v>
      </c>
      <c r="AF122" s="228">
        <v>-2.08</v>
      </c>
      <c r="AG122" s="229">
        <v>-3.5000000000000001E-3</v>
      </c>
      <c r="AH122" s="228">
        <v>-2.65</v>
      </c>
      <c r="AI122" s="228">
        <v>-0.34</v>
      </c>
      <c r="AJ122" s="228">
        <v>-2.31</v>
      </c>
      <c r="AK122" s="229">
        <v>-9.2999999999999992E-3</v>
      </c>
      <c r="AL122" s="228">
        <v>-2.5</v>
      </c>
      <c r="AM122" s="228">
        <v>-0.32</v>
      </c>
      <c r="AN122" s="228">
        <v>-2.1800000000000002</v>
      </c>
      <c r="AO122" s="229">
        <v>-8.8000000000000005E-3</v>
      </c>
      <c r="AP122" s="228">
        <v>284.13</v>
      </c>
      <c r="AQ122" s="228">
        <v>282.89</v>
      </c>
      <c r="AR122" s="228">
        <v>0</v>
      </c>
      <c r="AS122" s="228">
        <v>210</v>
      </c>
      <c r="AT122" s="228">
        <v>183</v>
      </c>
      <c r="AU122" s="228">
        <v>27</v>
      </c>
      <c r="AV122" s="229">
        <v>0.14749999999999999</v>
      </c>
      <c r="AW122" s="228">
        <v>194</v>
      </c>
      <c r="AX122" s="228">
        <v>178</v>
      </c>
      <c r="AY122" s="228">
        <v>15</v>
      </c>
      <c r="AZ122" s="229">
        <v>8.5800000000000001E-2</v>
      </c>
      <c r="BA122" s="228">
        <v>15</v>
      </c>
      <c r="BB122" s="228">
        <v>5</v>
      </c>
      <c r="BC122" s="228">
        <v>11</v>
      </c>
      <c r="BD122" s="229">
        <v>2.3056000000000001</v>
      </c>
      <c r="BE122" s="228">
        <v>1</v>
      </c>
      <c r="BF122" s="228">
        <v>0</v>
      </c>
      <c r="BG122" s="228">
        <v>1</v>
      </c>
      <c r="BH122" s="229">
        <v>3.4</v>
      </c>
      <c r="BI122" s="228">
        <v>244</v>
      </c>
      <c r="BJ122" s="228">
        <v>187</v>
      </c>
      <c r="BK122" s="228">
        <v>58</v>
      </c>
      <c r="BL122" s="229">
        <v>0.3085</v>
      </c>
      <c r="BM122" s="228">
        <v>81</v>
      </c>
      <c r="BN122" s="228">
        <v>97</v>
      </c>
      <c r="BO122" s="228">
        <v>-17</v>
      </c>
      <c r="BP122" s="229">
        <v>-0.16950000000000001</v>
      </c>
      <c r="BQ122" s="228">
        <v>536</v>
      </c>
      <c r="BR122" s="228">
        <v>468</v>
      </c>
      <c r="BS122" s="228">
        <v>68</v>
      </c>
      <c r="BT122" s="229">
        <v>0.14580000000000001</v>
      </c>
      <c r="BU122" s="230">
        <v>5082384</v>
      </c>
      <c r="BV122" s="230">
        <v>3900471</v>
      </c>
      <c r="BW122" s="230">
        <v>1181913</v>
      </c>
      <c r="BX122" s="229">
        <v>0.30299999999999999</v>
      </c>
      <c r="BY122" s="230">
        <v>1268</v>
      </c>
      <c r="BZ122" s="230">
        <v>1253</v>
      </c>
      <c r="CA122" s="228">
        <v>15</v>
      </c>
      <c r="CB122" s="229">
        <v>1.21E-2</v>
      </c>
      <c r="CC122" s="230">
        <v>1242</v>
      </c>
      <c r="CD122" s="230">
        <v>1234</v>
      </c>
      <c r="CE122" s="228">
        <v>9</v>
      </c>
      <c r="CF122" s="229">
        <v>7.1999999999999998E-3</v>
      </c>
      <c r="CG122" s="228">
        <v>24</v>
      </c>
      <c r="CH122" s="228">
        <v>19</v>
      </c>
      <c r="CI122" s="228">
        <v>5</v>
      </c>
      <c r="CJ122" s="229">
        <v>0.25580000000000003</v>
      </c>
      <c r="CK122" s="228">
        <v>2</v>
      </c>
      <c r="CL122" s="228">
        <v>0</v>
      </c>
      <c r="CM122" s="228">
        <v>1</v>
      </c>
      <c r="CN122" s="229">
        <v>2.8571</v>
      </c>
      <c r="CO122" s="228">
        <v>403</v>
      </c>
      <c r="CP122" s="228">
        <v>352</v>
      </c>
      <c r="CQ122" s="228">
        <v>51</v>
      </c>
      <c r="CR122" s="229">
        <v>0.14549999999999999</v>
      </c>
      <c r="CS122" s="228">
        <v>304</v>
      </c>
      <c r="CT122" s="228">
        <v>290</v>
      </c>
      <c r="CU122" s="228">
        <v>14</v>
      </c>
      <c r="CV122" s="229">
        <v>4.8800000000000003E-2</v>
      </c>
      <c r="CW122" s="230">
        <v>1976</v>
      </c>
      <c r="CX122" s="230">
        <v>1895</v>
      </c>
      <c r="CY122" s="228">
        <v>81</v>
      </c>
      <c r="CZ122" s="229">
        <v>4.2500000000000003E-2</v>
      </c>
      <c r="DA122" s="228">
        <v>37.36</v>
      </c>
      <c r="DB122" s="228">
        <v>37.950000000000003</v>
      </c>
      <c r="DC122" s="228">
        <v>-0.59</v>
      </c>
      <c r="DD122" s="228">
        <v>-0.59</v>
      </c>
      <c r="DE122" s="228">
        <v>40.869999999999997</v>
      </c>
      <c r="DF122" s="228">
        <v>40.93</v>
      </c>
      <c r="DG122" s="228">
        <v>-3.51</v>
      </c>
      <c r="DH122" s="228">
        <v>-0.06</v>
      </c>
      <c r="DI122" s="228">
        <v>37.130000000000003</v>
      </c>
      <c r="DJ122" s="228">
        <v>37.799999999999997</v>
      </c>
      <c r="DK122" s="228">
        <v>-0.67</v>
      </c>
      <c r="DL122" s="228">
        <v>-0.67</v>
      </c>
      <c r="DM122" s="228">
        <v>38.08</v>
      </c>
      <c r="DN122" s="228">
        <v>38.24</v>
      </c>
      <c r="DO122" s="228">
        <v>-0.16</v>
      </c>
      <c r="DP122" s="228">
        <v>-0.16</v>
      </c>
      <c r="DQ122" s="228">
        <v>0.75</v>
      </c>
      <c r="DR122" s="228">
        <v>0.82</v>
      </c>
      <c r="DS122" s="228">
        <v>-7.0000000000000007E-2</v>
      </c>
      <c r="DT122" s="229">
        <v>-8.5400000000000004E-2</v>
      </c>
      <c r="DU122" s="228">
        <v>290</v>
      </c>
      <c r="DV122" s="228">
        <v>290</v>
      </c>
      <c r="DW122" s="228">
        <v>0.33</v>
      </c>
      <c r="DX122" s="228">
        <v>0.52</v>
      </c>
      <c r="DY122" s="228">
        <v>-0.19</v>
      </c>
      <c r="DZ122" s="229">
        <v>-0.3654</v>
      </c>
      <c r="EA122" s="229">
        <v>2.0500000000000001E-2</v>
      </c>
      <c r="EB122" s="230">
        <v>693000</v>
      </c>
      <c r="EC122" s="229">
        <v>-5.7999999999999996E-3</v>
      </c>
      <c r="ED122" s="229">
        <v>2.0500000000000001E-2</v>
      </c>
      <c r="EE122" s="228">
        <v>-1.24</v>
      </c>
      <c r="EF122" s="229">
        <v>-4.4000000000000003E-3</v>
      </c>
      <c r="EG122" s="230">
        <v>2221602</v>
      </c>
      <c r="EH122" s="230">
        <v>1747749</v>
      </c>
      <c r="EI122" s="229">
        <v>0.27110000000000001</v>
      </c>
      <c r="EJ122" s="229">
        <v>0.43709999999999999</v>
      </c>
      <c r="EK122" s="228">
        <v>264.39999999999998</v>
      </c>
      <c r="EL122" s="228">
        <v>79.95</v>
      </c>
      <c r="EM122" s="228">
        <v>209.81</v>
      </c>
      <c r="EN122" s="228">
        <v>100.13</v>
      </c>
      <c r="EO122" s="228">
        <v>554.16</v>
      </c>
      <c r="EP122" s="228">
        <v>476.3</v>
      </c>
      <c r="EQ122" s="228">
        <v>77.86</v>
      </c>
      <c r="ER122" s="229">
        <v>0.16350000000000001</v>
      </c>
      <c r="ES122" s="228">
        <v>425.53</v>
      </c>
      <c r="ET122" s="228">
        <v>300.07</v>
      </c>
      <c r="EU122" s="231">
        <v>1268.22</v>
      </c>
      <c r="EV122" s="231">
        <v>127514625</v>
      </c>
      <c r="EW122" s="231">
        <v>1993.82</v>
      </c>
      <c r="EX122" s="231">
        <v>1891.99</v>
      </c>
      <c r="EY122" s="228">
        <v>101.83</v>
      </c>
      <c r="EZ122" s="229">
        <v>5.3800000000000001E-2</v>
      </c>
      <c r="FA122" s="229">
        <v>0.5444</v>
      </c>
      <c r="FB122" s="227" t="s">
        <v>555</v>
      </c>
      <c r="FC122">
        <f t="shared" si="1"/>
        <v>26</v>
      </c>
    </row>
    <row r="123" spans="1:159" ht="17.25" thickBot="1" x14ac:dyDescent="0.3">
      <c r="A123" s="226">
        <v>46146</v>
      </c>
      <c r="B123" s="227" t="s">
        <v>221</v>
      </c>
      <c r="C123" s="227" t="s">
        <v>690</v>
      </c>
      <c r="D123" s="228">
        <v>150</v>
      </c>
      <c r="E123" s="228">
        <v>22</v>
      </c>
      <c r="F123" s="231">
        <v>4189.7</v>
      </c>
      <c r="G123" s="231">
        <v>4258.8</v>
      </c>
      <c r="H123" s="228">
        <v>-69.099999999999994</v>
      </c>
      <c r="I123" s="229">
        <v>-1.6199999999999999E-2</v>
      </c>
      <c r="J123" s="231">
        <v>4202.7</v>
      </c>
      <c r="K123" s="231">
        <v>4269.6000000000004</v>
      </c>
      <c r="L123" s="228">
        <v>-66.900000000000006</v>
      </c>
      <c r="M123" s="229">
        <v>-1.5699999999999999E-2</v>
      </c>
      <c r="N123" s="231">
        <v>4189.7</v>
      </c>
      <c r="O123" s="231">
        <v>4258.8</v>
      </c>
      <c r="P123" s="228">
        <v>-69.099999999999994</v>
      </c>
      <c r="Q123" s="229">
        <v>-1.6199999999999999E-2</v>
      </c>
      <c r="R123" s="231">
        <v>4114.8</v>
      </c>
      <c r="S123" s="231">
        <v>4180.3999999999996</v>
      </c>
      <c r="T123" s="228">
        <v>-65.599999999999994</v>
      </c>
      <c r="U123" s="229">
        <v>-1.5699999999999999E-2</v>
      </c>
      <c r="V123" s="231">
        <v>4071.7</v>
      </c>
      <c r="W123" s="231">
        <v>4161.7</v>
      </c>
      <c r="X123" s="228">
        <v>-90</v>
      </c>
      <c r="Y123" s="229">
        <v>-2.1600000000000001E-2</v>
      </c>
      <c r="Z123" s="228">
        <v>-13</v>
      </c>
      <c r="AA123" s="228">
        <v>-10.8</v>
      </c>
      <c r="AB123" s="228">
        <v>-2.2000000000000002</v>
      </c>
      <c r="AC123" s="229">
        <v>-3.0999999999999999E-3</v>
      </c>
      <c r="AD123" s="228">
        <v>-13</v>
      </c>
      <c r="AE123" s="228">
        <v>-10.8</v>
      </c>
      <c r="AF123" s="228">
        <v>-2.2000000000000002</v>
      </c>
      <c r="AG123" s="229">
        <v>-3.0999999999999999E-3</v>
      </c>
      <c r="AH123" s="228">
        <v>-87.9</v>
      </c>
      <c r="AI123" s="228">
        <v>-89.2</v>
      </c>
      <c r="AJ123" s="228">
        <v>1.3</v>
      </c>
      <c r="AK123" s="229">
        <v>-2.0899999999999998E-2</v>
      </c>
      <c r="AL123" s="228">
        <v>-131</v>
      </c>
      <c r="AM123" s="228">
        <v>-107.9</v>
      </c>
      <c r="AN123" s="228">
        <v>-23.1</v>
      </c>
      <c r="AO123" s="229">
        <v>-3.1199999999999999E-2</v>
      </c>
      <c r="AP123" s="231">
        <v>4204.62</v>
      </c>
      <c r="AQ123" s="231">
        <v>4133.41</v>
      </c>
      <c r="AR123" s="228">
        <v>0</v>
      </c>
      <c r="AS123" s="228">
        <v>147</v>
      </c>
      <c r="AT123" s="228">
        <v>220</v>
      </c>
      <c r="AU123" s="228">
        <v>-74</v>
      </c>
      <c r="AV123" s="229">
        <v>-0.3352</v>
      </c>
      <c r="AW123" s="228">
        <v>123</v>
      </c>
      <c r="AX123" s="228">
        <v>195</v>
      </c>
      <c r="AY123" s="228">
        <v>-72</v>
      </c>
      <c r="AZ123" s="229">
        <v>-0.36759999999999998</v>
      </c>
      <c r="BA123" s="228">
        <v>21</v>
      </c>
      <c r="BB123" s="228">
        <v>21</v>
      </c>
      <c r="BC123" s="228">
        <v>0</v>
      </c>
      <c r="BD123" s="229">
        <v>-5.7999999999999996E-3</v>
      </c>
      <c r="BE123" s="228">
        <v>2</v>
      </c>
      <c r="BF123" s="228">
        <v>4</v>
      </c>
      <c r="BG123" s="228">
        <v>-2</v>
      </c>
      <c r="BH123" s="229">
        <v>-0.54239999999999999</v>
      </c>
      <c r="BI123" s="228">
        <v>309</v>
      </c>
      <c r="BJ123" s="228">
        <v>283</v>
      </c>
      <c r="BK123" s="228">
        <v>26</v>
      </c>
      <c r="BL123" s="229">
        <v>9.1600000000000001E-2</v>
      </c>
      <c r="BM123" s="228">
        <v>149</v>
      </c>
      <c r="BN123" s="228">
        <v>134</v>
      </c>
      <c r="BO123" s="228">
        <v>15</v>
      </c>
      <c r="BP123" s="229">
        <v>0.11020000000000001</v>
      </c>
      <c r="BQ123" s="228">
        <v>604</v>
      </c>
      <c r="BR123" s="228">
        <v>637</v>
      </c>
      <c r="BS123" s="228">
        <v>-33</v>
      </c>
      <c r="BT123" s="229">
        <v>-5.2200000000000003E-2</v>
      </c>
      <c r="BU123" s="230">
        <v>224489</v>
      </c>
      <c r="BV123" s="230">
        <v>427566</v>
      </c>
      <c r="BW123" s="230">
        <v>-203077</v>
      </c>
      <c r="BX123" s="229">
        <v>-0.47499999999999998</v>
      </c>
      <c r="BY123" s="230">
        <v>1369</v>
      </c>
      <c r="BZ123" s="230">
        <v>1365</v>
      </c>
      <c r="CA123" s="228">
        <v>4</v>
      </c>
      <c r="CB123" s="229">
        <v>2.5999999999999999E-3</v>
      </c>
      <c r="CC123" s="230">
        <v>1312</v>
      </c>
      <c r="CD123" s="230">
        <v>1318</v>
      </c>
      <c r="CE123" s="228">
        <v>-6</v>
      </c>
      <c r="CF123" s="229">
        <v>-4.7000000000000002E-3</v>
      </c>
      <c r="CG123" s="228">
        <v>51</v>
      </c>
      <c r="CH123" s="228">
        <v>43</v>
      </c>
      <c r="CI123" s="228">
        <v>9</v>
      </c>
      <c r="CJ123" s="229">
        <v>0.20030000000000001</v>
      </c>
      <c r="CK123" s="228">
        <v>6</v>
      </c>
      <c r="CL123" s="228">
        <v>4</v>
      </c>
      <c r="CM123" s="228">
        <v>1</v>
      </c>
      <c r="CN123" s="229">
        <v>0.28989999999999999</v>
      </c>
      <c r="CO123" s="228">
        <v>385</v>
      </c>
      <c r="CP123" s="228">
        <v>342</v>
      </c>
      <c r="CQ123" s="228">
        <v>44</v>
      </c>
      <c r="CR123" s="229">
        <v>0.12820000000000001</v>
      </c>
      <c r="CS123" s="228">
        <v>259</v>
      </c>
      <c r="CT123" s="228">
        <v>237</v>
      </c>
      <c r="CU123" s="228">
        <v>22</v>
      </c>
      <c r="CV123" s="229">
        <v>9.4200000000000006E-2</v>
      </c>
      <c r="CW123" s="230">
        <v>2013</v>
      </c>
      <c r="CX123" s="230">
        <v>1944</v>
      </c>
      <c r="CY123" s="228">
        <v>70</v>
      </c>
      <c r="CZ123" s="229">
        <v>3.5900000000000001E-2</v>
      </c>
      <c r="DA123" s="228">
        <v>33.21</v>
      </c>
      <c r="DB123" s="228">
        <v>33.51</v>
      </c>
      <c r="DC123" s="228">
        <v>-0.3</v>
      </c>
      <c r="DD123" s="228">
        <v>-0.3</v>
      </c>
      <c r="DE123" s="228">
        <v>36.380000000000003</v>
      </c>
      <c r="DF123" s="228">
        <v>36.409999999999997</v>
      </c>
      <c r="DG123" s="228">
        <v>-3.17</v>
      </c>
      <c r="DH123" s="228">
        <v>-0.03</v>
      </c>
      <c r="DI123" s="228">
        <v>32.93</v>
      </c>
      <c r="DJ123" s="228">
        <v>33.24</v>
      </c>
      <c r="DK123" s="228">
        <v>-0.31</v>
      </c>
      <c r="DL123" s="228">
        <v>-0.31</v>
      </c>
      <c r="DM123" s="228">
        <v>33.799999999999997</v>
      </c>
      <c r="DN123" s="228">
        <v>34.06</v>
      </c>
      <c r="DO123" s="228">
        <v>-0.26</v>
      </c>
      <c r="DP123" s="228">
        <v>-0.26</v>
      </c>
      <c r="DQ123" s="228">
        <v>0.67</v>
      </c>
      <c r="DR123" s="228">
        <v>0.69</v>
      </c>
      <c r="DS123" s="228">
        <v>-0.02</v>
      </c>
      <c r="DT123" s="229">
        <v>-2.9000000000000001E-2</v>
      </c>
      <c r="DU123" s="231">
        <v>4600</v>
      </c>
      <c r="DV123" s="231">
        <v>4200</v>
      </c>
      <c r="DW123" s="228">
        <v>0.48</v>
      </c>
      <c r="DX123" s="228">
        <v>0.47</v>
      </c>
      <c r="DY123" s="228">
        <v>0.01</v>
      </c>
      <c r="DZ123" s="229">
        <v>2.1299999999999999E-2</v>
      </c>
      <c r="EA123" s="229">
        <v>4.1500000000000002E-2</v>
      </c>
      <c r="EB123" s="230">
        <v>112200</v>
      </c>
      <c r="EC123" s="229">
        <v>-1.7899999999999999E-2</v>
      </c>
      <c r="ED123" s="229">
        <v>4.1500000000000002E-2</v>
      </c>
      <c r="EE123" s="228">
        <v>-71.209999999999994</v>
      </c>
      <c r="EF123" s="229">
        <v>-1.6899999999999998E-2</v>
      </c>
      <c r="EG123" s="230">
        <v>112863</v>
      </c>
      <c r="EH123" s="230">
        <v>223526</v>
      </c>
      <c r="EI123" s="229">
        <v>-0.49509999999999998</v>
      </c>
      <c r="EJ123" s="229">
        <v>0.50280000000000002</v>
      </c>
      <c r="EK123" s="228">
        <v>335.6</v>
      </c>
      <c r="EL123" s="228">
        <v>147.82</v>
      </c>
      <c r="EM123" s="228">
        <v>146.68</v>
      </c>
      <c r="EN123" s="228">
        <v>82.51</v>
      </c>
      <c r="EO123" s="228">
        <v>630.11</v>
      </c>
      <c r="EP123" s="228">
        <v>668.25</v>
      </c>
      <c r="EQ123" s="228">
        <v>-38.14</v>
      </c>
      <c r="ER123" s="229">
        <v>-5.7099999999999998E-2</v>
      </c>
      <c r="ES123" s="228">
        <v>415.6</v>
      </c>
      <c r="ET123" s="228">
        <v>260.64999999999998</v>
      </c>
      <c r="EU123" s="231">
        <v>1367.89</v>
      </c>
      <c r="EV123" s="231">
        <v>12564965</v>
      </c>
      <c r="EW123" s="231">
        <v>2044.14</v>
      </c>
      <c r="EX123" s="231">
        <v>1995.57</v>
      </c>
      <c r="EY123" s="228">
        <v>48.57</v>
      </c>
      <c r="EZ123" s="229">
        <v>2.4299999999999999E-2</v>
      </c>
      <c r="FA123" s="229">
        <v>0.38250000000000001</v>
      </c>
      <c r="FB123" s="227" t="s">
        <v>566</v>
      </c>
      <c r="FC123">
        <f t="shared" si="1"/>
        <v>57</v>
      </c>
    </row>
    <row r="124" spans="1:159" ht="17.25" thickBot="1" x14ac:dyDescent="0.3">
      <c r="A124" s="226">
        <v>46146</v>
      </c>
      <c r="B124" s="227" t="s">
        <v>170</v>
      </c>
      <c r="C124" s="227" t="s">
        <v>250</v>
      </c>
      <c r="D124" s="228">
        <v>425</v>
      </c>
      <c r="E124" s="228">
        <v>22</v>
      </c>
      <c r="F124" s="231">
        <v>2351.5</v>
      </c>
      <c r="G124" s="231">
        <v>2310.8000000000002</v>
      </c>
      <c r="H124" s="228">
        <v>40.700000000000003</v>
      </c>
      <c r="I124" s="229">
        <v>1.7600000000000001E-2</v>
      </c>
      <c r="J124" s="231">
        <v>2348.8000000000002</v>
      </c>
      <c r="K124" s="231">
        <v>2305.1999999999998</v>
      </c>
      <c r="L124" s="228">
        <v>43.6</v>
      </c>
      <c r="M124" s="229">
        <v>1.89E-2</v>
      </c>
      <c r="N124" s="231">
        <v>2351.5</v>
      </c>
      <c r="O124" s="231">
        <v>2310.8000000000002</v>
      </c>
      <c r="P124" s="228">
        <v>40.700000000000003</v>
      </c>
      <c r="Q124" s="229">
        <v>1.7600000000000001E-2</v>
      </c>
      <c r="R124" s="231">
        <v>2365.4</v>
      </c>
      <c r="S124" s="231">
        <v>2325</v>
      </c>
      <c r="T124" s="228">
        <v>40.4</v>
      </c>
      <c r="U124" s="229">
        <v>1.7399999999999999E-2</v>
      </c>
      <c r="V124" s="231">
        <v>2369</v>
      </c>
      <c r="W124" s="231">
        <v>2326</v>
      </c>
      <c r="X124" s="228">
        <v>43</v>
      </c>
      <c r="Y124" s="229">
        <v>1.8499999999999999E-2</v>
      </c>
      <c r="Z124" s="228">
        <v>2.7</v>
      </c>
      <c r="AA124" s="228">
        <v>5.6</v>
      </c>
      <c r="AB124" s="228">
        <v>-2.9</v>
      </c>
      <c r="AC124" s="229">
        <v>1.1000000000000001E-3</v>
      </c>
      <c r="AD124" s="228">
        <v>2.7</v>
      </c>
      <c r="AE124" s="228">
        <v>5.6</v>
      </c>
      <c r="AF124" s="228">
        <v>-2.9</v>
      </c>
      <c r="AG124" s="229">
        <v>1.1000000000000001E-3</v>
      </c>
      <c r="AH124" s="228">
        <v>16.600000000000001</v>
      </c>
      <c r="AI124" s="228">
        <v>19.8</v>
      </c>
      <c r="AJ124" s="228">
        <v>-3.2</v>
      </c>
      <c r="AK124" s="229">
        <v>7.1000000000000004E-3</v>
      </c>
      <c r="AL124" s="228">
        <v>20.2</v>
      </c>
      <c r="AM124" s="228">
        <v>20.8</v>
      </c>
      <c r="AN124" s="228">
        <v>-0.6</v>
      </c>
      <c r="AO124" s="229">
        <v>8.6E-3</v>
      </c>
      <c r="AP124" s="231">
        <v>2348.39</v>
      </c>
      <c r="AQ124" s="231">
        <v>2361.15</v>
      </c>
      <c r="AR124" s="228">
        <v>0</v>
      </c>
      <c r="AS124" s="228">
        <v>375</v>
      </c>
      <c r="AT124" s="228">
        <v>202</v>
      </c>
      <c r="AU124" s="228">
        <v>173</v>
      </c>
      <c r="AV124" s="229">
        <v>0.85419999999999996</v>
      </c>
      <c r="AW124" s="228">
        <v>351</v>
      </c>
      <c r="AX124" s="228">
        <v>195</v>
      </c>
      <c r="AY124" s="228">
        <v>156</v>
      </c>
      <c r="AZ124" s="229">
        <v>0.80259999999999998</v>
      </c>
      <c r="BA124" s="228">
        <v>20</v>
      </c>
      <c r="BB124" s="228">
        <v>6</v>
      </c>
      <c r="BC124" s="228">
        <v>13</v>
      </c>
      <c r="BD124" s="229">
        <v>2.1429</v>
      </c>
      <c r="BE124" s="228">
        <v>4</v>
      </c>
      <c r="BF124" s="228">
        <v>1</v>
      </c>
      <c r="BG124" s="228">
        <v>3</v>
      </c>
      <c r="BH124" s="229">
        <v>2.6364000000000001</v>
      </c>
      <c r="BI124" s="230">
        <v>1534</v>
      </c>
      <c r="BJ124" s="228">
        <v>446</v>
      </c>
      <c r="BK124" s="230">
        <v>1088</v>
      </c>
      <c r="BL124" s="229">
        <v>2.4369000000000001</v>
      </c>
      <c r="BM124" s="228">
        <v>467</v>
      </c>
      <c r="BN124" s="228">
        <v>307</v>
      </c>
      <c r="BO124" s="228">
        <v>161</v>
      </c>
      <c r="BP124" s="229">
        <v>0.52349999999999997</v>
      </c>
      <c r="BQ124" s="230">
        <v>2376</v>
      </c>
      <c r="BR124" s="228">
        <v>955</v>
      </c>
      <c r="BS124" s="230">
        <v>1421</v>
      </c>
      <c r="BT124" s="229">
        <v>1.4873000000000001</v>
      </c>
      <c r="BU124" s="230">
        <v>1336484</v>
      </c>
      <c r="BV124" s="230">
        <v>1111629</v>
      </c>
      <c r="BW124" s="230">
        <v>224855</v>
      </c>
      <c r="BX124" s="229">
        <v>0.20230000000000001</v>
      </c>
      <c r="BY124" s="230">
        <v>1677</v>
      </c>
      <c r="BZ124" s="230">
        <v>1643</v>
      </c>
      <c r="CA124" s="228">
        <v>34</v>
      </c>
      <c r="CB124" s="229">
        <v>2.0400000000000001E-2</v>
      </c>
      <c r="CC124" s="230">
        <v>1583</v>
      </c>
      <c r="CD124" s="230">
        <v>1554</v>
      </c>
      <c r="CE124" s="228">
        <v>29</v>
      </c>
      <c r="CF124" s="229">
        <v>1.8599999999999998E-2</v>
      </c>
      <c r="CG124" s="228">
        <v>92</v>
      </c>
      <c r="CH124" s="228">
        <v>87</v>
      </c>
      <c r="CI124" s="228">
        <v>5</v>
      </c>
      <c r="CJ124" s="229">
        <v>5.3800000000000001E-2</v>
      </c>
      <c r="CK124" s="228">
        <v>2</v>
      </c>
      <c r="CL124" s="228">
        <v>2</v>
      </c>
      <c r="CM124" s="228">
        <v>0</v>
      </c>
      <c r="CN124" s="229">
        <v>0</v>
      </c>
      <c r="CO124" s="228">
        <v>675</v>
      </c>
      <c r="CP124" s="228">
        <v>430</v>
      </c>
      <c r="CQ124" s="228">
        <v>246</v>
      </c>
      <c r="CR124" s="229">
        <v>0.57189999999999996</v>
      </c>
      <c r="CS124" s="228">
        <v>426</v>
      </c>
      <c r="CT124" s="228">
        <v>344</v>
      </c>
      <c r="CU124" s="228">
        <v>82</v>
      </c>
      <c r="CV124" s="229">
        <v>0.2387</v>
      </c>
      <c r="CW124" s="230">
        <v>2779</v>
      </c>
      <c r="CX124" s="230">
        <v>2417</v>
      </c>
      <c r="CY124" s="228">
        <v>361</v>
      </c>
      <c r="CZ124" s="229">
        <v>0.14949999999999999</v>
      </c>
      <c r="DA124" s="228">
        <v>31.55</v>
      </c>
      <c r="DB124" s="228">
        <v>29.73</v>
      </c>
      <c r="DC124" s="228">
        <v>1.82</v>
      </c>
      <c r="DD124" s="228">
        <v>1.82</v>
      </c>
      <c r="DE124" s="228">
        <v>27.67</v>
      </c>
      <c r="DF124" s="228">
        <v>27.64</v>
      </c>
      <c r="DG124" s="228">
        <v>3.88</v>
      </c>
      <c r="DH124" s="228">
        <v>0.03</v>
      </c>
      <c r="DI124" s="228">
        <v>31.59</v>
      </c>
      <c r="DJ124" s="228">
        <v>29.7</v>
      </c>
      <c r="DK124" s="228">
        <v>1.89</v>
      </c>
      <c r="DL124" s="228">
        <v>1.89</v>
      </c>
      <c r="DM124" s="228">
        <v>31.41</v>
      </c>
      <c r="DN124" s="228">
        <v>29.77</v>
      </c>
      <c r="DO124" s="228">
        <v>1.64</v>
      </c>
      <c r="DP124" s="228">
        <v>1.64</v>
      </c>
      <c r="DQ124" s="228">
        <v>0.63</v>
      </c>
      <c r="DR124" s="228">
        <v>0.8</v>
      </c>
      <c r="DS124" s="228">
        <v>-0.17</v>
      </c>
      <c r="DT124" s="229">
        <v>-0.21249999999999999</v>
      </c>
      <c r="DU124" s="231">
        <v>2400</v>
      </c>
      <c r="DV124" s="231">
        <v>2300</v>
      </c>
      <c r="DW124" s="228">
        <v>0.3</v>
      </c>
      <c r="DX124" s="228">
        <v>0.69</v>
      </c>
      <c r="DY124" s="228">
        <v>-0.39</v>
      </c>
      <c r="DZ124" s="229">
        <v>-0.56520000000000004</v>
      </c>
      <c r="EA124" s="229">
        <v>5.6000000000000001E-2</v>
      </c>
      <c r="EB124" s="230">
        <v>379525</v>
      </c>
      <c r="EC124" s="229">
        <v>5.8999999999999999E-3</v>
      </c>
      <c r="ED124" s="229">
        <v>5.6000000000000001E-2</v>
      </c>
      <c r="EE124" s="228">
        <v>12.76</v>
      </c>
      <c r="EF124" s="229">
        <v>5.4000000000000003E-3</v>
      </c>
      <c r="EG124" s="230">
        <v>705629</v>
      </c>
      <c r="EH124" s="230">
        <v>711351</v>
      </c>
      <c r="EI124" s="229">
        <v>-8.0000000000000002E-3</v>
      </c>
      <c r="EJ124" s="229">
        <v>0.52800000000000002</v>
      </c>
      <c r="EK124" s="231">
        <v>1618.91</v>
      </c>
      <c r="EL124" s="228">
        <v>457.83</v>
      </c>
      <c r="EM124" s="228">
        <v>374.69</v>
      </c>
      <c r="EN124" s="228">
        <v>72.010000000000005</v>
      </c>
      <c r="EO124" s="231">
        <v>2451.4299999999998</v>
      </c>
      <c r="EP124" s="228">
        <v>956.07</v>
      </c>
      <c r="EQ124" s="231">
        <v>1495.36</v>
      </c>
      <c r="ER124" s="229">
        <v>1.5641</v>
      </c>
      <c r="ES124" s="228">
        <v>699.83</v>
      </c>
      <c r="ET124" s="228">
        <v>404.71</v>
      </c>
      <c r="EU124" s="231">
        <v>1677.43</v>
      </c>
      <c r="EV124" s="231">
        <v>32222448</v>
      </c>
      <c r="EW124" s="231">
        <v>2781.97</v>
      </c>
      <c r="EX124" s="231">
        <v>2382.04</v>
      </c>
      <c r="EY124" s="228">
        <v>399.93</v>
      </c>
      <c r="EZ124" s="229">
        <v>0.16789999999999999</v>
      </c>
      <c r="FA124" s="229">
        <v>0.36670000000000003</v>
      </c>
      <c r="FB124" s="227" t="s">
        <v>555</v>
      </c>
      <c r="FC124">
        <f t="shared" si="1"/>
        <v>94</v>
      </c>
    </row>
    <row r="125" spans="1:159" ht="17.25" thickBot="1" x14ac:dyDescent="0.3">
      <c r="A125" s="226">
        <v>46146</v>
      </c>
      <c r="B125" s="227" t="s">
        <v>162</v>
      </c>
      <c r="C125" s="227" t="s">
        <v>251</v>
      </c>
      <c r="D125" s="228">
        <v>200</v>
      </c>
      <c r="E125" s="228">
        <v>22</v>
      </c>
      <c r="F125" s="231">
        <v>3120.2</v>
      </c>
      <c r="G125" s="231">
        <v>3115</v>
      </c>
      <c r="H125" s="228">
        <v>5.2</v>
      </c>
      <c r="I125" s="229">
        <v>1.6999999999999999E-3</v>
      </c>
      <c r="J125" s="231">
        <v>3106.5</v>
      </c>
      <c r="K125" s="231">
        <v>3097.5</v>
      </c>
      <c r="L125" s="228">
        <v>9</v>
      </c>
      <c r="M125" s="229">
        <v>2.8999999999999998E-3</v>
      </c>
      <c r="N125" s="231">
        <v>3120.2</v>
      </c>
      <c r="O125" s="231">
        <v>3115</v>
      </c>
      <c r="P125" s="228">
        <v>5.2</v>
      </c>
      <c r="Q125" s="229">
        <v>1.6999999999999999E-3</v>
      </c>
      <c r="R125" s="231">
        <v>3141.5</v>
      </c>
      <c r="S125" s="231">
        <v>3135.4</v>
      </c>
      <c r="T125" s="228">
        <v>6.1</v>
      </c>
      <c r="U125" s="229">
        <v>1.9E-3</v>
      </c>
      <c r="V125" s="231">
        <v>3132.7</v>
      </c>
      <c r="W125" s="231">
        <v>3126</v>
      </c>
      <c r="X125" s="228">
        <v>6.7</v>
      </c>
      <c r="Y125" s="229">
        <v>2.0999999999999999E-3</v>
      </c>
      <c r="Z125" s="228">
        <v>13.7</v>
      </c>
      <c r="AA125" s="228">
        <v>17.5</v>
      </c>
      <c r="AB125" s="228">
        <v>-3.8</v>
      </c>
      <c r="AC125" s="229">
        <v>4.4000000000000003E-3</v>
      </c>
      <c r="AD125" s="228">
        <v>13.7</v>
      </c>
      <c r="AE125" s="228">
        <v>17.5</v>
      </c>
      <c r="AF125" s="228">
        <v>-3.8</v>
      </c>
      <c r="AG125" s="229">
        <v>4.4000000000000003E-3</v>
      </c>
      <c r="AH125" s="228">
        <v>35</v>
      </c>
      <c r="AI125" s="228">
        <v>37.9</v>
      </c>
      <c r="AJ125" s="228">
        <v>-2.9</v>
      </c>
      <c r="AK125" s="229">
        <v>1.1299999999999999E-2</v>
      </c>
      <c r="AL125" s="228">
        <v>26.2</v>
      </c>
      <c r="AM125" s="228">
        <v>28.5</v>
      </c>
      <c r="AN125" s="228">
        <v>-2.2999999999999998</v>
      </c>
      <c r="AO125" s="229">
        <v>8.3999999999999995E-3</v>
      </c>
      <c r="AP125" s="231">
        <v>3135.2</v>
      </c>
      <c r="AQ125" s="231">
        <v>3153.4</v>
      </c>
      <c r="AR125" s="228">
        <v>0</v>
      </c>
      <c r="AS125" s="228">
        <v>976</v>
      </c>
      <c r="AT125" s="228">
        <v>656</v>
      </c>
      <c r="AU125" s="228">
        <v>320</v>
      </c>
      <c r="AV125" s="229">
        <v>0.48670000000000002</v>
      </c>
      <c r="AW125" s="228">
        <v>915</v>
      </c>
      <c r="AX125" s="228">
        <v>607</v>
      </c>
      <c r="AY125" s="228">
        <v>308</v>
      </c>
      <c r="AZ125" s="229">
        <v>0.50700000000000001</v>
      </c>
      <c r="BA125" s="228">
        <v>51</v>
      </c>
      <c r="BB125" s="228">
        <v>38</v>
      </c>
      <c r="BC125" s="228">
        <v>13</v>
      </c>
      <c r="BD125" s="229">
        <v>0.32950000000000002</v>
      </c>
      <c r="BE125" s="228">
        <v>10</v>
      </c>
      <c r="BF125" s="228">
        <v>11</v>
      </c>
      <c r="BG125" s="228">
        <v>-1</v>
      </c>
      <c r="BH125" s="229">
        <v>-9.1399999999999995E-2</v>
      </c>
      <c r="BI125" s="230">
        <v>2814</v>
      </c>
      <c r="BJ125" s="230">
        <v>1450</v>
      </c>
      <c r="BK125" s="230">
        <v>1364</v>
      </c>
      <c r="BL125" s="229">
        <v>0.94059999999999999</v>
      </c>
      <c r="BM125" s="230">
        <v>1050</v>
      </c>
      <c r="BN125" s="230">
        <v>1062</v>
      </c>
      <c r="BO125" s="228">
        <v>-12</v>
      </c>
      <c r="BP125" s="229">
        <v>-1.1299999999999999E-2</v>
      </c>
      <c r="BQ125" s="230">
        <v>4840</v>
      </c>
      <c r="BR125" s="230">
        <v>3168</v>
      </c>
      <c r="BS125" s="230">
        <v>1672</v>
      </c>
      <c r="BT125" s="229">
        <v>0.52759999999999996</v>
      </c>
      <c r="BU125" s="230">
        <v>2976483</v>
      </c>
      <c r="BV125" s="230">
        <v>3564479</v>
      </c>
      <c r="BW125" s="230">
        <v>-587996</v>
      </c>
      <c r="BX125" s="229">
        <v>-0.16500000000000001</v>
      </c>
      <c r="BY125" s="230">
        <v>6372</v>
      </c>
      <c r="BZ125" s="230">
        <v>6222</v>
      </c>
      <c r="CA125" s="228">
        <v>149</v>
      </c>
      <c r="CB125" s="229">
        <v>2.4E-2</v>
      </c>
      <c r="CC125" s="230">
        <v>5477</v>
      </c>
      <c r="CD125" s="230">
        <v>5359</v>
      </c>
      <c r="CE125" s="228">
        <v>118</v>
      </c>
      <c r="CF125" s="229">
        <v>2.1999999999999999E-2</v>
      </c>
      <c r="CG125" s="228">
        <v>880</v>
      </c>
      <c r="CH125" s="228">
        <v>853</v>
      </c>
      <c r="CI125" s="228">
        <v>26</v>
      </c>
      <c r="CJ125" s="229">
        <v>3.0499999999999999E-2</v>
      </c>
      <c r="CK125" s="228">
        <v>16</v>
      </c>
      <c r="CL125" s="228">
        <v>10</v>
      </c>
      <c r="CM125" s="228">
        <v>5</v>
      </c>
      <c r="CN125" s="229">
        <v>0.49399999999999999</v>
      </c>
      <c r="CO125" s="230">
        <v>1434</v>
      </c>
      <c r="CP125" s="230">
        <v>1110</v>
      </c>
      <c r="CQ125" s="228">
        <v>324</v>
      </c>
      <c r="CR125" s="229">
        <v>0.29189999999999999</v>
      </c>
      <c r="CS125" s="230">
        <v>1154</v>
      </c>
      <c r="CT125" s="228">
        <v>988</v>
      </c>
      <c r="CU125" s="228">
        <v>165</v>
      </c>
      <c r="CV125" s="229">
        <v>0.16739999999999999</v>
      </c>
      <c r="CW125" s="230">
        <v>8960</v>
      </c>
      <c r="CX125" s="230">
        <v>8321</v>
      </c>
      <c r="CY125" s="228">
        <v>639</v>
      </c>
      <c r="CZ125" s="229">
        <v>7.6799999999999993E-2</v>
      </c>
      <c r="DA125" s="228">
        <v>38.130000000000003</v>
      </c>
      <c r="DB125" s="228">
        <v>35.5</v>
      </c>
      <c r="DC125" s="228">
        <v>2.63</v>
      </c>
      <c r="DD125" s="228">
        <v>2.63</v>
      </c>
      <c r="DE125" s="228">
        <v>35.6</v>
      </c>
      <c r="DF125" s="228">
        <v>35.68</v>
      </c>
      <c r="DG125" s="228">
        <v>2.5299999999999998</v>
      </c>
      <c r="DH125" s="228">
        <v>-0.08</v>
      </c>
      <c r="DI125" s="228">
        <v>38.07</v>
      </c>
      <c r="DJ125" s="228">
        <v>35.299999999999997</v>
      </c>
      <c r="DK125" s="228">
        <v>2.77</v>
      </c>
      <c r="DL125" s="228">
        <v>2.77</v>
      </c>
      <c r="DM125" s="228">
        <v>38.26</v>
      </c>
      <c r="DN125" s="228">
        <v>35.770000000000003</v>
      </c>
      <c r="DO125" s="228">
        <v>2.4900000000000002</v>
      </c>
      <c r="DP125" s="228">
        <v>2.4900000000000002</v>
      </c>
      <c r="DQ125" s="228">
        <v>0.8</v>
      </c>
      <c r="DR125" s="228">
        <v>0.89</v>
      </c>
      <c r="DS125" s="228">
        <v>-0.09</v>
      </c>
      <c r="DT125" s="229">
        <v>-0.1011</v>
      </c>
      <c r="DU125" s="231">
        <v>3200</v>
      </c>
      <c r="DV125" s="231">
        <v>3100</v>
      </c>
      <c r="DW125" s="228">
        <v>0.37</v>
      </c>
      <c r="DX125" s="228">
        <v>0.73</v>
      </c>
      <c r="DY125" s="228">
        <v>-0.36</v>
      </c>
      <c r="DZ125" s="229">
        <v>-0.49320000000000003</v>
      </c>
      <c r="EA125" s="229">
        <v>0.14050000000000001</v>
      </c>
      <c r="EB125" s="230">
        <v>2769000</v>
      </c>
      <c r="EC125" s="229">
        <v>6.7999999999999996E-3</v>
      </c>
      <c r="ED125" s="229">
        <v>0.14050000000000001</v>
      </c>
      <c r="EE125" s="228">
        <v>18.2</v>
      </c>
      <c r="EF125" s="229">
        <v>5.7999999999999996E-3</v>
      </c>
      <c r="EG125" s="230">
        <v>1476877</v>
      </c>
      <c r="EH125" s="230">
        <v>1851272</v>
      </c>
      <c r="EI125" s="229">
        <v>-0.20219999999999999</v>
      </c>
      <c r="EJ125" s="229">
        <v>0.49619999999999997</v>
      </c>
      <c r="EK125" s="231">
        <v>2995.97</v>
      </c>
      <c r="EL125" s="231">
        <v>1052.05</v>
      </c>
      <c r="EM125" s="228">
        <v>980.97</v>
      </c>
      <c r="EN125" s="228">
        <v>242.48</v>
      </c>
      <c r="EO125" s="231">
        <v>5029</v>
      </c>
      <c r="EP125" s="231">
        <v>3242.45</v>
      </c>
      <c r="EQ125" s="231">
        <v>1786.54</v>
      </c>
      <c r="ER125" s="229">
        <v>0.55100000000000005</v>
      </c>
      <c r="ES125" s="231">
        <v>1500.53</v>
      </c>
      <c r="ET125" s="231">
        <v>1142.3399999999999</v>
      </c>
      <c r="EU125" s="231">
        <v>6377.83</v>
      </c>
      <c r="EV125" s="231">
        <v>120808308</v>
      </c>
      <c r="EW125" s="231">
        <v>9020.7000000000007</v>
      </c>
      <c r="EX125" s="231">
        <v>8359.06</v>
      </c>
      <c r="EY125" s="228">
        <v>661.64</v>
      </c>
      <c r="EZ125" s="229">
        <v>7.9200000000000007E-2</v>
      </c>
      <c r="FA125" s="229">
        <v>0.23769999999999999</v>
      </c>
      <c r="FB125" s="227" t="s">
        <v>555</v>
      </c>
      <c r="FC125">
        <f t="shared" si="1"/>
        <v>895</v>
      </c>
    </row>
    <row r="126" spans="1:159" ht="17.25" thickBot="1" x14ac:dyDescent="0.3">
      <c r="A126" s="226">
        <v>46146</v>
      </c>
      <c r="B126" s="227" t="s">
        <v>175</v>
      </c>
      <c r="C126" s="227" t="s">
        <v>253</v>
      </c>
      <c r="D126" s="228">
        <v>3000</v>
      </c>
      <c r="E126" s="228">
        <v>22</v>
      </c>
      <c r="F126" s="228">
        <v>306.7</v>
      </c>
      <c r="G126" s="228">
        <v>295.8</v>
      </c>
      <c r="H126" s="228">
        <v>10.9</v>
      </c>
      <c r="I126" s="229">
        <v>3.6799999999999999E-2</v>
      </c>
      <c r="J126" s="228">
        <v>305.14999999999998</v>
      </c>
      <c r="K126" s="228">
        <v>294.35000000000002</v>
      </c>
      <c r="L126" s="228">
        <v>10.8</v>
      </c>
      <c r="M126" s="229">
        <v>3.6700000000000003E-2</v>
      </c>
      <c r="N126" s="228">
        <v>306.7</v>
      </c>
      <c r="O126" s="228">
        <v>295.8</v>
      </c>
      <c r="P126" s="228">
        <v>10.9</v>
      </c>
      <c r="Q126" s="229">
        <v>3.6799999999999999E-2</v>
      </c>
      <c r="R126" s="228">
        <v>307.7</v>
      </c>
      <c r="S126" s="228">
        <v>297.35000000000002</v>
      </c>
      <c r="T126" s="228">
        <v>10.35</v>
      </c>
      <c r="U126" s="229">
        <v>3.4799999999999998E-2</v>
      </c>
      <c r="V126" s="228">
        <v>310.2</v>
      </c>
      <c r="W126" s="228">
        <v>0</v>
      </c>
      <c r="X126" s="228">
        <v>310.2</v>
      </c>
      <c r="Y126" s="229">
        <v>0</v>
      </c>
      <c r="Z126" s="228">
        <v>1.55</v>
      </c>
      <c r="AA126" s="228">
        <v>1.45</v>
      </c>
      <c r="AB126" s="228">
        <v>0.1</v>
      </c>
      <c r="AC126" s="229">
        <v>5.1000000000000004E-3</v>
      </c>
      <c r="AD126" s="228">
        <v>1.55</v>
      </c>
      <c r="AE126" s="228">
        <v>1.45</v>
      </c>
      <c r="AF126" s="228">
        <v>0.1</v>
      </c>
      <c r="AG126" s="229">
        <v>5.1000000000000004E-3</v>
      </c>
      <c r="AH126" s="228">
        <v>2.5499999999999998</v>
      </c>
      <c r="AI126" s="228">
        <v>3</v>
      </c>
      <c r="AJ126" s="228">
        <v>-0.45</v>
      </c>
      <c r="AK126" s="229">
        <v>8.3999999999999995E-3</v>
      </c>
      <c r="AL126" s="228">
        <v>5.05</v>
      </c>
      <c r="AM126" s="228">
        <v>0</v>
      </c>
      <c r="AN126" s="228">
        <v>5.05</v>
      </c>
      <c r="AO126" s="229">
        <v>1.6500000000000001E-2</v>
      </c>
      <c r="AP126" s="228">
        <v>305.67</v>
      </c>
      <c r="AQ126" s="228">
        <v>307.2</v>
      </c>
      <c r="AR126" s="228">
        <v>0</v>
      </c>
      <c r="AS126" s="228">
        <v>665</v>
      </c>
      <c r="AT126" s="228">
        <v>227</v>
      </c>
      <c r="AU126" s="228">
        <v>438</v>
      </c>
      <c r="AV126" s="229">
        <v>1.9338</v>
      </c>
      <c r="AW126" s="228">
        <v>656</v>
      </c>
      <c r="AX126" s="228">
        <v>223</v>
      </c>
      <c r="AY126" s="228">
        <v>433</v>
      </c>
      <c r="AZ126" s="229">
        <v>1.9390000000000001</v>
      </c>
      <c r="BA126" s="228">
        <v>8</v>
      </c>
      <c r="BB126" s="228">
        <v>3</v>
      </c>
      <c r="BC126" s="228">
        <v>4</v>
      </c>
      <c r="BD126" s="229">
        <v>1.2778</v>
      </c>
      <c r="BE126" s="228">
        <v>1</v>
      </c>
      <c r="BF126" s="228">
        <v>0</v>
      </c>
      <c r="BG126" s="228">
        <v>1</v>
      </c>
      <c r="BH126" s="229">
        <v>0</v>
      </c>
      <c r="BI126" s="230">
        <v>1120</v>
      </c>
      <c r="BJ126" s="228">
        <v>247</v>
      </c>
      <c r="BK126" s="228">
        <v>873</v>
      </c>
      <c r="BL126" s="229">
        <v>3.5276999999999998</v>
      </c>
      <c r="BM126" s="228">
        <v>492</v>
      </c>
      <c r="BN126" s="228">
        <v>82</v>
      </c>
      <c r="BO126" s="228">
        <v>411</v>
      </c>
      <c r="BP126" s="229">
        <v>5.0247999999999999</v>
      </c>
      <c r="BQ126" s="230">
        <v>2277</v>
      </c>
      <c r="BR126" s="228">
        <v>556</v>
      </c>
      <c r="BS126" s="230">
        <v>1722</v>
      </c>
      <c r="BT126" s="229">
        <v>3.0977999999999999</v>
      </c>
      <c r="BU126" s="230">
        <v>8582145</v>
      </c>
      <c r="BV126" s="230">
        <v>3819443</v>
      </c>
      <c r="BW126" s="230">
        <v>4762702</v>
      </c>
      <c r="BX126" s="229">
        <v>1.2470000000000001</v>
      </c>
      <c r="BY126" s="230">
        <v>1621</v>
      </c>
      <c r="BZ126" s="230">
        <v>1595</v>
      </c>
      <c r="CA126" s="228">
        <v>26</v>
      </c>
      <c r="CB126" s="229">
        <v>1.66E-2</v>
      </c>
      <c r="CC126" s="230">
        <v>1611</v>
      </c>
      <c r="CD126" s="230">
        <v>1586</v>
      </c>
      <c r="CE126" s="228">
        <v>25</v>
      </c>
      <c r="CF126" s="229">
        <v>1.5900000000000001E-2</v>
      </c>
      <c r="CG126" s="228">
        <v>10</v>
      </c>
      <c r="CH126" s="228">
        <v>9</v>
      </c>
      <c r="CI126" s="228">
        <v>1</v>
      </c>
      <c r="CJ126" s="229">
        <v>0.09</v>
      </c>
      <c r="CK126" s="228">
        <v>0</v>
      </c>
      <c r="CL126" s="228">
        <v>0</v>
      </c>
      <c r="CM126" s="228">
        <v>0</v>
      </c>
      <c r="CN126" s="229">
        <v>0</v>
      </c>
      <c r="CO126" s="228">
        <v>397</v>
      </c>
      <c r="CP126" s="228">
        <v>310</v>
      </c>
      <c r="CQ126" s="228">
        <v>86</v>
      </c>
      <c r="CR126" s="229">
        <v>0.2777</v>
      </c>
      <c r="CS126" s="228">
        <v>259</v>
      </c>
      <c r="CT126" s="228">
        <v>167</v>
      </c>
      <c r="CU126" s="228">
        <v>93</v>
      </c>
      <c r="CV126" s="229">
        <v>0.55600000000000005</v>
      </c>
      <c r="CW126" s="230">
        <v>2277</v>
      </c>
      <c r="CX126" s="230">
        <v>2072</v>
      </c>
      <c r="CY126" s="228">
        <v>205</v>
      </c>
      <c r="CZ126" s="229">
        <v>9.9099999999999994E-2</v>
      </c>
      <c r="DA126" s="228">
        <v>42.83</v>
      </c>
      <c r="DB126" s="228">
        <v>42.41</v>
      </c>
      <c r="DC126" s="228">
        <v>0.42</v>
      </c>
      <c r="DD126" s="228">
        <v>0.42</v>
      </c>
      <c r="DE126" s="228">
        <v>42.83</v>
      </c>
      <c r="DF126" s="228">
        <v>42.66</v>
      </c>
      <c r="DG126" s="228">
        <v>0</v>
      </c>
      <c r="DH126" s="228">
        <v>0.17</v>
      </c>
      <c r="DI126" s="228">
        <v>42.55</v>
      </c>
      <c r="DJ126" s="228">
        <v>42.3</v>
      </c>
      <c r="DK126" s="228">
        <v>0.25</v>
      </c>
      <c r="DL126" s="228">
        <v>0.25</v>
      </c>
      <c r="DM126" s="228">
        <v>43.46</v>
      </c>
      <c r="DN126" s="228">
        <v>42.75</v>
      </c>
      <c r="DO126" s="228">
        <v>0.71</v>
      </c>
      <c r="DP126" s="228">
        <v>0.71</v>
      </c>
      <c r="DQ126" s="228">
        <v>0.65</v>
      </c>
      <c r="DR126" s="228">
        <v>0.54</v>
      </c>
      <c r="DS126" s="228">
        <v>0.11</v>
      </c>
      <c r="DT126" s="229">
        <v>0.20369999999999999</v>
      </c>
      <c r="DU126" s="228">
        <v>310</v>
      </c>
      <c r="DV126" s="228">
        <v>270</v>
      </c>
      <c r="DW126" s="228">
        <v>0.44</v>
      </c>
      <c r="DX126" s="228">
        <v>0.33</v>
      </c>
      <c r="DY126" s="228">
        <v>0.11</v>
      </c>
      <c r="DZ126" s="229">
        <v>0.33329999999999999</v>
      </c>
      <c r="EA126" s="229">
        <v>6.4000000000000003E-3</v>
      </c>
      <c r="EB126" s="230">
        <v>300000</v>
      </c>
      <c r="EC126" s="229">
        <v>3.3E-3</v>
      </c>
      <c r="ED126" s="229">
        <v>6.4000000000000003E-3</v>
      </c>
      <c r="EE126" s="228">
        <v>1.53</v>
      </c>
      <c r="EF126" s="229">
        <v>5.0000000000000001E-3</v>
      </c>
      <c r="EG126" s="230">
        <v>3591576</v>
      </c>
      <c r="EH126" s="230">
        <v>1822095</v>
      </c>
      <c r="EI126" s="229">
        <v>0.97109999999999996</v>
      </c>
      <c r="EJ126" s="229">
        <v>0.41849999999999998</v>
      </c>
      <c r="EK126" s="231">
        <v>1181.6500000000001</v>
      </c>
      <c r="EL126" s="228">
        <v>476.44</v>
      </c>
      <c r="EM126" s="228">
        <v>662.68</v>
      </c>
      <c r="EN126" s="228">
        <v>61</v>
      </c>
      <c r="EO126" s="231">
        <v>2320.77</v>
      </c>
      <c r="EP126" s="228">
        <v>550.67999999999995</v>
      </c>
      <c r="EQ126" s="231">
        <v>1770.08</v>
      </c>
      <c r="ER126" s="229">
        <v>3.2143000000000002</v>
      </c>
      <c r="ES126" s="228">
        <v>394.93</v>
      </c>
      <c r="ET126" s="228">
        <v>239.4</v>
      </c>
      <c r="EU126" s="231">
        <v>1621.25</v>
      </c>
      <c r="EV126" s="231">
        <v>82205057</v>
      </c>
      <c r="EW126" s="231">
        <v>2255.58</v>
      </c>
      <c r="EX126" s="231">
        <v>1991.06</v>
      </c>
      <c r="EY126" s="228">
        <v>264.52</v>
      </c>
      <c r="EZ126" s="229">
        <v>0.13289999999999999</v>
      </c>
      <c r="FA126" s="229">
        <v>0.9032</v>
      </c>
      <c r="FB126" s="227" t="s">
        <v>555</v>
      </c>
      <c r="FC126">
        <f t="shared" si="1"/>
        <v>10</v>
      </c>
    </row>
    <row r="127" spans="1:159" ht="17.25" thickBot="1" x14ac:dyDescent="0.3">
      <c r="A127" s="226">
        <v>46146</v>
      </c>
      <c r="B127" s="227" t="s">
        <v>170</v>
      </c>
      <c r="C127" s="227" t="s">
        <v>669</v>
      </c>
      <c r="D127" s="228">
        <v>225</v>
      </c>
      <c r="E127" s="228">
        <v>22</v>
      </c>
      <c r="F127" s="231">
        <v>2269.6</v>
      </c>
      <c r="G127" s="231">
        <v>2252.1</v>
      </c>
      <c r="H127" s="228">
        <v>17.5</v>
      </c>
      <c r="I127" s="229">
        <v>7.7999999999999996E-3</v>
      </c>
      <c r="J127" s="231">
        <v>2257.8000000000002</v>
      </c>
      <c r="K127" s="231">
        <v>2246.6999999999998</v>
      </c>
      <c r="L127" s="228">
        <v>11.1</v>
      </c>
      <c r="M127" s="229">
        <v>4.8999999999999998E-3</v>
      </c>
      <c r="N127" s="231">
        <v>2269.6</v>
      </c>
      <c r="O127" s="231">
        <v>2252.1</v>
      </c>
      <c r="P127" s="228">
        <v>17.5</v>
      </c>
      <c r="Q127" s="229">
        <v>7.7999999999999996E-3</v>
      </c>
      <c r="R127" s="231">
        <v>2271</v>
      </c>
      <c r="S127" s="231">
        <v>2257.8000000000002</v>
      </c>
      <c r="T127" s="228">
        <v>13.2</v>
      </c>
      <c r="U127" s="229">
        <v>5.7999999999999996E-3</v>
      </c>
      <c r="V127" s="228">
        <v>0</v>
      </c>
      <c r="W127" s="228">
        <v>0</v>
      </c>
      <c r="X127" s="228">
        <v>0</v>
      </c>
      <c r="Y127" s="229">
        <v>0</v>
      </c>
      <c r="Z127" s="228">
        <v>11.8</v>
      </c>
      <c r="AA127" s="228">
        <v>5.4</v>
      </c>
      <c r="AB127" s="228">
        <v>6.4</v>
      </c>
      <c r="AC127" s="229">
        <v>5.1999999999999998E-3</v>
      </c>
      <c r="AD127" s="228">
        <v>11.8</v>
      </c>
      <c r="AE127" s="228">
        <v>5.4</v>
      </c>
      <c r="AF127" s="228">
        <v>6.4</v>
      </c>
      <c r="AG127" s="229">
        <v>5.1999999999999998E-3</v>
      </c>
      <c r="AH127" s="228">
        <v>13.2</v>
      </c>
      <c r="AI127" s="228">
        <v>11.1</v>
      </c>
      <c r="AJ127" s="228">
        <v>2.1</v>
      </c>
      <c r="AK127" s="229">
        <v>5.7999999999999996E-3</v>
      </c>
      <c r="AL127" s="228">
        <v>0</v>
      </c>
      <c r="AM127" s="228">
        <v>0</v>
      </c>
      <c r="AN127" s="228">
        <v>0</v>
      </c>
      <c r="AO127" s="229">
        <v>0</v>
      </c>
      <c r="AP127" s="231">
        <v>2276.44</v>
      </c>
      <c r="AQ127" s="231">
        <v>2280.6799999999998</v>
      </c>
      <c r="AR127" s="228">
        <v>0</v>
      </c>
      <c r="AS127" s="228">
        <v>53</v>
      </c>
      <c r="AT127" s="228">
        <v>44</v>
      </c>
      <c r="AU127" s="228">
        <v>9</v>
      </c>
      <c r="AV127" s="229">
        <v>0.2039</v>
      </c>
      <c r="AW127" s="228">
        <v>52</v>
      </c>
      <c r="AX127" s="228">
        <v>43</v>
      </c>
      <c r="AY127" s="228">
        <v>9</v>
      </c>
      <c r="AZ127" s="229">
        <v>0.2031</v>
      </c>
      <c r="BA127" s="228">
        <v>1</v>
      </c>
      <c r="BB127" s="228">
        <v>1</v>
      </c>
      <c r="BC127" s="228">
        <v>0</v>
      </c>
      <c r="BD127" s="229">
        <v>0.23810000000000001</v>
      </c>
      <c r="BE127" s="228">
        <v>0</v>
      </c>
      <c r="BF127" s="228">
        <v>0</v>
      </c>
      <c r="BG127" s="228">
        <v>0</v>
      </c>
      <c r="BH127" s="229">
        <v>0</v>
      </c>
      <c r="BI127" s="228">
        <v>162</v>
      </c>
      <c r="BJ127" s="228">
        <v>38</v>
      </c>
      <c r="BK127" s="228">
        <v>124</v>
      </c>
      <c r="BL127" s="229">
        <v>3.2433000000000001</v>
      </c>
      <c r="BM127" s="228">
        <v>37</v>
      </c>
      <c r="BN127" s="228">
        <v>19</v>
      </c>
      <c r="BO127" s="228">
        <v>18</v>
      </c>
      <c r="BP127" s="229">
        <v>0.95140000000000002</v>
      </c>
      <c r="BQ127" s="228">
        <v>252</v>
      </c>
      <c r="BR127" s="228">
        <v>101</v>
      </c>
      <c r="BS127" s="228">
        <v>151</v>
      </c>
      <c r="BT127" s="229">
        <v>1.4879</v>
      </c>
      <c r="BU127" s="230">
        <v>167469</v>
      </c>
      <c r="BV127" s="230">
        <v>309556</v>
      </c>
      <c r="BW127" s="230">
        <v>-142087</v>
      </c>
      <c r="BX127" s="229">
        <v>-0.45900000000000002</v>
      </c>
      <c r="BY127" s="228">
        <v>797</v>
      </c>
      <c r="BZ127" s="228">
        <v>791</v>
      </c>
      <c r="CA127" s="228">
        <v>7</v>
      </c>
      <c r="CB127" s="229">
        <v>8.6999999999999994E-3</v>
      </c>
      <c r="CC127" s="228">
        <v>792</v>
      </c>
      <c r="CD127" s="228">
        <v>785</v>
      </c>
      <c r="CE127" s="228">
        <v>7</v>
      </c>
      <c r="CF127" s="229">
        <v>8.5000000000000006E-3</v>
      </c>
      <c r="CG127" s="228">
        <v>6</v>
      </c>
      <c r="CH127" s="228">
        <v>6</v>
      </c>
      <c r="CI127" s="228">
        <v>0</v>
      </c>
      <c r="CJ127" s="229">
        <v>3.6999999999999998E-2</v>
      </c>
      <c r="CK127" s="228">
        <v>0</v>
      </c>
      <c r="CL127" s="228">
        <v>0</v>
      </c>
      <c r="CM127" s="228">
        <v>0</v>
      </c>
      <c r="CN127" s="229">
        <v>0</v>
      </c>
      <c r="CO127" s="228">
        <v>112</v>
      </c>
      <c r="CP127" s="228">
        <v>78</v>
      </c>
      <c r="CQ127" s="228">
        <v>35</v>
      </c>
      <c r="CR127" s="229">
        <v>0.44929999999999998</v>
      </c>
      <c r="CS127" s="228">
        <v>92</v>
      </c>
      <c r="CT127" s="228">
        <v>87</v>
      </c>
      <c r="CU127" s="228">
        <v>5</v>
      </c>
      <c r="CV127" s="229">
        <v>5.21E-2</v>
      </c>
      <c r="CW127" s="230">
        <v>1002</v>
      </c>
      <c r="CX127" s="228">
        <v>955</v>
      </c>
      <c r="CY127" s="228">
        <v>46</v>
      </c>
      <c r="CZ127" s="229">
        <v>4.8399999999999999E-2</v>
      </c>
      <c r="DA127" s="228">
        <v>35.54</v>
      </c>
      <c r="DB127" s="228">
        <v>35.75</v>
      </c>
      <c r="DC127" s="228">
        <v>-0.21</v>
      </c>
      <c r="DD127" s="228">
        <v>-0.21</v>
      </c>
      <c r="DE127" s="228">
        <v>33.44</v>
      </c>
      <c r="DF127" s="228">
        <v>33.520000000000003</v>
      </c>
      <c r="DG127" s="228">
        <v>2.1</v>
      </c>
      <c r="DH127" s="228">
        <v>-0.08</v>
      </c>
      <c r="DI127" s="228">
        <v>35.479999999999997</v>
      </c>
      <c r="DJ127" s="228">
        <v>34.07</v>
      </c>
      <c r="DK127" s="228">
        <v>1.41</v>
      </c>
      <c r="DL127" s="228">
        <v>1.41</v>
      </c>
      <c r="DM127" s="228">
        <v>35.79</v>
      </c>
      <c r="DN127" s="228">
        <v>39.159999999999997</v>
      </c>
      <c r="DO127" s="228">
        <v>-3.37</v>
      </c>
      <c r="DP127" s="228">
        <v>-3.37</v>
      </c>
      <c r="DQ127" s="228">
        <v>0.82</v>
      </c>
      <c r="DR127" s="228">
        <v>1.1299999999999999</v>
      </c>
      <c r="DS127" s="228">
        <v>-0.31</v>
      </c>
      <c r="DT127" s="229">
        <v>-0.27429999999999999</v>
      </c>
      <c r="DU127" s="231">
        <v>2300</v>
      </c>
      <c r="DV127" s="231">
        <v>2300</v>
      </c>
      <c r="DW127" s="228">
        <v>0.23</v>
      </c>
      <c r="DX127" s="228">
        <v>0.49</v>
      </c>
      <c r="DY127" s="228">
        <v>-0.26</v>
      </c>
      <c r="DZ127" s="229">
        <v>-0.53059999999999996</v>
      </c>
      <c r="EA127" s="229">
        <v>7.1999999999999998E-3</v>
      </c>
      <c r="EB127" s="230">
        <v>24300</v>
      </c>
      <c r="EC127" s="229">
        <v>5.9999999999999995E-4</v>
      </c>
      <c r="ED127" s="229">
        <v>7.1999999999999998E-3</v>
      </c>
      <c r="EE127" s="228">
        <v>4.24</v>
      </c>
      <c r="EF127" s="229">
        <v>1.9E-3</v>
      </c>
      <c r="EG127" s="230">
        <v>76831</v>
      </c>
      <c r="EH127" s="230">
        <v>188688</v>
      </c>
      <c r="EI127" s="229">
        <v>-0.59279999999999999</v>
      </c>
      <c r="EJ127" s="229">
        <v>0.45879999999999999</v>
      </c>
      <c r="EK127" s="228">
        <v>171.8</v>
      </c>
      <c r="EL127" s="228">
        <v>35.700000000000003</v>
      </c>
      <c r="EM127" s="228">
        <v>53.53</v>
      </c>
      <c r="EN127" s="228">
        <v>39.46</v>
      </c>
      <c r="EO127" s="228">
        <v>261.02999999999997</v>
      </c>
      <c r="EP127" s="228">
        <v>101.27</v>
      </c>
      <c r="EQ127" s="228">
        <v>159.76</v>
      </c>
      <c r="ER127" s="229">
        <v>1.5775999999999999</v>
      </c>
      <c r="ES127" s="228">
        <v>115.85</v>
      </c>
      <c r="ET127" s="228">
        <v>89.07</v>
      </c>
      <c r="EU127" s="228">
        <v>797.35</v>
      </c>
      <c r="EV127" s="231">
        <v>16926669</v>
      </c>
      <c r="EW127" s="231">
        <v>1002.27</v>
      </c>
      <c r="EX127" s="228">
        <v>947.75</v>
      </c>
      <c r="EY127" s="228">
        <v>54.52</v>
      </c>
      <c r="EZ127" s="229">
        <v>5.7500000000000002E-2</v>
      </c>
      <c r="FA127" s="229">
        <v>0.26069999999999999</v>
      </c>
      <c r="FB127" s="227" t="s">
        <v>555</v>
      </c>
      <c r="FC127">
        <f t="shared" si="1"/>
        <v>5</v>
      </c>
    </row>
    <row r="128" spans="1:159" ht="17.25" thickBot="1" x14ac:dyDescent="0.3">
      <c r="A128" s="226">
        <v>46146</v>
      </c>
      <c r="B128" s="227" t="s">
        <v>168</v>
      </c>
      <c r="C128" s="227" t="s">
        <v>254</v>
      </c>
      <c r="D128" s="228">
        <v>1200</v>
      </c>
      <c r="E128" s="228">
        <v>22</v>
      </c>
      <c r="F128" s="228">
        <v>789</v>
      </c>
      <c r="G128" s="228">
        <v>777.75</v>
      </c>
      <c r="H128" s="228">
        <v>11.25</v>
      </c>
      <c r="I128" s="229">
        <v>1.4500000000000001E-2</v>
      </c>
      <c r="J128" s="228">
        <v>784.55</v>
      </c>
      <c r="K128" s="228">
        <v>775</v>
      </c>
      <c r="L128" s="228">
        <v>9.5500000000000007</v>
      </c>
      <c r="M128" s="229">
        <v>1.23E-2</v>
      </c>
      <c r="N128" s="228">
        <v>789</v>
      </c>
      <c r="O128" s="228">
        <v>777.75</v>
      </c>
      <c r="P128" s="228">
        <v>11.25</v>
      </c>
      <c r="Q128" s="229">
        <v>1.4500000000000001E-2</v>
      </c>
      <c r="R128" s="228">
        <v>793.2</v>
      </c>
      <c r="S128" s="228">
        <v>783.45</v>
      </c>
      <c r="T128" s="228">
        <v>9.75</v>
      </c>
      <c r="U128" s="229">
        <v>1.24E-2</v>
      </c>
      <c r="V128" s="228">
        <v>0</v>
      </c>
      <c r="W128" s="228">
        <v>0</v>
      </c>
      <c r="X128" s="228">
        <v>0</v>
      </c>
      <c r="Y128" s="229">
        <v>0</v>
      </c>
      <c r="Z128" s="228">
        <v>4.45</v>
      </c>
      <c r="AA128" s="228">
        <v>2.75</v>
      </c>
      <c r="AB128" s="228">
        <v>1.7</v>
      </c>
      <c r="AC128" s="229">
        <v>5.7000000000000002E-3</v>
      </c>
      <c r="AD128" s="228">
        <v>4.45</v>
      </c>
      <c r="AE128" s="228">
        <v>2.75</v>
      </c>
      <c r="AF128" s="228">
        <v>1.7</v>
      </c>
      <c r="AG128" s="229">
        <v>5.7000000000000002E-3</v>
      </c>
      <c r="AH128" s="228">
        <v>8.65</v>
      </c>
      <c r="AI128" s="228">
        <v>8.4499999999999993</v>
      </c>
      <c r="AJ128" s="228">
        <v>0.2</v>
      </c>
      <c r="AK128" s="229">
        <v>1.0999999999999999E-2</v>
      </c>
      <c r="AL128" s="228">
        <v>0</v>
      </c>
      <c r="AM128" s="228">
        <v>0</v>
      </c>
      <c r="AN128" s="228">
        <v>0</v>
      </c>
      <c r="AO128" s="229">
        <v>0</v>
      </c>
      <c r="AP128" s="228">
        <v>787.63</v>
      </c>
      <c r="AQ128" s="228">
        <v>791.01</v>
      </c>
      <c r="AR128" s="228">
        <v>0</v>
      </c>
      <c r="AS128" s="228">
        <v>142</v>
      </c>
      <c r="AT128" s="228">
        <v>182</v>
      </c>
      <c r="AU128" s="228">
        <v>-40</v>
      </c>
      <c r="AV128" s="229">
        <v>-0.22090000000000001</v>
      </c>
      <c r="AW128" s="228">
        <v>138</v>
      </c>
      <c r="AX128" s="228">
        <v>179</v>
      </c>
      <c r="AY128" s="228">
        <v>-40</v>
      </c>
      <c r="AZ128" s="229">
        <v>-0.22520000000000001</v>
      </c>
      <c r="BA128" s="228">
        <v>3</v>
      </c>
      <c r="BB128" s="228">
        <v>3</v>
      </c>
      <c r="BC128" s="228">
        <v>0</v>
      </c>
      <c r="BD128" s="229">
        <v>3.1300000000000001E-2</v>
      </c>
      <c r="BE128" s="228">
        <v>0</v>
      </c>
      <c r="BF128" s="228">
        <v>0</v>
      </c>
      <c r="BG128" s="228">
        <v>0</v>
      </c>
      <c r="BH128" s="229">
        <v>0</v>
      </c>
      <c r="BI128" s="228">
        <v>234</v>
      </c>
      <c r="BJ128" s="228">
        <v>198</v>
      </c>
      <c r="BK128" s="228">
        <v>36</v>
      </c>
      <c r="BL128" s="229">
        <v>0.18110000000000001</v>
      </c>
      <c r="BM128" s="228">
        <v>193</v>
      </c>
      <c r="BN128" s="228">
        <v>120</v>
      </c>
      <c r="BO128" s="228">
        <v>73</v>
      </c>
      <c r="BP128" s="229">
        <v>0.61119999999999997</v>
      </c>
      <c r="BQ128" s="228">
        <v>568</v>
      </c>
      <c r="BR128" s="228">
        <v>499</v>
      </c>
      <c r="BS128" s="228">
        <v>69</v>
      </c>
      <c r="BT128" s="229">
        <v>0.13780000000000001</v>
      </c>
      <c r="BU128" s="230">
        <v>888134</v>
      </c>
      <c r="BV128" s="230">
        <v>1771781</v>
      </c>
      <c r="BW128" s="230">
        <v>-883647</v>
      </c>
      <c r="BX128" s="229">
        <v>-0.49869999999999998</v>
      </c>
      <c r="BY128" s="230">
        <v>1746</v>
      </c>
      <c r="BZ128" s="230">
        <v>1735</v>
      </c>
      <c r="CA128" s="228">
        <v>12</v>
      </c>
      <c r="CB128" s="229">
        <v>6.7000000000000002E-3</v>
      </c>
      <c r="CC128" s="230">
        <v>1647</v>
      </c>
      <c r="CD128" s="230">
        <v>1636</v>
      </c>
      <c r="CE128" s="228">
        <v>11</v>
      </c>
      <c r="CF128" s="229">
        <v>6.7999999999999996E-3</v>
      </c>
      <c r="CG128" s="228">
        <v>99</v>
      </c>
      <c r="CH128" s="228">
        <v>99</v>
      </c>
      <c r="CI128" s="228">
        <v>0</v>
      </c>
      <c r="CJ128" s="229">
        <v>4.7999999999999996E-3</v>
      </c>
      <c r="CK128" s="228">
        <v>0</v>
      </c>
      <c r="CL128" s="228">
        <v>0</v>
      </c>
      <c r="CM128" s="228">
        <v>0</v>
      </c>
      <c r="CN128" s="229">
        <v>0</v>
      </c>
      <c r="CO128" s="228">
        <v>253</v>
      </c>
      <c r="CP128" s="228">
        <v>203</v>
      </c>
      <c r="CQ128" s="228">
        <v>51</v>
      </c>
      <c r="CR128" s="229">
        <v>0.25</v>
      </c>
      <c r="CS128" s="228">
        <v>203</v>
      </c>
      <c r="CT128" s="228">
        <v>159</v>
      </c>
      <c r="CU128" s="228">
        <v>44</v>
      </c>
      <c r="CV128" s="229">
        <v>0.27839999999999998</v>
      </c>
      <c r="CW128" s="230">
        <v>2203</v>
      </c>
      <c r="CX128" s="230">
        <v>2097</v>
      </c>
      <c r="CY128" s="228">
        <v>107</v>
      </c>
      <c r="CZ128" s="229">
        <v>5.0799999999999998E-2</v>
      </c>
      <c r="DA128" s="228">
        <v>30.2</v>
      </c>
      <c r="DB128" s="228">
        <v>28.12</v>
      </c>
      <c r="DC128" s="228">
        <v>2.08</v>
      </c>
      <c r="DD128" s="228">
        <v>2.08</v>
      </c>
      <c r="DE128" s="228">
        <v>24.39</v>
      </c>
      <c r="DF128" s="228">
        <v>24.39</v>
      </c>
      <c r="DG128" s="228">
        <v>5.81</v>
      </c>
      <c r="DH128" s="228">
        <v>0</v>
      </c>
      <c r="DI128" s="228">
        <v>29.33</v>
      </c>
      <c r="DJ128" s="228">
        <v>28.18</v>
      </c>
      <c r="DK128" s="228">
        <v>1.1499999999999999</v>
      </c>
      <c r="DL128" s="228">
        <v>1.1499999999999999</v>
      </c>
      <c r="DM128" s="228">
        <v>31.25</v>
      </c>
      <c r="DN128" s="228">
        <v>28.04</v>
      </c>
      <c r="DO128" s="228">
        <v>3.21</v>
      </c>
      <c r="DP128" s="228">
        <v>3.21</v>
      </c>
      <c r="DQ128" s="228">
        <v>0.8</v>
      </c>
      <c r="DR128" s="228">
        <v>0.79</v>
      </c>
      <c r="DS128" s="228">
        <v>0.01</v>
      </c>
      <c r="DT128" s="229">
        <v>1.2699999999999999E-2</v>
      </c>
      <c r="DU128" s="228">
        <v>800</v>
      </c>
      <c r="DV128" s="228">
        <v>760</v>
      </c>
      <c r="DW128" s="228">
        <v>0.82</v>
      </c>
      <c r="DX128" s="228">
        <v>0.6</v>
      </c>
      <c r="DY128" s="228">
        <v>0.22</v>
      </c>
      <c r="DZ128" s="229">
        <v>0.36670000000000003</v>
      </c>
      <c r="EA128" s="229">
        <v>5.67E-2</v>
      </c>
      <c r="EB128" s="230">
        <v>1249200</v>
      </c>
      <c r="EC128" s="229">
        <v>5.3E-3</v>
      </c>
      <c r="ED128" s="229">
        <v>5.67E-2</v>
      </c>
      <c r="EE128" s="228">
        <v>3.38</v>
      </c>
      <c r="EF128" s="229">
        <v>4.3E-3</v>
      </c>
      <c r="EG128" s="230">
        <v>484175</v>
      </c>
      <c r="EH128" s="230">
        <v>1095663</v>
      </c>
      <c r="EI128" s="229">
        <v>-0.55810000000000004</v>
      </c>
      <c r="EJ128" s="229">
        <v>0.54520000000000002</v>
      </c>
      <c r="EK128" s="228">
        <v>247.23</v>
      </c>
      <c r="EL128" s="228">
        <v>180.35</v>
      </c>
      <c r="EM128" s="228">
        <v>141.31</v>
      </c>
      <c r="EN128" s="228">
        <v>45.1</v>
      </c>
      <c r="EO128" s="228">
        <v>568.89</v>
      </c>
      <c r="EP128" s="228">
        <v>503.98</v>
      </c>
      <c r="EQ128" s="228">
        <v>64.91</v>
      </c>
      <c r="ER128" s="229">
        <v>0.1288</v>
      </c>
      <c r="ES128" s="228">
        <v>263.83</v>
      </c>
      <c r="ET128" s="228">
        <v>194.88</v>
      </c>
      <c r="EU128" s="231">
        <v>1746.99</v>
      </c>
      <c r="EV128" s="231">
        <v>77572761</v>
      </c>
      <c r="EW128" s="231">
        <v>2205.71</v>
      </c>
      <c r="EX128" s="231">
        <v>2074.6</v>
      </c>
      <c r="EY128" s="228">
        <v>131.11000000000001</v>
      </c>
      <c r="EZ128" s="229">
        <v>6.3200000000000006E-2</v>
      </c>
      <c r="FA128" s="229">
        <v>0.36</v>
      </c>
      <c r="FB128" s="227" t="s">
        <v>555</v>
      </c>
      <c r="FC128">
        <f t="shared" si="1"/>
        <v>99</v>
      </c>
    </row>
    <row r="129" spans="1:159" ht="17.25" thickBot="1" x14ac:dyDescent="0.3">
      <c r="A129" s="226">
        <v>46146</v>
      </c>
      <c r="B129" s="227" t="s">
        <v>162</v>
      </c>
      <c r="C129" s="227" t="s">
        <v>255</v>
      </c>
      <c r="D129" s="228">
        <v>50</v>
      </c>
      <c r="E129" s="228">
        <v>22</v>
      </c>
      <c r="F129" s="231">
        <v>13656</v>
      </c>
      <c r="G129" s="231">
        <v>13386</v>
      </c>
      <c r="H129" s="228">
        <v>270</v>
      </c>
      <c r="I129" s="229">
        <v>2.0199999999999999E-2</v>
      </c>
      <c r="J129" s="231">
        <v>13580</v>
      </c>
      <c r="K129" s="231">
        <v>13314</v>
      </c>
      <c r="L129" s="228">
        <v>266</v>
      </c>
      <c r="M129" s="229">
        <v>0.02</v>
      </c>
      <c r="N129" s="231">
        <v>13656</v>
      </c>
      <c r="O129" s="231">
        <v>13386</v>
      </c>
      <c r="P129" s="228">
        <v>270</v>
      </c>
      <c r="Q129" s="229">
        <v>2.0199999999999999E-2</v>
      </c>
      <c r="R129" s="231">
        <v>13742</v>
      </c>
      <c r="S129" s="231">
        <v>13464</v>
      </c>
      <c r="T129" s="228">
        <v>278</v>
      </c>
      <c r="U129" s="229">
        <v>2.06E-2</v>
      </c>
      <c r="V129" s="231">
        <v>13817</v>
      </c>
      <c r="W129" s="231">
        <v>13541</v>
      </c>
      <c r="X129" s="228">
        <v>276</v>
      </c>
      <c r="Y129" s="229">
        <v>2.0400000000000001E-2</v>
      </c>
      <c r="Z129" s="228">
        <v>76</v>
      </c>
      <c r="AA129" s="228">
        <v>72</v>
      </c>
      <c r="AB129" s="228">
        <v>4</v>
      </c>
      <c r="AC129" s="229">
        <v>5.5999999999999999E-3</v>
      </c>
      <c r="AD129" s="228">
        <v>76</v>
      </c>
      <c r="AE129" s="228">
        <v>72</v>
      </c>
      <c r="AF129" s="228">
        <v>4</v>
      </c>
      <c r="AG129" s="229">
        <v>5.5999999999999999E-3</v>
      </c>
      <c r="AH129" s="228">
        <v>162</v>
      </c>
      <c r="AI129" s="228">
        <v>150</v>
      </c>
      <c r="AJ129" s="228">
        <v>12</v>
      </c>
      <c r="AK129" s="229">
        <v>1.1900000000000001E-2</v>
      </c>
      <c r="AL129" s="228">
        <v>237</v>
      </c>
      <c r="AM129" s="228">
        <v>227</v>
      </c>
      <c r="AN129" s="228">
        <v>10</v>
      </c>
      <c r="AO129" s="229">
        <v>1.7500000000000002E-2</v>
      </c>
      <c r="AP129" s="231">
        <v>13802.02</v>
      </c>
      <c r="AQ129" s="231">
        <v>13820.16</v>
      </c>
      <c r="AR129" s="228">
        <v>0</v>
      </c>
      <c r="AS129" s="230">
        <v>1168</v>
      </c>
      <c r="AT129" s="228">
        <v>668</v>
      </c>
      <c r="AU129" s="228">
        <v>500</v>
      </c>
      <c r="AV129" s="229">
        <v>0.74819999999999998</v>
      </c>
      <c r="AW129" s="230">
        <v>1059</v>
      </c>
      <c r="AX129" s="228">
        <v>622</v>
      </c>
      <c r="AY129" s="228">
        <v>437</v>
      </c>
      <c r="AZ129" s="229">
        <v>0.70340000000000003</v>
      </c>
      <c r="BA129" s="228">
        <v>104</v>
      </c>
      <c r="BB129" s="228">
        <v>42</v>
      </c>
      <c r="BC129" s="228">
        <v>63</v>
      </c>
      <c r="BD129" s="229">
        <v>1.5089999999999999</v>
      </c>
      <c r="BE129" s="228">
        <v>5</v>
      </c>
      <c r="BF129" s="228">
        <v>5</v>
      </c>
      <c r="BG129" s="228">
        <v>0</v>
      </c>
      <c r="BH129" s="229">
        <v>-2.8199999999999999E-2</v>
      </c>
      <c r="BI129" s="230">
        <v>9032</v>
      </c>
      <c r="BJ129" s="230">
        <v>4889</v>
      </c>
      <c r="BK129" s="230">
        <v>4143</v>
      </c>
      <c r="BL129" s="229">
        <v>0.84740000000000004</v>
      </c>
      <c r="BM129" s="230">
        <v>4564</v>
      </c>
      <c r="BN129" s="230">
        <v>2536</v>
      </c>
      <c r="BO129" s="230">
        <v>2029</v>
      </c>
      <c r="BP129" s="229">
        <v>0.79990000000000006</v>
      </c>
      <c r="BQ129" s="230">
        <v>14764</v>
      </c>
      <c r="BR129" s="230">
        <v>8093</v>
      </c>
      <c r="BS129" s="230">
        <v>6671</v>
      </c>
      <c r="BT129" s="229">
        <v>0.82430000000000003</v>
      </c>
      <c r="BU129" s="230">
        <v>756891</v>
      </c>
      <c r="BV129" s="230">
        <v>718163</v>
      </c>
      <c r="BW129" s="230">
        <v>38728</v>
      </c>
      <c r="BX129" s="229">
        <v>5.3900000000000003E-2</v>
      </c>
      <c r="BY129" s="230">
        <v>4238</v>
      </c>
      <c r="BZ129" s="230">
        <v>4204</v>
      </c>
      <c r="CA129" s="228">
        <v>34</v>
      </c>
      <c r="CB129" s="229">
        <v>8.0999999999999996E-3</v>
      </c>
      <c r="CC129" s="230">
        <v>3406</v>
      </c>
      <c r="CD129" s="230">
        <v>3424</v>
      </c>
      <c r="CE129" s="228">
        <v>-18</v>
      </c>
      <c r="CF129" s="229">
        <v>-5.3E-3</v>
      </c>
      <c r="CG129" s="228">
        <v>826</v>
      </c>
      <c r="CH129" s="228">
        <v>776</v>
      </c>
      <c r="CI129" s="228">
        <v>50</v>
      </c>
      <c r="CJ129" s="229">
        <v>6.4699999999999994E-2</v>
      </c>
      <c r="CK129" s="228">
        <v>6</v>
      </c>
      <c r="CL129" s="228">
        <v>4</v>
      </c>
      <c r="CM129" s="228">
        <v>2</v>
      </c>
      <c r="CN129" s="229">
        <v>0.49120000000000003</v>
      </c>
      <c r="CO129" s="230">
        <v>2598</v>
      </c>
      <c r="CP129" s="230">
        <v>2212</v>
      </c>
      <c r="CQ129" s="228">
        <v>385</v>
      </c>
      <c r="CR129" s="229">
        <v>0.1741</v>
      </c>
      <c r="CS129" s="230">
        <v>1287</v>
      </c>
      <c r="CT129" s="230">
        <v>1045</v>
      </c>
      <c r="CU129" s="228">
        <v>242</v>
      </c>
      <c r="CV129" s="229">
        <v>0.23130000000000001</v>
      </c>
      <c r="CW129" s="230">
        <v>8122</v>
      </c>
      <c r="CX129" s="230">
        <v>7461</v>
      </c>
      <c r="CY129" s="228">
        <v>661</v>
      </c>
      <c r="CZ129" s="229">
        <v>8.8599999999999998E-2</v>
      </c>
      <c r="DA129" s="228">
        <v>26.69</v>
      </c>
      <c r="DB129" s="228">
        <v>27.3</v>
      </c>
      <c r="DC129" s="228">
        <v>-0.61</v>
      </c>
      <c r="DD129" s="228">
        <v>-0.61</v>
      </c>
      <c r="DE129" s="228">
        <v>29</v>
      </c>
      <c r="DF129" s="228">
        <v>28.95</v>
      </c>
      <c r="DG129" s="228">
        <v>-2.31</v>
      </c>
      <c r="DH129" s="228">
        <v>0.05</v>
      </c>
      <c r="DI129" s="228">
        <v>26.13</v>
      </c>
      <c r="DJ129" s="228">
        <v>26.61</v>
      </c>
      <c r="DK129" s="228">
        <v>-0.48</v>
      </c>
      <c r="DL129" s="228">
        <v>-0.48</v>
      </c>
      <c r="DM129" s="228">
        <v>27.78</v>
      </c>
      <c r="DN129" s="228">
        <v>28.64</v>
      </c>
      <c r="DO129" s="228">
        <v>-0.86</v>
      </c>
      <c r="DP129" s="228">
        <v>-0.86</v>
      </c>
      <c r="DQ129" s="228">
        <v>0.5</v>
      </c>
      <c r="DR129" s="228">
        <v>0.47</v>
      </c>
      <c r="DS129" s="228">
        <v>0.03</v>
      </c>
      <c r="DT129" s="229">
        <v>6.3799999999999996E-2</v>
      </c>
      <c r="DU129" s="231">
        <v>14000</v>
      </c>
      <c r="DV129" s="231">
        <v>13000</v>
      </c>
      <c r="DW129" s="228">
        <v>0.51</v>
      </c>
      <c r="DX129" s="228">
        <v>0.52</v>
      </c>
      <c r="DY129" s="228">
        <v>-0.01</v>
      </c>
      <c r="DZ129" s="229">
        <v>-1.9199999999999998E-2</v>
      </c>
      <c r="EA129" s="229">
        <v>0.19620000000000001</v>
      </c>
      <c r="EB129" s="230">
        <v>570800</v>
      </c>
      <c r="EC129" s="229">
        <v>6.3E-3</v>
      </c>
      <c r="ED129" s="229">
        <v>0.19620000000000001</v>
      </c>
      <c r="EE129" s="228">
        <v>18.14</v>
      </c>
      <c r="EF129" s="229">
        <v>1.2999999999999999E-3</v>
      </c>
      <c r="EG129" s="230">
        <v>303492</v>
      </c>
      <c r="EH129" s="230">
        <v>361449</v>
      </c>
      <c r="EI129" s="229">
        <v>-0.1603</v>
      </c>
      <c r="EJ129" s="229">
        <v>0.40100000000000002</v>
      </c>
      <c r="EK129" s="231">
        <v>9593.24</v>
      </c>
      <c r="EL129" s="231">
        <v>4435.3100000000004</v>
      </c>
      <c r="EM129" s="231">
        <v>1180.47</v>
      </c>
      <c r="EN129" s="228">
        <v>269.74</v>
      </c>
      <c r="EO129" s="231">
        <v>15209.01</v>
      </c>
      <c r="EP129" s="231">
        <v>8091</v>
      </c>
      <c r="EQ129" s="231">
        <v>7118.01</v>
      </c>
      <c r="ER129" s="229">
        <v>0.87970000000000004</v>
      </c>
      <c r="ES129" s="231">
        <v>2689.48</v>
      </c>
      <c r="ET129" s="231">
        <v>1210.0999999999999</v>
      </c>
      <c r="EU129" s="231">
        <v>4242.93</v>
      </c>
      <c r="EV129" s="231">
        <v>19673414</v>
      </c>
      <c r="EW129" s="231">
        <v>8142.51</v>
      </c>
      <c r="EX129" s="231">
        <v>7372.15</v>
      </c>
      <c r="EY129" s="228">
        <v>770.36</v>
      </c>
      <c r="EZ129" s="229">
        <v>0.1045</v>
      </c>
      <c r="FA129" s="229">
        <v>0.30230000000000001</v>
      </c>
      <c r="FB129" s="227" t="s">
        <v>555</v>
      </c>
      <c r="FC129">
        <f t="shared" si="1"/>
        <v>832</v>
      </c>
    </row>
    <row r="130" spans="1:159" ht="17.25" thickBot="1" x14ac:dyDescent="0.3">
      <c r="A130" s="226">
        <v>46146</v>
      </c>
      <c r="B130" s="227" t="s">
        <v>170</v>
      </c>
      <c r="C130" s="227" t="s">
        <v>602</v>
      </c>
      <c r="D130" s="228">
        <v>525</v>
      </c>
      <c r="E130" s="228">
        <v>22</v>
      </c>
      <c r="F130" s="231">
        <v>1017.65</v>
      </c>
      <c r="G130" s="228">
        <v>998.95</v>
      </c>
      <c r="H130" s="228">
        <v>18.7</v>
      </c>
      <c r="I130" s="229">
        <v>1.8700000000000001E-2</v>
      </c>
      <c r="J130" s="231">
        <v>1011.55</v>
      </c>
      <c r="K130" s="228">
        <v>993.05</v>
      </c>
      <c r="L130" s="228">
        <v>18.5</v>
      </c>
      <c r="M130" s="229">
        <v>1.8599999999999998E-2</v>
      </c>
      <c r="N130" s="231">
        <v>1017.65</v>
      </c>
      <c r="O130" s="228">
        <v>998.95</v>
      </c>
      <c r="P130" s="228">
        <v>18.7</v>
      </c>
      <c r="Q130" s="229">
        <v>1.8700000000000001E-2</v>
      </c>
      <c r="R130" s="231">
        <v>1024.2</v>
      </c>
      <c r="S130" s="231">
        <v>1005.4</v>
      </c>
      <c r="T130" s="228">
        <v>18.8</v>
      </c>
      <c r="U130" s="229">
        <v>1.8700000000000001E-2</v>
      </c>
      <c r="V130" s="231">
        <v>1030</v>
      </c>
      <c r="W130" s="231">
        <v>1008.5</v>
      </c>
      <c r="X130" s="228">
        <v>21.5</v>
      </c>
      <c r="Y130" s="229">
        <v>2.1299999999999999E-2</v>
      </c>
      <c r="Z130" s="228">
        <v>6.1</v>
      </c>
      <c r="AA130" s="228">
        <v>5.9</v>
      </c>
      <c r="AB130" s="228">
        <v>0.2</v>
      </c>
      <c r="AC130" s="229">
        <v>6.0000000000000001E-3</v>
      </c>
      <c r="AD130" s="228">
        <v>6.1</v>
      </c>
      <c r="AE130" s="228">
        <v>5.9</v>
      </c>
      <c r="AF130" s="228">
        <v>0.2</v>
      </c>
      <c r="AG130" s="229">
        <v>6.0000000000000001E-3</v>
      </c>
      <c r="AH130" s="228">
        <v>12.65</v>
      </c>
      <c r="AI130" s="228">
        <v>12.35</v>
      </c>
      <c r="AJ130" s="228">
        <v>0.3</v>
      </c>
      <c r="AK130" s="229">
        <v>1.2500000000000001E-2</v>
      </c>
      <c r="AL130" s="228">
        <v>18.45</v>
      </c>
      <c r="AM130" s="228">
        <v>15.45</v>
      </c>
      <c r="AN130" s="228">
        <v>3</v>
      </c>
      <c r="AO130" s="229">
        <v>1.8200000000000001E-2</v>
      </c>
      <c r="AP130" s="231">
        <v>1015.01</v>
      </c>
      <c r="AQ130" s="231">
        <v>1024.19</v>
      </c>
      <c r="AR130" s="228">
        <v>0</v>
      </c>
      <c r="AS130" s="228">
        <v>204</v>
      </c>
      <c r="AT130" s="228">
        <v>163</v>
      </c>
      <c r="AU130" s="228">
        <v>41</v>
      </c>
      <c r="AV130" s="229">
        <v>0.25369999999999998</v>
      </c>
      <c r="AW130" s="228">
        <v>188</v>
      </c>
      <c r="AX130" s="228">
        <v>155</v>
      </c>
      <c r="AY130" s="228">
        <v>32</v>
      </c>
      <c r="AZ130" s="229">
        <v>0.20849999999999999</v>
      </c>
      <c r="BA130" s="228">
        <v>16</v>
      </c>
      <c r="BB130" s="228">
        <v>6</v>
      </c>
      <c r="BC130" s="228">
        <v>10</v>
      </c>
      <c r="BD130" s="229">
        <v>1.5209999999999999</v>
      </c>
      <c r="BE130" s="228">
        <v>0</v>
      </c>
      <c r="BF130" s="228">
        <v>1</v>
      </c>
      <c r="BG130" s="228">
        <v>-1</v>
      </c>
      <c r="BH130" s="229">
        <v>-0.63639999999999997</v>
      </c>
      <c r="BI130" s="228">
        <v>299</v>
      </c>
      <c r="BJ130" s="228">
        <v>229</v>
      </c>
      <c r="BK130" s="228">
        <v>70</v>
      </c>
      <c r="BL130" s="229">
        <v>0.30649999999999999</v>
      </c>
      <c r="BM130" s="228">
        <v>149</v>
      </c>
      <c r="BN130" s="228">
        <v>157</v>
      </c>
      <c r="BO130" s="228">
        <v>-7</v>
      </c>
      <c r="BP130" s="229">
        <v>-4.7800000000000002E-2</v>
      </c>
      <c r="BQ130" s="228">
        <v>652</v>
      </c>
      <c r="BR130" s="228">
        <v>548</v>
      </c>
      <c r="BS130" s="228">
        <v>104</v>
      </c>
      <c r="BT130" s="229">
        <v>0.18959999999999999</v>
      </c>
      <c r="BU130" s="230">
        <v>2694459</v>
      </c>
      <c r="BV130" s="230">
        <v>2437699</v>
      </c>
      <c r="BW130" s="230">
        <v>256760</v>
      </c>
      <c r="BX130" s="229">
        <v>0.1053</v>
      </c>
      <c r="BY130" s="230">
        <v>1346</v>
      </c>
      <c r="BZ130" s="230">
        <v>1319</v>
      </c>
      <c r="CA130" s="228">
        <v>27</v>
      </c>
      <c r="CB130" s="229">
        <v>2.07E-2</v>
      </c>
      <c r="CC130" s="230">
        <v>1225</v>
      </c>
      <c r="CD130" s="230">
        <v>1208</v>
      </c>
      <c r="CE130" s="228">
        <v>17</v>
      </c>
      <c r="CF130" s="229">
        <v>1.4500000000000001E-2</v>
      </c>
      <c r="CG130" s="228">
        <v>119</v>
      </c>
      <c r="CH130" s="228">
        <v>110</v>
      </c>
      <c r="CI130" s="228">
        <v>9</v>
      </c>
      <c r="CJ130" s="229">
        <v>8.5999999999999993E-2</v>
      </c>
      <c r="CK130" s="228">
        <v>1</v>
      </c>
      <c r="CL130" s="228">
        <v>1</v>
      </c>
      <c r="CM130" s="228">
        <v>0</v>
      </c>
      <c r="CN130" s="229">
        <v>0.33329999999999999</v>
      </c>
      <c r="CO130" s="228">
        <v>212</v>
      </c>
      <c r="CP130" s="228">
        <v>191</v>
      </c>
      <c r="CQ130" s="228">
        <v>22</v>
      </c>
      <c r="CR130" s="229">
        <v>0.11310000000000001</v>
      </c>
      <c r="CS130" s="228">
        <v>136</v>
      </c>
      <c r="CT130" s="228">
        <v>106</v>
      </c>
      <c r="CU130" s="228">
        <v>30</v>
      </c>
      <c r="CV130" s="229">
        <v>0.28110000000000002</v>
      </c>
      <c r="CW130" s="230">
        <v>1694</v>
      </c>
      <c r="CX130" s="230">
        <v>1616</v>
      </c>
      <c r="CY130" s="228">
        <v>79</v>
      </c>
      <c r="CZ130" s="229">
        <v>4.87E-2</v>
      </c>
      <c r="DA130" s="228">
        <v>31.69</v>
      </c>
      <c r="DB130" s="228">
        <v>32.5</v>
      </c>
      <c r="DC130" s="228">
        <v>-0.81</v>
      </c>
      <c r="DD130" s="228">
        <v>-0.81</v>
      </c>
      <c r="DE130" s="228">
        <v>35.659999999999997</v>
      </c>
      <c r="DF130" s="228">
        <v>35.67</v>
      </c>
      <c r="DG130" s="228">
        <v>-3.97</v>
      </c>
      <c r="DH130" s="228">
        <v>-0.01</v>
      </c>
      <c r="DI130" s="228">
        <v>31.69</v>
      </c>
      <c r="DJ130" s="228">
        <v>32.549999999999997</v>
      </c>
      <c r="DK130" s="228">
        <v>-0.86</v>
      </c>
      <c r="DL130" s="228">
        <v>-0.86</v>
      </c>
      <c r="DM130" s="228">
        <v>31.7</v>
      </c>
      <c r="DN130" s="228">
        <v>32.43</v>
      </c>
      <c r="DO130" s="228">
        <v>-0.73</v>
      </c>
      <c r="DP130" s="228">
        <v>-0.73</v>
      </c>
      <c r="DQ130" s="228">
        <v>0.64</v>
      </c>
      <c r="DR130" s="228">
        <v>0.56000000000000005</v>
      </c>
      <c r="DS130" s="228">
        <v>0.08</v>
      </c>
      <c r="DT130" s="229">
        <v>0.1429</v>
      </c>
      <c r="DU130" s="231">
        <v>1100</v>
      </c>
      <c r="DV130" s="231">
        <v>1000</v>
      </c>
      <c r="DW130" s="228">
        <v>0.5</v>
      </c>
      <c r="DX130" s="228">
        <v>0.69</v>
      </c>
      <c r="DY130" s="228">
        <v>-0.19</v>
      </c>
      <c r="DZ130" s="229">
        <v>-0.27539999999999998</v>
      </c>
      <c r="EA130" s="229">
        <v>8.9599999999999999E-2</v>
      </c>
      <c r="EB130" s="230">
        <v>1089375</v>
      </c>
      <c r="EC130" s="229">
        <v>6.4000000000000003E-3</v>
      </c>
      <c r="ED130" s="229">
        <v>8.9599999999999999E-2</v>
      </c>
      <c r="EE130" s="228">
        <v>9.18</v>
      </c>
      <c r="EF130" s="229">
        <v>8.9999999999999993E-3</v>
      </c>
      <c r="EG130" s="230">
        <v>1528727</v>
      </c>
      <c r="EH130" s="230">
        <v>1142688</v>
      </c>
      <c r="EI130" s="229">
        <v>0.33779999999999999</v>
      </c>
      <c r="EJ130" s="229">
        <v>0.56740000000000002</v>
      </c>
      <c r="EK130" s="228">
        <v>312.88</v>
      </c>
      <c r="EL130" s="228">
        <v>148.6</v>
      </c>
      <c r="EM130" s="228">
        <v>203.71</v>
      </c>
      <c r="EN130" s="228">
        <v>63.64</v>
      </c>
      <c r="EO130" s="228">
        <v>665.19</v>
      </c>
      <c r="EP130" s="228">
        <v>549.75</v>
      </c>
      <c r="EQ130" s="228">
        <v>115.44</v>
      </c>
      <c r="ER130" s="229">
        <v>0.21</v>
      </c>
      <c r="ES130" s="228">
        <v>220.44</v>
      </c>
      <c r="ET130" s="228">
        <v>133.28</v>
      </c>
      <c r="EU130" s="231">
        <v>1346.71</v>
      </c>
      <c r="EV130" s="231">
        <v>111298748</v>
      </c>
      <c r="EW130" s="231">
        <v>1700.43</v>
      </c>
      <c r="EX130" s="231">
        <v>1596.37</v>
      </c>
      <c r="EY130" s="228">
        <v>104.06</v>
      </c>
      <c r="EZ130" s="229">
        <v>6.5199999999999994E-2</v>
      </c>
      <c r="FA130" s="229">
        <v>0.14960000000000001</v>
      </c>
      <c r="FB130" s="227" t="s">
        <v>555</v>
      </c>
      <c r="FC130">
        <f t="shared" si="1"/>
        <v>121</v>
      </c>
    </row>
    <row r="131" spans="1:159" ht="17.25" thickBot="1" x14ac:dyDescent="0.3">
      <c r="A131" s="226">
        <v>46146</v>
      </c>
      <c r="B131" s="227" t="s">
        <v>215</v>
      </c>
      <c r="C131" s="227" t="s">
        <v>670</v>
      </c>
      <c r="D131" s="228">
        <v>200</v>
      </c>
      <c r="E131" s="228">
        <v>22</v>
      </c>
      <c r="F131" s="231">
        <v>2625.2</v>
      </c>
      <c r="G131" s="231">
        <v>2742.2</v>
      </c>
      <c r="H131" s="228">
        <v>-117</v>
      </c>
      <c r="I131" s="229">
        <v>-4.2700000000000002E-2</v>
      </c>
      <c r="J131" s="231">
        <v>2611.6</v>
      </c>
      <c r="K131" s="231">
        <v>2733.2</v>
      </c>
      <c r="L131" s="228">
        <v>-121.6</v>
      </c>
      <c r="M131" s="229">
        <v>-4.4499999999999998E-2</v>
      </c>
      <c r="N131" s="231">
        <v>2625.2</v>
      </c>
      <c r="O131" s="231">
        <v>2742.2</v>
      </c>
      <c r="P131" s="228">
        <v>-117</v>
      </c>
      <c r="Q131" s="229">
        <v>-4.2700000000000002E-2</v>
      </c>
      <c r="R131" s="231">
        <v>2636.8</v>
      </c>
      <c r="S131" s="231">
        <v>2753.9</v>
      </c>
      <c r="T131" s="228">
        <v>-117.1</v>
      </c>
      <c r="U131" s="229">
        <v>-4.2500000000000003E-2</v>
      </c>
      <c r="V131" s="231">
        <v>2649.1</v>
      </c>
      <c r="W131" s="231">
        <v>2775.9</v>
      </c>
      <c r="X131" s="228">
        <v>-126.8</v>
      </c>
      <c r="Y131" s="229">
        <v>-4.5699999999999998E-2</v>
      </c>
      <c r="Z131" s="228">
        <v>13.6</v>
      </c>
      <c r="AA131" s="228">
        <v>9</v>
      </c>
      <c r="AB131" s="228">
        <v>4.5999999999999996</v>
      </c>
      <c r="AC131" s="229">
        <v>5.1999999999999998E-3</v>
      </c>
      <c r="AD131" s="228">
        <v>13.6</v>
      </c>
      <c r="AE131" s="228">
        <v>9</v>
      </c>
      <c r="AF131" s="228">
        <v>4.5999999999999996</v>
      </c>
      <c r="AG131" s="229">
        <v>5.1999999999999998E-3</v>
      </c>
      <c r="AH131" s="228">
        <v>25.2</v>
      </c>
      <c r="AI131" s="228">
        <v>20.7</v>
      </c>
      <c r="AJ131" s="228">
        <v>4.5</v>
      </c>
      <c r="AK131" s="229">
        <v>9.5999999999999992E-3</v>
      </c>
      <c r="AL131" s="228">
        <v>37.5</v>
      </c>
      <c r="AM131" s="228">
        <v>42.7</v>
      </c>
      <c r="AN131" s="228">
        <v>-5.2</v>
      </c>
      <c r="AO131" s="229">
        <v>1.44E-2</v>
      </c>
      <c r="AP131" s="231">
        <v>2633.99</v>
      </c>
      <c r="AQ131" s="231">
        <v>2646.53</v>
      </c>
      <c r="AR131" s="228">
        <v>0</v>
      </c>
      <c r="AS131" s="228">
        <v>790</v>
      </c>
      <c r="AT131" s="228">
        <v>290</v>
      </c>
      <c r="AU131" s="228">
        <v>501</v>
      </c>
      <c r="AV131" s="229">
        <v>1.7291000000000001</v>
      </c>
      <c r="AW131" s="228">
        <v>743</v>
      </c>
      <c r="AX131" s="228">
        <v>275</v>
      </c>
      <c r="AY131" s="228">
        <v>469</v>
      </c>
      <c r="AZ131" s="229">
        <v>1.7071000000000001</v>
      </c>
      <c r="BA131" s="228">
        <v>38</v>
      </c>
      <c r="BB131" s="228">
        <v>12</v>
      </c>
      <c r="BC131" s="228">
        <v>26</v>
      </c>
      <c r="BD131" s="229">
        <v>2.1105999999999998</v>
      </c>
      <c r="BE131" s="228">
        <v>8</v>
      </c>
      <c r="BF131" s="228">
        <v>3</v>
      </c>
      <c r="BG131" s="228">
        <v>6</v>
      </c>
      <c r="BH131" s="229">
        <v>2.2448999999999999</v>
      </c>
      <c r="BI131" s="230">
        <v>2682</v>
      </c>
      <c r="BJ131" s="230">
        <v>1063</v>
      </c>
      <c r="BK131" s="230">
        <v>1619</v>
      </c>
      <c r="BL131" s="229">
        <v>1.5227999999999999</v>
      </c>
      <c r="BM131" s="230">
        <v>1041</v>
      </c>
      <c r="BN131" s="228">
        <v>383</v>
      </c>
      <c r="BO131" s="228">
        <v>658</v>
      </c>
      <c r="BP131" s="229">
        <v>1.7151000000000001</v>
      </c>
      <c r="BQ131" s="230">
        <v>4513</v>
      </c>
      <c r="BR131" s="230">
        <v>1736</v>
      </c>
      <c r="BS131" s="230">
        <v>2777</v>
      </c>
      <c r="BT131" s="229">
        <v>1.5995999999999999</v>
      </c>
      <c r="BU131" s="230">
        <v>4924433</v>
      </c>
      <c r="BV131" s="230">
        <v>2135637</v>
      </c>
      <c r="BW131" s="230">
        <v>2788796</v>
      </c>
      <c r="BX131" s="229">
        <v>1.3058000000000001</v>
      </c>
      <c r="BY131" s="230">
        <v>1278</v>
      </c>
      <c r="BZ131" s="230">
        <v>1106</v>
      </c>
      <c r="CA131" s="228">
        <v>172</v>
      </c>
      <c r="CB131" s="229">
        <v>0.1552</v>
      </c>
      <c r="CC131" s="230">
        <v>1216</v>
      </c>
      <c r="CD131" s="230">
        <v>1070</v>
      </c>
      <c r="CE131" s="228">
        <v>146</v>
      </c>
      <c r="CF131" s="229">
        <v>0.13600000000000001</v>
      </c>
      <c r="CG131" s="228">
        <v>47</v>
      </c>
      <c r="CH131" s="228">
        <v>28</v>
      </c>
      <c r="CI131" s="228">
        <v>18</v>
      </c>
      <c r="CJ131" s="229">
        <v>0.64259999999999995</v>
      </c>
      <c r="CK131" s="228">
        <v>15</v>
      </c>
      <c r="CL131" s="228">
        <v>8</v>
      </c>
      <c r="CM131" s="228">
        <v>8</v>
      </c>
      <c r="CN131" s="229">
        <v>1.0309999999999999</v>
      </c>
      <c r="CO131" s="230">
        <v>1193</v>
      </c>
      <c r="CP131" s="228">
        <v>719</v>
      </c>
      <c r="CQ131" s="228">
        <v>475</v>
      </c>
      <c r="CR131" s="229">
        <v>0.66090000000000004</v>
      </c>
      <c r="CS131" s="228">
        <v>462</v>
      </c>
      <c r="CT131" s="228">
        <v>355</v>
      </c>
      <c r="CU131" s="228">
        <v>107</v>
      </c>
      <c r="CV131" s="229">
        <v>0.29980000000000001</v>
      </c>
      <c r="CW131" s="230">
        <v>2933</v>
      </c>
      <c r="CX131" s="230">
        <v>2180</v>
      </c>
      <c r="CY131" s="228">
        <v>753</v>
      </c>
      <c r="CZ131" s="229">
        <v>0.34549999999999997</v>
      </c>
      <c r="DA131" s="228">
        <v>42.55</v>
      </c>
      <c r="DB131" s="228">
        <v>43.95</v>
      </c>
      <c r="DC131" s="228">
        <v>-1.4</v>
      </c>
      <c r="DD131" s="228">
        <v>-1.4</v>
      </c>
      <c r="DE131" s="228">
        <v>55.35</v>
      </c>
      <c r="DF131" s="228">
        <v>55.18</v>
      </c>
      <c r="DG131" s="228">
        <v>-12.8</v>
      </c>
      <c r="DH131" s="228">
        <v>0.17</v>
      </c>
      <c r="DI131" s="228">
        <v>42.73</v>
      </c>
      <c r="DJ131" s="228">
        <v>43.83</v>
      </c>
      <c r="DK131" s="228">
        <v>-1.1000000000000001</v>
      </c>
      <c r="DL131" s="228">
        <v>-1.1000000000000001</v>
      </c>
      <c r="DM131" s="228">
        <v>42.08</v>
      </c>
      <c r="DN131" s="228">
        <v>44.3</v>
      </c>
      <c r="DO131" s="228">
        <v>-2.2200000000000002</v>
      </c>
      <c r="DP131" s="228">
        <v>-2.2200000000000002</v>
      </c>
      <c r="DQ131" s="228">
        <v>0.39</v>
      </c>
      <c r="DR131" s="228">
        <v>0.49</v>
      </c>
      <c r="DS131" s="228">
        <v>-0.1</v>
      </c>
      <c r="DT131" s="229">
        <v>-0.2041</v>
      </c>
      <c r="DU131" s="231">
        <v>2800</v>
      </c>
      <c r="DV131" s="231">
        <v>2600</v>
      </c>
      <c r="DW131" s="228">
        <v>0.39</v>
      </c>
      <c r="DX131" s="228">
        <v>0.36</v>
      </c>
      <c r="DY131" s="228">
        <v>0.03</v>
      </c>
      <c r="DZ131" s="229">
        <v>8.3299999999999999E-2</v>
      </c>
      <c r="EA131" s="229">
        <v>4.8599999999999997E-2</v>
      </c>
      <c r="EB131" s="230">
        <v>137025</v>
      </c>
      <c r="EC131" s="229">
        <v>4.4000000000000003E-3</v>
      </c>
      <c r="ED131" s="229">
        <v>4.8599999999999997E-2</v>
      </c>
      <c r="EE131" s="228">
        <v>12.54</v>
      </c>
      <c r="EF131" s="229">
        <v>4.7999999999999996E-3</v>
      </c>
      <c r="EG131" s="230">
        <v>1426939</v>
      </c>
      <c r="EH131" s="230">
        <v>595986</v>
      </c>
      <c r="EI131" s="229">
        <v>1.3942000000000001</v>
      </c>
      <c r="EJ131" s="229">
        <v>0.2898</v>
      </c>
      <c r="EK131" s="231">
        <v>2903.38</v>
      </c>
      <c r="EL131" s="231">
        <v>1051.99</v>
      </c>
      <c r="EM131" s="228">
        <v>794.05</v>
      </c>
      <c r="EN131" s="228">
        <v>118.71</v>
      </c>
      <c r="EO131" s="231">
        <v>4749.42</v>
      </c>
      <c r="EP131" s="231">
        <v>1882.63</v>
      </c>
      <c r="EQ131" s="231">
        <v>2866.79</v>
      </c>
      <c r="ER131" s="229">
        <v>1.5227999999999999</v>
      </c>
      <c r="ES131" s="231">
        <v>1270.6199999999999</v>
      </c>
      <c r="ET131" s="228">
        <v>456.23</v>
      </c>
      <c r="EU131" s="231">
        <v>1277.9100000000001</v>
      </c>
      <c r="EV131" s="231">
        <v>11364224</v>
      </c>
      <c r="EW131" s="231">
        <v>3004.76</v>
      </c>
      <c r="EX131" s="231">
        <v>2281.0500000000002</v>
      </c>
      <c r="EY131" s="228">
        <v>723.71</v>
      </c>
      <c r="EZ131" s="229">
        <v>0.31730000000000003</v>
      </c>
      <c r="FA131" s="229">
        <v>0.98309999999999997</v>
      </c>
      <c r="FB131" s="227" t="s">
        <v>566</v>
      </c>
      <c r="FC131">
        <f t="shared" ref="FC131:FC147" si="2">BY131-CC131</f>
        <v>62</v>
      </c>
    </row>
    <row r="132" spans="1:159" ht="17.25" thickBot="1" x14ac:dyDescent="0.3">
      <c r="A132" s="226">
        <v>46146</v>
      </c>
      <c r="B132" s="227" t="s">
        <v>175</v>
      </c>
      <c r="C132" s="227" t="s">
        <v>517</v>
      </c>
      <c r="D132" s="228">
        <v>625</v>
      </c>
      <c r="E132" s="228">
        <v>22</v>
      </c>
      <c r="F132" s="231">
        <v>2929.5</v>
      </c>
      <c r="G132" s="231">
        <v>2981</v>
      </c>
      <c r="H132" s="228">
        <v>-51.5</v>
      </c>
      <c r="I132" s="229">
        <v>-1.7299999999999999E-2</v>
      </c>
      <c r="J132" s="231">
        <v>2912.9</v>
      </c>
      <c r="K132" s="231">
        <v>2971.5</v>
      </c>
      <c r="L132" s="228">
        <v>-58.6</v>
      </c>
      <c r="M132" s="229">
        <v>-1.9699999999999999E-2</v>
      </c>
      <c r="N132" s="231">
        <v>2929.5</v>
      </c>
      <c r="O132" s="231">
        <v>2981</v>
      </c>
      <c r="P132" s="228">
        <v>-51.5</v>
      </c>
      <c r="Q132" s="229">
        <v>-1.7299999999999999E-2</v>
      </c>
      <c r="R132" s="231">
        <v>2947.1</v>
      </c>
      <c r="S132" s="231">
        <v>2994</v>
      </c>
      <c r="T132" s="228">
        <v>-46.9</v>
      </c>
      <c r="U132" s="229">
        <v>-1.5699999999999999E-2</v>
      </c>
      <c r="V132" s="231">
        <v>2968.5</v>
      </c>
      <c r="W132" s="231">
        <v>3007.7</v>
      </c>
      <c r="X132" s="228">
        <v>-39.200000000000003</v>
      </c>
      <c r="Y132" s="229">
        <v>-1.2999999999999999E-2</v>
      </c>
      <c r="Z132" s="228">
        <v>16.600000000000001</v>
      </c>
      <c r="AA132" s="228">
        <v>9.5</v>
      </c>
      <c r="AB132" s="228">
        <v>7.1</v>
      </c>
      <c r="AC132" s="229">
        <v>5.7000000000000002E-3</v>
      </c>
      <c r="AD132" s="228">
        <v>16.600000000000001</v>
      </c>
      <c r="AE132" s="228">
        <v>9.5</v>
      </c>
      <c r="AF132" s="228">
        <v>7.1</v>
      </c>
      <c r="AG132" s="229">
        <v>5.7000000000000002E-3</v>
      </c>
      <c r="AH132" s="228">
        <v>34.200000000000003</v>
      </c>
      <c r="AI132" s="228">
        <v>22.5</v>
      </c>
      <c r="AJ132" s="228">
        <v>11.7</v>
      </c>
      <c r="AK132" s="229">
        <v>1.17E-2</v>
      </c>
      <c r="AL132" s="228">
        <v>55.6</v>
      </c>
      <c r="AM132" s="228">
        <v>36.200000000000003</v>
      </c>
      <c r="AN132" s="228">
        <v>19.399999999999999</v>
      </c>
      <c r="AO132" s="229">
        <v>1.9099999999999999E-2</v>
      </c>
      <c r="AP132" s="231">
        <v>2953.87</v>
      </c>
      <c r="AQ132" s="231">
        <v>2987.94</v>
      </c>
      <c r="AR132" s="228">
        <v>0</v>
      </c>
      <c r="AS132" s="230">
        <v>1281</v>
      </c>
      <c r="AT132" s="228">
        <v>864</v>
      </c>
      <c r="AU132" s="228">
        <v>417</v>
      </c>
      <c r="AV132" s="229">
        <v>0.48259999999999997</v>
      </c>
      <c r="AW132" s="230">
        <v>1157</v>
      </c>
      <c r="AX132" s="228">
        <v>795</v>
      </c>
      <c r="AY132" s="228">
        <v>362</v>
      </c>
      <c r="AZ132" s="229">
        <v>0.45569999999999999</v>
      </c>
      <c r="BA132" s="228">
        <v>93</v>
      </c>
      <c r="BB132" s="228">
        <v>54</v>
      </c>
      <c r="BC132" s="228">
        <v>39</v>
      </c>
      <c r="BD132" s="229">
        <v>0.71860000000000002</v>
      </c>
      <c r="BE132" s="228">
        <v>31</v>
      </c>
      <c r="BF132" s="228">
        <v>15</v>
      </c>
      <c r="BG132" s="228">
        <v>16</v>
      </c>
      <c r="BH132" s="229">
        <v>1.0476000000000001</v>
      </c>
      <c r="BI132" s="230">
        <v>3097</v>
      </c>
      <c r="BJ132" s="230">
        <v>2432</v>
      </c>
      <c r="BK132" s="228">
        <v>665</v>
      </c>
      <c r="BL132" s="229">
        <v>0.27339999999999998</v>
      </c>
      <c r="BM132" s="230">
        <v>2243</v>
      </c>
      <c r="BN132" s="230">
        <v>1687</v>
      </c>
      <c r="BO132" s="228">
        <v>557</v>
      </c>
      <c r="BP132" s="229">
        <v>0.33</v>
      </c>
      <c r="BQ132" s="230">
        <v>6621</v>
      </c>
      <c r="BR132" s="230">
        <v>4983</v>
      </c>
      <c r="BS132" s="230">
        <v>1639</v>
      </c>
      <c r="BT132" s="229">
        <v>0.32879999999999998</v>
      </c>
      <c r="BU132" s="230">
        <v>2519703</v>
      </c>
      <c r="BV132" s="230">
        <v>2565729</v>
      </c>
      <c r="BW132" s="230">
        <v>-46026</v>
      </c>
      <c r="BX132" s="229">
        <v>-1.7899999999999999E-2</v>
      </c>
      <c r="BY132" s="230">
        <v>3795</v>
      </c>
      <c r="BZ132" s="230">
        <v>3683</v>
      </c>
      <c r="CA132" s="228">
        <v>112</v>
      </c>
      <c r="CB132" s="229">
        <v>3.04E-2</v>
      </c>
      <c r="CC132" s="230">
        <v>3662</v>
      </c>
      <c r="CD132" s="230">
        <v>3568</v>
      </c>
      <c r="CE132" s="228">
        <v>94</v>
      </c>
      <c r="CF132" s="229">
        <v>2.63E-2</v>
      </c>
      <c r="CG132" s="228">
        <v>121</v>
      </c>
      <c r="CH132" s="228">
        <v>111</v>
      </c>
      <c r="CI132" s="228">
        <v>11</v>
      </c>
      <c r="CJ132" s="229">
        <v>9.7699999999999995E-2</v>
      </c>
      <c r="CK132" s="228">
        <v>12</v>
      </c>
      <c r="CL132" s="228">
        <v>4</v>
      </c>
      <c r="CM132" s="228">
        <v>7</v>
      </c>
      <c r="CN132" s="229">
        <v>1.7343999999999999</v>
      </c>
      <c r="CO132" s="230">
        <v>1322</v>
      </c>
      <c r="CP132" s="230">
        <v>1175</v>
      </c>
      <c r="CQ132" s="228">
        <v>147</v>
      </c>
      <c r="CR132" s="229">
        <v>0.12479999999999999</v>
      </c>
      <c r="CS132" s="228">
        <v>957</v>
      </c>
      <c r="CT132" s="228">
        <v>891</v>
      </c>
      <c r="CU132" s="228">
        <v>66</v>
      </c>
      <c r="CV132" s="229">
        <v>7.3999999999999996E-2</v>
      </c>
      <c r="CW132" s="230">
        <v>6073</v>
      </c>
      <c r="CX132" s="230">
        <v>5749</v>
      </c>
      <c r="CY132" s="228">
        <v>324</v>
      </c>
      <c r="CZ132" s="229">
        <v>5.6399999999999999E-2</v>
      </c>
      <c r="DA132" s="228">
        <v>45.21</v>
      </c>
      <c r="DB132" s="228">
        <v>42.54</v>
      </c>
      <c r="DC132" s="228">
        <v>2.67</v>
      </c>
      <c r="DD132" s="228">
        <v>2.67</v>
      </c>
      <c r="DE132" s="228">
        <v>49.18</v>
      </c>
      <c r="DF132" s="228">
        <v>49.25</v>
      </c>
      <c r="DG132" s="228">
        <v>-3.97</v>
      </c>
      <c r="DH132" s="228">
        <v>-7.0000000000000007E-2</v>
      </c>
      <c r="DI132" s="228">
        <v>44.56</v>
      </c>
      <c r="DJ132" s="228">
        <v>41.55</v>
      </c>
      <c r="DK132" s="228">
        <v>3.01</v>
      </c>
      <c r="DL132" s="228">
        <v>3.01</v>
      </c>
      <c r="DM132" s="228">
        <v>46.1</v>
      </c>
      <c r="DN132" s="228">
        <v>43.96</v>
      </c>
      <c r="DO132" s="228">
        <v>2.14</v>
      </c>
      <c r="DP132" s="228">
        <v>2.14</v>
      </c>
      <c r="DQ132" s="228">
        <v>0.72</v>
      </c>
      <c r="DR132" s="228">
        <v>0.76</v>
      </c>
      <c r="DS132" s="228">
        <v>-0.04</v>
      </c>
      <c r="DT132" s="229">
        <v>-5.2600000000000001E-2</v>
      </c>
      <c r="DU132" s="231">
        <v>3000</v>
      </c>
      <c r="DV132" s="231">
        <v>2700</v>
      </c>
      <c r="DW132" s="228">
        <v>0.72</v>
      </c>
      <c r="DX132" s="228">
        <v>0.69</v>
      </c>
      <c r="DY132" s="228">
        <v>0.03</v>
      </c>
      <c r="DZ132" s="229">
        <v>4.3499999999999997E-2</v>
      </c>
      <c r="EA132" s="229">
        <v>3.5000000000000003E-2</v>
      </c>
      <c r="EB132" s="230">
        <v>391900</v>
      </c>
      <c r="EC132" s="229">
        <v>6.0000000000000001E-3</v>
      </c>
      <c r="ED132" s="229">
        <v>3.5000000000000003E-2</v>
      </c>
      <c r="EE132" s="228">
        <v>34.07</v>
      </c>
      <c r="EF132" s="229">
        <v>1.15E-2</v>
      </c>
      <c r="EG132" s="230">
        <v>873061</v>
      </c>
      <c r="EH132" s="230">
        <v>1160546</v>
      </c>
      <c r="EI132" s="229">
        <v>-0.2477</v>
      </c>
      <c r="EJ132" s="229">
        <v>0.34649999999999997</v>
      </c>
      <c r="EK132" s="231">
        <v>3375.37</v>
      </c>
      <c r="EL132" s="231">
        <v>2200.59</v>
      </c>
      <c r="EM132" s="231">
        <v>1272.8900000000001</v>
      </c>
      <c r="EN132" s="228">
        <v>80.11</v>
      </c>
      <c r="EO132" s="231">
        <v>6848.85</v>
      </c>
      <c r="EP132" s="231">
        <v>5164.2</v>
      </c>
      <c r="EQ132" s="231">
        <v>1684.65</v>
      </c>
      <c r="ER132" s="229">
        <v>0.32619999999999999</v>
      </c>
      <c r="ES132" s="231">
        <v>1372.27</v>
      </c>
      <c r="ET132" s="228">
        <v>885.66</v>
      </c>
      <c r="EU132" s="231">
        <v>3795.68</v>
      </c>
      <c r="EV132" s="231">
        <v>38177113</v>
      </c>
      <c r="EW132" s="231">
        <v>6053.62</v>
      </c>
      <c r="EX132" s="231">
        <v>5786.51</v>
      </c>
      <c r="EY132" s="228">
        <v>267.11</v>
      </c>
      <c r="EZ132" s="229">
        <v>4.6199999999999998E-2</v>
      </c>
      <c r="FA132" s="229">
        <v>0.54300000000000004</v>
      </c>
      <c r="FB132" s="227" t="s">
        <v>566</v>
      </c>
      <c r="FC132">
        <f t="shared" si="2"/>
        <v>133</v>
      </c>
    </row>
    <row r="133" spans="1:159" ht="17.25" thickBot="1" x14ac:dyDescent="0.3">
      <c r="A133" s="226">
        <v>46146</v>
      </c>
      <c r="B133" s="227" t="s">
        <v>175</v>
      </c>
      <c r="C133" s="227" t="s">
        <v>257</v>
      </c>
      <c r="D133" s="228">
        <v>400</v>
      </c>
      <c r="E133" s="228">
        <v>22</v>
      </c>
      <c r="F133" s="231">
        <v>1615.1</v>
      </c>
      <c r="G133" s="231">
        <v>1595.1</v>
      </c>
      <c r="H133" s="228">
        <v>20</v>
      </c>
      <c r="I133" s="229">
        <v>1.2500000000000001E-2</v>
      </c>
      <c r="J133" s="231">
        <v>1606.7</v>
      </c>
      <c r="K133" s="231">
        <v>1585.7</v>
      </c>
      <c r="L133" s="228">
        <v>21</v>
      </c>
      <c r="M133" s="229">
        <v>1.32E-2</v>
      </c>
      <c r="N133" s="231">
        <v>1615.1</v>
      </c>
      <c r="O133" s="231">
        <v>1595.1</v>
      </c>
      <c r="P133" s="228">
        <v>20</v>
      </c>
      <c r="Q133" s="229">
        <v>1.2500000000000001E-2</v>
      </c>
      <c r="R133" s="231">
        <v>1622.6</v>
      </c>
      <c r="S133" s="231">
        <v>1604.7</v>
      </c>
      <c r="T133" s="228">
        <v>17.899999999999999</v>
      </c>
      <c r="U133" s="229">
        <v>1.12E-2</v>
      </c>
      <c r="V133" s="231">
        <v>1600</v>
      </c>
      <c r="W133" s="231">
        <v>1600</v>
      </c>
      <c r="X133" s="228">
        <v>0</v>
      </c>
      <c r="Y133" s="229">
        <v>0</v>
      </c>
      <c r="Z133" s="228">
        <v>8.4</v>
      </c>
      <c r="AA133" s="228">
        <v>9.4</v>
      </c>
      <c r="AB133" s="228">
        <v>-1</v>
      </c>
      <c r="AC133" s="229">
        <v>5.1999999999999998E-3</v>
      </c>
      <c r="AD133" s="228">
        <v>8.4</v>
      </c>
      <c r="AE133" s="228">
        <v>9.4</v>
      </c>
      <c r="AF133" s="228">
        <v>-1</v>
      </c>
      <c r="AG133" s="229">
        <v>5.1999999999999998E-3</v>
      </c>
      <c r="AH133" s="228">
        <v>15.9</v>
      </c>
      <c r="AI133" s="228">
        <v>19</v>
      </c>
      <c r="AJ133" s="228">
        <v>-3.1</v>
      </c>
      <c r="AK133" s="229">
        <v>9.9000000000000008E-3</v>
      </c>
      <c r="AL133" s="228">
        <v>-6.7</v>
      </c>
      <c r="AM133" s="228">
        <v>14.3</v>
      </c>
      <c r="AN133" s="228">
        <v>-21</v>
      </c>
      <c r="AO133" s="229">
        <v>-4.1999999999999997E-3</v>
      </c>
      <c r="AP133" s="231">
        <v>1608.75</v>
      </c>
      <c r="AQ133" s="231">
        <v>1616.76</v>
      </c>
      <c r="AR133" s="228">
        <v>0</v>
      </c>
      <c r="AS133" s="228">
        <v>57</v>
      </c>
      <c r="AT133" s="228">
        <v>46</v>
      </c>
      <c r="AU133" s="228">
        <v>11</v>
      </c>
      <c r="AV133" s="229">
        <v>0.23599999999999999</v>
      </c>
      <c r="AW133" s="228">
        <v>55</v>
      </c>
      <c r="AX133" s="228">
        <v>45</v>
      </c>
      <c r="AY133" s="228">
        <v>10</v>
      </c>
      <c r="AZ133" s="229">
        <v>0.2273</v>
      </c>
      <c r="BA133" s="228">
        <v>2</v>
      </c>
      <c r="BB133" s="228">
        <v>1</v>
      </c>
      <c r="BC133" s="228">
        <v>1</v>
      </c>
      <c r="BD133" s="229">
        <v>1.0769</v>
      </c>
      <c r="BE133" s="228">
        <v>0</v>
      </c>
      <c r="BF133" s="228">
        <v>0</v>
      </c>
      <c r="BG133" s="228">
        <v>0</v>
      </c>
      <c r="BH133" s="229">
        <v>-1</v>
      </c>
      <c r="BI133" s="228">
        <v>86</v>
      </c>
      <c r="BJ133" s="228">
        <v>31</v>
      </c>
      <c r="BK133" s="228">
        <v>55</v>
      </c>
      <c r="BL133" s="229">
        <v>1.8055000000000001</v>
      </c>
      <c r="BM133" s="228">
        <v>28</v>
      </c>
      <c r="BN133" s="228">
        <v>12</v>
      </c>
      <c r="BO133" s="228">
        <v>15</v>
      </c>
      <c r="BP133" s="229">
        <v>1.2123999999999999</v>
      </c>
      <c r="BQ133" s="228">
        <v>170</v>
      </c>
      <c r="BR133" s="228">
        <v>89</v>
      </c>
      <c r="BS133" s="228">
        <v>81</v>
      </c>
      <c r="BT133" s="229">
        <v>0.91149999999999998</v>
      </c>
      <c r="BU133" s="230">
        <v>546907</v>
      </c>
      <c r="BV133" s="230">
        <v>432339</v>
      </c>
      <c r="BW133" s="230">
        <v>114568</v>
      </c>
      <c r="BX133" s="229">
        <v>0.26500000000000001</v>
      </c>
      <c r="BY133" s="230">
        <v>1484</v>
      </c>
      <c r="BZ133" s="230">
        <v>1482</v>
      </c>
      <c r="CA133" s="228">
        <v>1</v>
      </c>
      <c r="CB133" s="229">
        <v>8.9999999999999998E-4</v>
      </c>
      <c r="CC133" s="230">
        <v>1479</v>
      </c>
      <c r="CD133" s="230">
        <v>1478</v>
      </c>
      <c r="CE133" s="228">
        <v>1</v>
      </c>
      <c r="CF133" s="229">
        <v>8.9999999999999998E-4</v>
      </c>
      <c r="CG133" s="228">
        <v>4</v>
      </c>
      <c r="CH133" s="228">
        <v>4</v>
      </c>
      <c r="CI133" s="228">
        <v>0</v>
      </c>
      <c r="CJ133" s="229">
        <v>0</v>
      </c>
      <c r="CK133" s="228">
        <v>0</v>
      </c>
      <c r="CL133" s="228">
        <v>0</v>
      </c>
      <c r="CM133" s="228">
        <v>0</v>
      </c>
      <c r="CN133" s="229">
        <v>0</v>
      </c>
      <c r="CO133" s="228">
        <v>58</v>
      </c>
      <c r="CP133" s="228">
        <v>36</v>
      </c>
      <c r="CQ133" s="228">
        <v>22</v>
      </c>
      <c r="CR133" s="229">
        <v>0.60289999999999999</v>
      </c>
      <c r="CS133" s="228">
        <v>49</v>
      </c>
      <c r="CT133" s="228">
        <v>43</v>
      </c>
      <c r="CU133" s="228">
        <v>6</v>
      </c>
      <c r="CV133" s="229">
        <v>0.1489</v>
      </c>
      <c r="CW133" s="230">
        <v>1591</v>
      </c>
      <c r="CX133" s="230">
        <v>1561</v>
      </c>
      <c r="CY133" s="228">
        <v>30</v>
      </c>
      <c r="CZ133" s="229">
        <v>1.89E-2</v>
      </c>
      <c r="DA133" s="228">
        <v>34.5</v>
      </c>
      <c r="DB133" s="228">
        <v>33.380000000000003</v>
      </c>
      <c r="DC133" s="228">
        <v>1.1200000000000001</v>
      </c>
      <c r="DD133" s="228">
        <v>1.1200000000000001</v>
      </c>
      <c r="DE133" s="228">
        <v>31.63</v>
      </c>
      <c r="DF133" s="228">
        <v>31.66</v>
      </c>
      <c r="DG133" s="228">
        <v>2.87</v>
      </c>
      <c r="DH133" s="228">
        <v>-0.03</v>
      </c>
      <c r="DI133" s="228">
        <v>34.4</v>
      </c>
      <c r="DJ133" s="228">
        <v>33.61</v>
      </c>
      <c r="DK133" s="228">
        <v>0.79</v>
      </c>
      <c r="DL133" s="228">
        <v>0.79</v>
      </c>
      <c r="DM133" s="228">
        <v>34.81</v>
      </c>
      <c r="DN133" s="228">
        <v>32.81</v>
      </c>
      <c r="DO133" s="228">
        <v>2</v>
      </c>
      <c r="DP133" s="228">
        <v>2</v>
      </c>
      <c r="DQ133" s="228">
        <v>0.85</v>
      </c>
      <c r="DR133" s="228">
        <v>1.19</v>
      </c>
      <c r="DS133" s="228">
        <v>-0.34</v>
      </c>
      <c r="DT133" s="229">
        <v>-0.28570000000000001</v>
      </c>
      <c r="DU133" s="231">
        <v>1600</v>
      </c>
      <c r="DV133" s="231">
        <v>1600</v>
      </c>
      <c r="DW133" s="228">
        <v>0.32</v>
      </c>
      <c r="DX133" s="228">
        <v>0.41</v>
      </c>
      <c r="DY133" s="228">
        <v>-0.09</v>
      </c>
      <c r="DZ133" s="229">
        <v>-0.2195</v>
      </c>
      <c r="EA133" s="229">
        <v>3.0999999999999999E-3</v>
      </c>
      <c r="EB133" s="230">
        <v>28400</v>
      </c>
      <c r="EC133" s="229">
        <v>4.5999999999999999E-3</v>
      </c>
      <c r="ED133" s="229">
        <v>3.0999999999999999E-3</v>
      </c>
      <c r="EE133" s="228">
        <v>8.01</v>
      </c>
      <c r="EF133" s="229">
        <v>5.0000000000000001E-3</v>
      </c>
      <c r="EG133" s="230">
        <v>312328</v>
      </c>
      <c r="EH133" s="230">
        <v>257292</v>
      </c>
      <c r="EI133" s="229">
        <v>0.21390000000000001</v>
      </c>
      <c r="EJ133" s="229">
        <v>0.57110000000000005</v>
      </c>
      <c r="EK133" s="228">
        <v>90.26</v>
      </c>
      <c r="EL133" s="228">
        <v>27.51</v>
      </c>
      <c r="EM133" s="228">
        <v>56.64</v>
      </c>
      <c r="EN133" s="228">
        <v>54.52</v>
      </c>
      <c r="EO133" s="228">
        <v>174.41</v>
      </c>
      <c r="EP133" s="228">
        <v>90.33</v>
      </c>
      <c r="EQ133" s="228">
        <v>84.08</v>
      </c>
      <c r="ER133" s="229">
        <v>0.93079999999999996</v>
      </c>
      <c r="ES133" s="228">
        <v>60.82</v>
      </c>
      <c r="ET133" s="228">
        <v>48.04</v>
      </c>
      <c r="EU133" s="231">
        <v>1483.58</v>
      </c>
      <c r="EV133" s="231">
        <v>35051266</v>
      </c>
      <c r="EW133" s="231">
        <v>1592.45</v>
      </c>
      <c r="EX133" s="231">
        <v>1543.5</v>
      </c>
      <c r="EY133" s="228">
        <v>48.95</v>
      </c>
      <c r="EZ133" s="229">
        <v>3.1699999999999999E-2</v>
      </c>
      <c r="FA133" s="229">
        <v>0.28100000000000003</v>
      </c>
      <c r="FB133" s="227" t="s">
        <v>555</v>
      </c>
      <c r="FC133">
        <f t="shared" si="2"/>
        <v>5</v>
      </c>
    </row>
    <row r="134" spans="1:159" ht="17.25" thickBot="1" x14ac:dyDescent="0.3">
      <c r="A134" s="226">
        <v>46146</v>
      </c>
      <c r="B134" s="227" t="s">
        <v>181</v>
      </c>
      <c r="C134" s="227" t="s">
        <v>562</v>
      </c>
      <c r="D134" s="228">
        <v>120</v>
      </c>
      <c r="E134" s="228">
        <v>22</v>
      </c>
      <c r="F134" s="231">
        <v>13964.65</v>
      </c>
      <c r="G134" s="231">
        <v>13879.65</v>
      </c>
      <c r="H134" s="228">
        <v>85</v>
      </c>
      <c r="I134" s="229">
        <v>6.1000000000000004E-3</v>
      </c>
      <c r="J134" s="231">
        <v>13930.2</v>
      </c>
      <c r="K134" s="231">
        <v>13826</v>
      </c>
      <c r="L134" s="228">
        <v>104.2</v>
      </c>
      <c r="M134" s="229">
        <v>7.4999999999999997E-3</v>
      </c>
      <c r="N134" s="231">
        <v>13964.65</v>
      </c>
      <c r="O134" s="231">
        <v>13879.65</v>
      </c>
      <c r="P134" s="228">
        <v>85</v>
      </c>
      <c r="Q134" s="229">
        <v>6.1000000000000004E-3</v>
      </c>
      <c r="R134" s="231">
        <v>14006.25</v>
      </c>
      <c r="S134" s="231">
        <v>13934.1</v>
      </c>
      <c r="T134" s="228">
        <v>72.150000000000006</v>
      </c>
      <c r="U134" s="229">
        <v>5.1999999999999998E-3</v>
      </c>
      <c r="V134" s="231">
        <v>14076.35</v>
      </c>
      <c r="W134" s="231">
        <v>13951</v>
      </c>
      <c r="X134" s="228">
        <v>125.35</v>
      </c>
      <c r="Y134" s="229">
        <v>8.9999999999999993E-3</v>
      </c>
      <c r="Z134" s="228">
        <v>34.450000000000003</v>
      </c>
      <c r="AA134" s="228">
        <v>53.65</v>
      </c>
      <c r="AB134" s="228">
        <v>-19.2</v>
      </c>
      <c r="AC134" s="229">
        <v>2.5000000000000001E-3</v>
      </c>
      <c r="AD134" s="228">
        <v>34.450000000000003</v>
      </c>
      <c r="AE134" s="228">
        <v>53.65</v>
      </c>
      <c r="AF134" s="228">
        <v>-19.2</v>
      </c>
      <c r="AG134" s="229">
        <v>2.5000000000000001E-3</v>
      </c>
      <c r="AH134" s="228">
        <v>76.05</v>
      </c>
      <c r="AI134" s="228">
        <v>108.1</v>
      </c>
      <c r="AJ134" s="228">
        <v>-32.049999999999997</v>
      </c>
      <c r="AK134" s="229">
        <v>5.4999999999999997E-3</v>
      </c>
      <c r="AL134" s="228">
        <v>146.15</v>
      </c>
      <c r="AM134" s="228">
        <v>125</v>
      </c>
      <c r="AN134" s="228">
        <v>21.15</v>
      </c>
      <c r="AO134" s="229">
        <v>1.0500000000000001E-2</v>
      </c>
      <c r="AP134" s="231">
        <v>13971.83</v>
      </c>
      <c r="AQ134" s="231">
        <v>14038.13</v>
      </c>
      <c r="AR134" s="228">
        <v>0</v>
      </c>
      <c r="AS134" s="228">
        <v>615</v>
      </c>
      <c r="AT134" s="230">
        <v>1085</v>
      </c>
      <c r="AU134" s="228">
        <v>-471</v>
      </c>
      <c r="AV134" s="229">
        <v>-0.43359999999999999</v>
      </c>
      <c r="AW134" s="228">
        <v>572</v>
      </c>
      <c r="AX134" s="230">
        <v>1025</v>
      </c>
      <c r="AY134" s="228">
        <v>-453</v>
      </c>
      <c r="AZ134" s="229">
        <v>-0.44219999999999998</v>
      </c>
      <c r="BA134" s="228">
        <v>39</v>
      </c>
      <c r="BB134" s="228">
        <v>57</v>
      </c>
      <c r="BC134" s="228">
        <v>-18</v>
      </c>
      <c r="BD134" s="229">
        <v>-0.32069999999999999</v>
      </c>
      <c r="BE134" s="228">
        <v>4</v>
      </c>
      <c r="BF134" s="228">
        <v>3</v>
      </c>
      <c r="BG134" s="228">
        <v>1</v>
      </c>
      <c r="BH134" s="229">
        <v>0.33329999999999999</v>
      </c>
      <c r="BI134" s="230">
        <v>9298</v>
      </c>
      <c r="BJ134" s="230">
        <v>9994</v>
      </c>
      <c r="BK134" s="228">
        <v>-696</v>
      </c>
      <c r="BL134" s="229">
        <v>-6.9599999999999995E-2</v>
      </c>
      <c r="BM134" s="230">
        <v>9315</v>
      </c>
      <c r="BN134" s="230">
        <v>7928</v>
      </c>
      <c r="BO134" s="230">
        <v>1387</v>
      </c>
      <c r="BP134" s="229">
        <v>0.17499999999999999</v>
      </c>
      <c r="BQ134" s="230">
        <v>19228</v>
      </c>
      <c r="BR134" s="230">
        <v>19007</v>
      </c>
      <c r="BS134" s="228">
        <v>221</v>
      </c>
      <c r="BT134" s="229">
        <v>1.1599999999999999E-2</v>
      </c>
      <c r="BU134" s="228">
        <v>0</v>
      </c>
      <c r="BV134" s="228">
        <v>0</v>
      </c>
      <c r="BW134" s="228">
        <v>0</v>
      </c>
      <c r="BX134" s="229">
        <v>0</v>
      </c>
      <c r="BY134" s="230">
        <v>3152</v>
      </c>
      <c r="BZ134" s="230">
        <v>3131</v>
      </c>
      <c r="CA134" s="228">
        <v>22</v>
      </c>
      <c r="CB134" s="229">
        <v>7.0000000000000001E-3</v>
      </c>
      <c r="CC134" s="230">
        <v>3084</v>
      </c>
      <c r="CD134" s="230">
        <v>3064</v>
      </c>
      <c r="CE134" s="228">
        <v>19</v>
      </c>
      <c r="CF134" s="229">
        <v>6.3E-3</v>
      </c>
      <c r="CG134" s="228">
        <v>66</v>
      </c>
      <c r="CH134" s="228">
        <v>65</v>
      </c>
      <c r="CI134" s="228">
        <v>2</v>
      </c>
      <c r="CJ134" s="229">
        <v>2.3300000000000001E-2</v>
      </c>
      <c r="CK134" s="228">
        <v>3</v>
      </c>
      <c r="CL134" s="228">
        <v>2</v>
      </c>
      <c r="CM134" s="228">
        <v>1</v>
      </c>
      <c r="CN134" s="229">
        <v>0.45450000000000002</v>
      </c>
      <c r="CO134" s="230">
        <v>4770</v>
      </c>
      <c r="CP134" s="230">
        <v>4235</v>
      </c>
      <c r="CQ134" s="228">
        <v>535</v>
      </c>
      <c r="CR134" s="229">
        <v>0.12620000000000001</v>
      </c>
      <c r="CS134" s="230">
        <v>5414</v>
      </c>
      <c r="CT134" s="230">
        <v>4343</v>
      </c>
      <c r="CU134" s="230">
        <v>1070</v>
      </c>
      <c r="CV134" s="229">
        <v>0.2465</v>
      </c>
      <c r="CW134" s="230">
        <v>13336</v>
      </c>
      <c r="CX134" s="230">
        <v>11709</v>
      </c>
      <c r="CY134" s="230">
        <v>1627</v>
      </c>
      <c r="CZ134" s="229">
        <v>0.1389</v>
      </c>
      <c r="DA134" s="228">
        <v>23.17</v>
      </c>
      <c r="DB134" s="228">
        <v>22.77</v>
      </c>
      <c r="DC134" s="228">
        <v>0.4</v>
      </c>
      <c r="DD134" s="228">
        <v>0.4</v>
      </c>
      <c r="DE134" s="228">
        <v>24.84</v>
      </c>
      <c r="DF134" s="228">
        <v>24.89</v>
      </c>
      <c r="DG134" s="228">
        <v>-1.67</v>
      </c>
      <c r="DH134" s="228">
        <v>-0.05</v>
      </c>
      <c r="DI134" s="228">
        <v>21.63</v>
      </c>
      <c r="DJ134" s="228">
        <v>21.82</v>
      </c>
      <c r="DK134" s="228">
        <v>-0.19</v>
      </c>
      <c r="DL134" s="228">
        <v>-0.19</v>
      </c>
      <c r="DM134" s="228">
        <v>24.71</v>
      </c>
      <c r="DN134" s="228">
        <v>23.97</v>
      </c>
      <c r="DO134" s="228">
        <v>0.74</v>
      </c>
      <c r="DP134" s="228">
        <v>0.74</v>
      </c>
      <c r="DQ134" s="228">
        <v>1.1299999999999999</v>
      </c>
      <c r="DR134" s="228">
        <v>1.03</v>
      </c>
      <c r="DS134" s="228">
        <v>0.1</v>
      </c>
      <c r="DT134" s="229">
        <v>9.7100000000000006E-2</v>
      </c>
      <c r="DU134" s="231">
        <v>15000</v>
      </c>
      <c r="DV134" s="231">
        <v>13500</v>
      </c>
      <c r="DW134" s="228">
        <v>1</v>
      </c>
      <c r="DX134" s="228">
        <v>0.79</v>
      </c>
      <c r="DY134" s="228">
        <v>0.21</v>
      </c>
      <c r="DZ134" s="229">
        <v>0.26579999999999998</v>
      </c>
      <c r="EA134" s="229">
        <v>2.18E-2</v>
      </c>
      <c r="EB134" s="230">
        <v>47640</v>
      </c>
      <c r="EC134" s="229">
        <v>3.0000000000000001E-3</v>
      </c>
      <c r="ED134" s="229">
        <v>2.18E-2</v>
      </c>
      <c r="EE134" s="228">
        <v>66.3</v>
      </c>
      <c r="EF134" s="229">
        <v>4.7000000000000002E-3</v>
      </c>
      <c r="EG134" s="228">
        <v>0</v>
      </c>
      <c r="EH134" s="228">
        <v>0</v>
      </c>
      <c r="EI134" s="229">
        <v>0</v>
      </c>
      <c r="EJ134" s="229">
        <v>0</v>
      </c>
      <c r="EK134" s="231">
        <v>9678.2800000000007</v>
      </c>
      <c r="EL134" s="231">
        <v>8998.23</v>
      </c>
      <c r="EM134" s="228">
        <v>615.20000000000005</v>
      </c>
      <c r="EN134" s="228">
        <v>0</v>
      </c>
      <c r="EO134" s="231">
        <v>19291.71</v>
      </c>
      <c r="EP134" s="231">
        <v>19168.93</v>
      </c>
      <c r="EQ134" s="228">
        <v>122.78</v>
      </c>
      <c r="ER134" s="229">
        <v>6.4000000000000003E-3</v>
      </c>
      <c r="ES134" s="231">
        <v>4959.24</v>
      </c>
      <c r="ET134" s="231">
        <v>5063.66</v>
      </c>
      <c r="EU134" s="231">
        <v>3152.65</v>
      </c>
      <c r="EV134" s="228">
        <v>0</v>
      </c>
      <c r="EW134" s="231">
        <v>13175.55</v>
      </c>
      <c r="EX134" s="231">
        <v>11579.9</v>
      </c>
      <c r="EY134" s="231">
        <v>1595.65</v>
      </c>
      <c r="EZ134" s="229">
        <v>0.13780000000000001</v>
      </c>
      <c r="FA134" s="229">
        <v>0</v>
      </c>
      <c r="FB134" s="227" t="s">
        <v>555</v>
      </c>
      <c r="FC134">
        <f t="shared" si="2"/>
        <v>68</v>
      </c>
    </row>
    <row r="135" spans="1:159" ht="17.25" thickBot="1" x14ac:dyDescent="0.3">
      <c r="A135" s="226">
        <v>46146</v>
      </c>
      <c r="B135" s="227" t="s">
        <v>162</v>
      </c>
      <c r="C135" s="227" t="s">
        <v>558</v>
      </c>
      <c r="D135" s="228">
        <v>6150</v>
      </c>
      <c r="E135" s="228">
        <v>22</v>
      </c>
      <c r="F135" s="228">
        <v>120.79</v>
      </c>
      <c r="G135" s="228">
        <v>121.92</v>
      </c>
      <c r="H135" s="228">
        <v>-1.1299999999999999</v>
      </c>
      <c r="I135" s="229">
        <v>-9.2999999999999992E-3</v>
      </c>
      <c r="J135" s="228">
        <v>120.21</v>
      </c>
      <c r="K135" s="228">
        <v>121.21</v>
      </c>
      <c r="L135" s="228">
        <v>-1</v>
      </c>
      <c r="M135" s="229">
        <v>-8.3000000000000001E-3</v>
      </c>
      <c r="N135" s="228">
        <v>120.79</v>
      </c>
      <c r="O135" s="228">
        <v>121.92</v>
      </c>
      <c r="P135" s="228">
        <v>-1.1299999999999999</v>
      </c>
      <c r="Q135" s="229">
        <v>-9.2999999999999992E-3</v>
      </c>
      <c r="R135" s="228">
        <v>121.51</v>
      </c>
      <c r="S135" s="228">
        <v>122.78</v>
      </c>
      <c r="T135" s="228">
        <v>-1.27</v>
      </c>
      <c r="U135" s="229">
        <v>-1.03E-2</v>
      </c>
      <c r="V135" s="228">
        <v>122.4</v>
      </c>
      <c r="W135" s="228">
        <v>123.65</v>
      </c>
      <c r="X135" s="228">
        <v>-1.25</v>
      </c>
      <c r="Y135" s="229">
        <v>-1.01E-2</v>
      </c>
      <c r="Z135" s="228">
        <v>0.57999999999999996</v>
      </c>
      <c r="AA135" s="228">
        <v>0.71</v>
      </c>
      <c r="AB135" s="228">
        <v>-0.13</v>
      </c>
      <c r="AC135" s="229">
        <v>4.7999999999999996E-3</v>
      </c>
      <c r="AD135" s="228">
        <v>0.57999999999999996</v>
      </c>
      <c r="AE135" s="228">
        <v>0.71</v>
      </c>
      <c r="AF135" s="228">
        <v>-0.13</v>
      </c>
      <c r="AG135" s="229">
        <v>4.7999999999999996E-3</v>
      </c>
      <c r="AH135" s="228">
        <v>1.3</v>
      </c>
      <c r="AI135" s="228">
        <v>1.57</v>
      </c>
      <c r="AJ135" s="228">
        <v>-0.27</v>
      </c>
      <c r="AK135" s="229">
        <v>1.0800000000000001E-2</v>
      </c>
      <c r="AL135" s="228">
        <v>2.19</v>
      </c>
      <c r="AM135" s="228">
        <v>2.44</v>
      </c>
      <c r="AN135" s="228">
        <v>-0.25</v>
      </c>
      <c r="AO135" s="229">
        <v>1.8200000000000001E-2</v>
      </c>
      <c r="AP135" s="228">
        <v>121.95</v>
      </c>
      <c r="AQ135" s="228">
        <v>123.1</v>
      </c>
      <c r="AR135" s="228">
        <v>0</v>
      </c>
      <c r="AS135" s="228">
        <v>160</v>
      </c>
      <c r="AT135" s="228">
        <v>232</v>
      </c>
      <c r="AU135" s="228">
        <v>-72</v>
      </c>
      <c r="AV135" s="229">
        <v>-0.3105</v>
      </c>
      <c r="AW135" s="228">
        <v>147</v>
      </c>
      <c r="AX135" s="228">
        <v>212</v>
      </c>
      <c r="AY135" s="228">
        <v>-65</v>
      </c>
      <c r="AZ135" s="229">
        <v>-0.30530000000000002</v>
      </c>
      <c r="BA135" s="228">
        <v>11</v>
      </c>
      <c r="BB135" s="228">
        <v>18</v>
      </c>
      <c r="BC135" s="228">
        <v>-6</v>
      </c>
      <c r="BD135" s="229">
        <v>-0.36130000000000001</v>
      </c>
      <c r="BE135" s="228">
        <v>1</v>
      </c>
      <c r="BF135" s="228">
        <v>2</v>
      </c>
      <c r="BG135" s="228">
        <v>-1</v>
      </c>
      <c r="BH135" s="229">
        <v>-0.41670000000000001</v>
      </c>
      <c r="BI135" s="228">
        <v>170</v>
      </c>
      <c r="BJ135" s="228">
        <v>309</v>
      </c>
      <c r="BK135" s="228">
        <v>-139</v>
      </c>
      <c r="BL135" s="229">
        <v>-0.45069999999999999</v>
      </c>
      <c r="BM135" s="228">
        <v>75</v>
      </c>
      <c r="BN135" s="228">
        <v>175</v>
      </c>
      <c r="BO135" s="228">
        <v>-99</v>
      </c>
      <c r="BP135" s="229">
        <v>-0.56889999999999996</v>
      </c>
      <c r="BQ135" s="228">
        <v>405</v>
      </c>
      <c r="BR135" s="228">
        <v>715</v>
      </c>
      <c r="BS135" s="228">
        <v>-311</v>
      </c>
      <c r="BT135" s="229">
        <v>-0.43419999999999997</v>
      </c>
      <c r="BU135" s="230">
        <v>10803975</v>
      </c>
      <c r="BV135" s="230">
        <v>17975206</v>
      </c>
      <c r="BW135" s="230">
        <v>-7171231</v>
      </c>
      <c r="BX135" s="229">
        <v>-0.39900000000000002</v>
      </c>
      <c r="BY135" s="230">
        <v>1615</v>
      </c>
      <c r="BZ135" s="230">
        <v>1608</v>
      </c>
      <c r="CA135" s="228">
        <v>7</v>
      </c>
      <c r="CB135" s="229">
        <v>4.1000000000000003E-3</v>
      </c>
      <c r="CC135" s="230">
        <v>1490</v>
      </c>
      <c r="CD135" s="230">
        <v>1484</v>
      </c>
      <c r="CE135" s="228">
        <v>6</v>
      </c>
      <c r="CF135" s="229">
        <v>4.0000000000000001E-3</v>
      </c>
      <c r="CG135" s="228">
        <v>123</v>
      </c>
      <c r="CH135" s="228">
        <v>123</v>
      </c>
      <c r="CI135" s="228">
        <v>0</v>
      </c>
      <c r="CJ135" s="229">
        <v>2.3999999999999998E-3</v>
      </c>
      <c r="CK135" s="228">
        <v>1</v>
      </c>
      <c r="CL135" s="228">
        <v>1</v>
      </c>
      <c r="CM135" s="228">
        <v>0</v>
      </c>
      <c r="CN135" s="229">
        <v>0.46150000000000002</v>
      </c>
      <c r="CO135" s="228">
        <v>330</v>
      </c>
      <c r="CP135" s="228">
        <v>291</v>
      </c>
      <c r="CQ135" s="228">
        <v>39</v>
      </c>
      <c r="CR135" s="229">
        <v>0.1341</v>
      </c>
      <c r="CS135" s="228">
        <v>216</v>
      </c>
      <c r="CT135" s="228">
        <v>208</v>
      </c>
      <c r="CU135" s="228">
        <v>8</v>
      </c>
      <c r="CV135" s="229">
        <v>3.9300000000000002E-2</v>
      </c>
      <c r="CW135" s="230">
        <v>2160</v>
      </c>
      <c r="CX135" s="230">
        <v>2107</v>
      </c>
      <c r="CY135" s="228">
        <v>54</v>
      </c>
      <c r="CZ135" s="229">
        <v>2.5499999999999998E-2</v>
      </c>
      <c r="DA135" s="228">
        <v>42.02</v>
      </c>
      <c r="DB135" s="228">
        <v>40.909999999999997</v>
      </c>
      <c r="DC135" s="228">
        <v>1.1100000000000001</v>
      </c>
      <c r="DD135" s="228">
        <v>1.1100000000000001</v>
      </c>
      <c r="DE135" s="228">
        <v>43.41</v>
      </c>
      <c r="DF135" s="228">
        <v>43.5</v>
      </c>
      <c r="DG135" s="228">
        <v>-1.39</v>
      </c>
      <c r="DH135" s="228">
        <v>-0.09</v>
      </c>
      <c r="DI135" s="228">
        <v>41.89</v>
      </c>
      <c r="DJ135" s="228">
        <v>40.69</v>
      </c>
      <c r="DK135" s="228">
        <v>1.2</v>
      </c>
      <c r="DL135" s="228">
        <v>1.2</v>
      </c>
      <c r="DM135" s="228">
        <v>42.32</v>
      </c>
      <c r="DN135" s="228">
        <v>41.31</v>
      </c>
      <c r="DO135" s="228">
        <v>1.01</v>
      </c>
      <c r="DP135" s="228">
        <v>1.01</v>
      </c>
      <c r="DQ135" s="228">
        <v>0.66</v>
      </c>
      <c r="DR135" s="228">
        <v>0.72</v>
      </c>
      <c r="DS135" s="228">
        <v>-0.06</v>
      </c>
      <c r="DT135" s="229">
        <v>-8.3299999999999999E-2</v>
      </c>
      <c r="DU135" s="228">
        <v>130</v>
      </c>
      <c r="DV135" s="228">
        <v>120</v>
      </c>
      <c r="DW135" s="228">
        <v>0.44</v>
      </c>
      <c r="DX135" s="228">
        <v>0.56999999999999995</v>
      </c>
      <c r="DY135" s="228">
        <v>-0.13</v>
      </c>
      <c r="DZ135" s="229">
        <v>-0.2281</v>
      </c>
      <c r="EA135" s="229">
        <v>7.7299999999999994E-2</v>
      </c>
      <c r="EB135" s="230">
        <v>10264350</v>
      </c>
      <c r="EC135" s="229">
        <v>6.0000000000000001E-3</v>
      </c>
      <c r="ED135" s="229">
        <v>7.7299999999999994E-2</v>
      </c>
      <c r="EE135" s="228">
        <v>1.1499999999999999</v>
      </c>
      <c r="EF135" s="229">
        <v>9.4000000000000004E-3</v>
      </c>
      <c r="EG135" s="230">
        <v>4795334</v>
      </c>
      <c r="EH135" s="230">
        <v>7324031</v>
      </c>
      <c r="EI135" s="229">
        <v>-0.3453</v>
      </c>
      <c r="EJ135" s="229">
        <v>0.44379999999999997</v>
      </c>
      <c r="EK135" s="228">
        <v>187.52</v>
      </c>
      <c r="EL135" s="228">
        <v>74.400000000000006</v>
      </c>
      <c r="EM135" s="228">
        <v>161.37</v>
      </c>
      <c r="EN135" s="228">
        <v>81.86</v>
      </c>
      <c r="EO135" s="228">
        <v>423.29</v>
      </c>
      <c r="EP135" s="228">
        <v>753.14</v>
      </c>
      <c r="EQ135" s="228">
        <v>-329.85</v>
      </c>
      <c r="ER135" s="229">
        <v>-0.438</v>
      </c>
      <c r="ES135" s="228">
        <v>361.07</v>
      </c>
      <c r="ET135" s="228">
        <v>214.31</v>
      </c>
      <c r="EU135" s="231">
        <v>1615.28</v>
      </c>
      <c r="EV135" s="231">
        <v>588447385</v>
      </c>
      <c r="EW135" s="231">
        <v>2190.66</v>
      </c>
      <c r="EX135" s="231">
        <v>2149.36</v>
      </c>
      <c r="EY135" s="228">
        <v>41.3</v>
      </c>
      <c r="EZ135" s="229">
        <v>1.9199999999999998E-2</v>
      </c>
      <c r="FA135" s="229">
        <v>0.30399999999999999</v>
      </c>
      <c r="FB135" s="227" t="s">
        <v>566</v>
      </c>
      <c r="FC135">
        <f t="shared" si="2"/>
        <v>125</v>
      </c>
    </row>
    <row r="136" spans="1:159" ht="17.25" thickBot="1" x14ac:dyDescent="0.3">
      <c r="A136" s="226">
        <v>46146</v>
      </c>
      <c r="B136" s="227" t="s">
        <v>175</v>
      </c>
      <c r="C136" s="227" t="s">
        <v>696</v>
      </c>
      <c r="D136" s="228">
        <v>775</v>
      </c>
      <c r="E136" s="228">
        <v>22</v>
      </c>
      <c r="F136" s="228">
        <v>840.45</v>
      </c>
      <c r="G136" s="228">
        <v>805.15</v>
      </c>
      <c r="H136" s="228">
        <v>35.299999999999997</v>
      </c>
      <c r="I136" s="229">
        <v>4.3799999999999999E-2</v>
      </c>
      <c r="J136" s="228">
        <v>836.6</v>
      </c>
      <c r="K136" s="228">
        <v>800.25</v>
      </c>
      <c r="L136" s="228">
        <v>36.35</v>
      </c>
      <c r="M136" s="229">
        <v>4.5400000000000003E-2</v>
      </c>
      <c r="N136" s="228">
        <v>840.45</v>
      </c>
      <c r="O136" s="228">
        <v>805.15</v>
      </c>
      <c r="P136" s="228">
        <v>35.299999999999997</v>
      </c>
      <c r="Q136" s="229">
        <v>4.3799999999999999E-2</v>
      </c>
      <c r="R136" s="228">
        <v>844.25</v>
      </c>
      <c r="S136" s="228">
        <v>807.15</v>
      </c>
      <c r="T136" s="228">
        <v>37.1</v>
      </c>
      <c r="U136" s="229">
        <v>4.5999999999999999E-2</v>
      </c>
      <c r="V136" s="228">
        <v>832.2</v>
      </c>
      <c r="W136" s="228">
        <v>812.05</v>
      </c>
      <c r="X136" s="228">
        <v>20.149999999999999</v>
      </c>
      <c r="Y136" s="229">
        <v>2.4799999999999999E-2</v>
      </c>
      <c r="Z136" s="228">
        <v>3.85</v>
      </c>
      <c r="AA136" s="228">
        <v>4.9000000000000004</v>
      </c>
      <c r="AB136" s="228">
        <v>-1.05</v>
      </c>
      <c r="AC136" s="229">
        <v>4.5999999999999999E-3</v>
      </c>
      <c r="AD136" s="228">
        <v>3.85</v>
      </c>
      <c r="AE136" s="228">
        <v>4.9000000000000004</v>
      </c>
      <c r="AF136" s="228">
        <v>-1.05</v>
      </c>
      <c r="AG136" s="229">
        <v>4.5999999999999999E-3</v>
      </c>
      <c r="AH136" s="228">
        <v>7.65</v>
      </c>
      <c r="AI136" s="228">
        <v>6.9</v>
      </c>
      <c r="AJ136" s="228">
        <v>0.75</v>
      </c>
      <c r="AK136" s="229">
        <v>9.1000000000000004E-3</v>
      </c>
      <c r="AL136" s="228">
        <v>-4.4000000000000004</v>
      </c>
      <c r="AM136" s="228">
        <v>11.8</v>
      </c>
      <c r="AN136" s="228">
        <v>-16.2</v>
      </c>
      <c r="AO136" s="229">
        <v>-5.3E-3</v>
      </c>
      <c r="AP136" s="228">
        <v>831.58</v>
      </c>
      <c r="AQ136" s="228">
        <v>838.79</v>
      </c>
      <c r="AR136" s="228">
        <v>0</v>
      </c>
      <c r="AS136" s="228">
        <v>154</v>
      </c>
      <c r="AT136" s="228">
        <v>256</v>
      </c>
      <c r="AU136" s="228">
        <v>-102</v>
      </c>
      <c r="AV136" s="229">
        <v>-0.39689999999999998</v>
      </c>
      <c r="AW136" s="228">
        <v>152</v>
      </c>
      <c r="AX136" s="228">
        <v>251</v>
      </c>
      <c r="AY136" s="228">
        <v>-99</v>
      </c>
      <c r="AZ136" s="229">
        <v>-0.39500000000000002</v>
      </c>
      <c r="BA136" s="228">
        <v>2</v>
      </c>
      <c r="BB136" s="228">
        <v>4</v>
      </c>
      <c r="BC136" s="228">
        <v>-2</v>
      </c>
      <c r="BD136" s="229">
        <v>-0.50790000000000002</v>
      </c>
      <c r="BE136" s="228">
        <v>1</v>
      </c>
      <c r="BF136" s="228">
        <v>1</v>
      </c>
      <c r="BG136" s="228">
        <v>0</v>
      </c>
      <c r="BH136" s="229">
        <v>-0.4118</v>
      </c>
      <c r="BI136" s="228">
        <v>439</v>
      </c>
      <c r="BJ136" s="228">
        <v>773</v>
      </c>
      <c r="BK136" s="228">
        <v>-334</v>
      </c>
      <c r="BL136" s="229">
        <v>-0.43230000000000002</v>
      </c>
      <c r="BM136" s="228">
        <v>107</v>
      </c>
      <c r="BN136" s="228">
        <v>319</v>
      </c>
      <c r="BO136" s="228">
        <v>-212</v>
      </c>
      <c r="BP136" s="229">
        <v>-0.66369999999999996</v>
      </c>
      <c r="BQ136" s="228">
        <v>701</v>
      </c>
      <c r="BR136" s="230">
        <v>1349</v>
      </c>
      <c r="BS136" s="228">
        <v>-648</v>
      </c>
      <c r="BT136" s="229">
        <v>-0.4803</v>
      </c>
      <c r="BU136" s="230">
        <v>3178619</v>
      </c>
      <c r="BV136" s="230">
        <v>4828087</v>
      </c>
      <c r="BW136" s="230">
        <v>-1649468</v>
      </c>
      <c r="BX136" s="229">
        <v>-0.34160000000000001</v>
      </c>
      <c r="BY136" s="228">
        <v>240</v>
      </c>
      <c r="BZ136" s="228">
        <v>229</v>
      </c>
      <c r="CA136" s="228">
        <v>11</v>
      </c>
      <c r="CB136" s="229">
        <v>4.6600000000000003E-2</v>
      </c>
      <c r="CC136" s="228">
        <v>236</v>
      </c>
      <c r="CD136" s="228">
        <v>226</v>
      </c>
      <c r="CE136" s="228">
        <v>10</v>
      </c>
      <c r="CF136" s="229">
        <v>4.4400000000000002E-2</v>
      </c>
      <c r="CG136" s="228">
        <v>3</v>
      </c>
      <c r="CH136" s="228">
        <v>3</v>
      </c>
      <c r="CI136" s="228">
        <v>1</v>
      </c>
      <c r="CJ136" s="229">
        <v>0.24390000000000001</v>
      </c>
      <c r="CK136" s="228">
        <v>1</v>
      </c>
      <c r="CL136" s="228">
        <v>1</v>
      </c>
      <c r="CM136" s="228">
        <v>0</v>
      </c>
      <c r="CN136" s="229">
        <v>0</v>
      </c>
      <c r="CO136" s="228">
        <v>170</v>
      </c>
      <c r="CP136" s="228">
        <v>156</v>
      </c>
      <c r="CQ136" s="228">
        <v>14</v>
      </c>
      <c r="CR136" s="229">
        <v>9.06E-2</v>
      </c>
      <c r="CS136" s="228">
        <v>115</v>
      </c>
      <c r="CT136" s="228">
        <v>115</v>
      </c>
      <c r="CU136" s="228">
        <v>0</v>
      </c>
      <c r="CV136" s="229">
        <v>-3.3999999999999998E-3</v>
      </c>
      <c r="CW136" s="228">
        <v>525</v>
      </c>
      <c r="CX136" s="228">
        <v>500</v>
      </c>
      <c r="CY136" s="228">
        <v>24</v>
      </c>
      <c r="CZ136" s="229">
        <v>4.8800000000000003E-2</v>
      </c>
      <c r="DA136" s="228">
        <v>39.43</v>
      </c>
      <c r="DB136" s="228">
        <v>42.02</v>
      </c>
      <c r="DC136" s="228">
        <v>-2.59</v>
      </c>
      <c r="DD136" s="228">
        <v>-2.59</v>
      </c>
      <c r="DE136" s="228">
        <v>54.23</v>
      </c>
      <c r="DF136" s="228">
        <v>54.05</v>
      </c>
      <c r="DG136" s="228">
        <v>-14.8</v>
      </c>
      <c r="DH136" s="228">
        <v>0.18</v>
      </c>
      <c r="DI136" s="228">
        <v>38.96</v>
      </c>
      <c r="DJ136" s="228">
        <v>41.99</v>
      </c>
      <c r="DK136" s="228">
        <v>-3.03</v>
      </c>
      <c r="DL136" s="228">
        <v>-3.03</v>
      </c>
      <c r="DM136" s="228">
        <v>41.37</v>
      </c>
      <c r="DN136" s="228">
        <v>42.09</v>
      </c>
      <c r="DO136" s="228">
        <v>-0.72</v>
      </c>
      <c r="DP136" s="228">
        <v>-0.72</v>
      </c>
      <c r="DQ136" s="228">
        <v>0.67</v>
      </c>
      <c r="DR136" s="228">
        <v>0.74</v>
      </c>
      <c r="DS136" s="228">
        <v>-7.0000000000000007E-2</v>
      </c>
      <c r="DT136" s="229">
        <v>-9.4600000000000004E-2</v>
      </c>
      <c r="DU136" s="228">
        <v>840</v>
      </c>
      <c r="DV136" s="228">
        <v>800</v>
      </c>
      <c r="DW136" s="228">
        <v>0.24</v>
      </c>
      <c r="DX136" s="228">
        <v>0.41</v>
      </c>
      <c r="DY136" s="228">
        <v>-0.17</v>
      </c>
      <c r="DZ136" s="229">
        <v>-0.41460000000000002</v>
      </c>
      <c r="EA136" s="229">
        <v>1.6799999999999999E-2</v>
      </c>
      <c r="EB136" s="230">
        <v>40300</v>
      </c>
      <c r="EC136" s="229">
        <v>4.4999999999999997E-3</v>
      </c>
      <c r="ED136" s="229">
        <v>1.6799999999999999E-2</v>
      </c>
      <c r="EE136" s="228">
        <v>7.21</v>
      </c>
      <c r="EF136" s="229">
        <v>8.6999999999999994E-3</v>
      </c>
      <c r="EG136" s="230">
        <v>1360288</v>
      </c>
      <c r="EH136" s="230">
        <v>1423958</v>
      </c>
      <c r="EI136" s="229">
        <v>-4.4699999999999997E-2</v>
      </c>
      <c r="EJ136" s="229">
        <v>0.4279</v>
      </c>
      <c r="EK136" s="228">
        <v>458.56</v>
      </c>
      <c r="EL136" s="228">
        <v>101.73</v>
      </c>
      <c r="EM136" s="228">
        <v>152.88999999999999</v>
      </c>
      <c r="EN136" s="228">
        <v>33.6</v>
      </c>
      <c r="EO136" s="228">
        <v>713.17</v>
      </c>
      <c r="EP136" s="231">
        <v>1335.4</v>
      </c>
      <c r="EQ136" s="228">
        <v>-622.22</v>
      </c>
      <c r="ER136" s="229">
        <v>-0.46589999999999998</v>
      </c>
      <c r="ES136" s="228">
        <v>170.48</v>
      </c>
      <c r="ET136" s="228">
        <v>104.11</v>
      </c>
      <c r="EU136" s="228">
        <v>239.77</v>
      </c>
      <c r="EV136" s="231">
        <v>29196111</v>
      </c>
      <c r="EW136" s="228">
        <v>514.36</v>
      </c>
      <c r="EX136" s="228">
        <v>477.66</v>
      </c>
      <c r="EY136" s="228">
        <v>36.700000000000003</v>
      </c>
      <c r="EZ136" s="229">
        <v>7.6799999999999993E-2</v>
      </c>
      <c r="FA136" s="229">
        <v>0.21390000000000001</v>
      </c>
      <c r="FB136" s="227" t="s">
        <v>555</v>
      </c>
      <c r="FC136">
        <f t="shared" si="2"/>
        <v>4</v>
      </c>
    </row>
    <row r="137" spans="1:159" ht="17.25" thickBot="1" x14ac:dyDescent="0.3">
      <c r="A137" s="226">
        <v>46146</v>
      </c>
      <c r="B137" s="227" t="s">
        <v>221</v>
      </c>
      <c r="C137" s="227" t="s">
        <v>487</v>
      </c>
      <c r="D137" s="228">
        <v>275</v>
      </c>
      <c r="E137" s="228">
        <v>22</v>
      </c>
      <c r="F137" s="231">
        <v>2284</v>
      </c>
      <c r="G137" s="231">
        <v>2288.8000000000002</v>
      </c>
      <c r="H137" s="228">
        <v>-4.8</v>
      </c>
      <c r="I137" s="229">
        <v>-2.0999999999999999E-3</v>
      </c>
      <c r="J137" s="231">
        <v>2276.6</v>
      </c>
      <c r="K137" s="231">
        <v>2276.6999999999998</v>
      </c>
      <c r="L137" s="228">
        <v>-0.1</v>
      </c>
      <c r="M137" s="229">
        <v>0</v>
      </c>
      <c r="N137" s="231">
        <v>2284</v>
      </c>
      <c r="O137" s="231">
        <v>2288.8000000000002</v>
      </c>
      <c r="P137" s="228">
        <v>-4.8</v>
      </c>
      <c r="Q137" s="229">
        <v>-2.0999999999999999E-3</v>
      </c>
      <c r="R137" s="231">
        <v>2295.6999999999998</v>
      </c>
      <c r="S137" s="231">
        <v>2302</v>
      </c>
      <c r="T137" s="228">
        <v>-6.3</v>
      </c>
      <c r="U137" s="229">
        <v>-2.7000000000000001E-3</v>
      </c>
      <c r="V137" s="231">
        <v>2282</v>
      </c>
      <c r="W137" s="231">
        <v>2316.6999999999998</v>
      </c>
      <c r="X137" s="228">
        <v>-34.700000000000003</v>
      </c>
      <c r="Y137" s="229">
        <v>-1.4999999999999999E-2</v>
      </c>
      <c r="Z137" s="228">
        <v>7.4</v>
      </c>
      <c r="AA137" s="228">
        <v>12.1</v>
      </c>
      <c r="AB137" s="228">
        <v>-4.7</v>
      </c>
      <c r="AC137" s="229">
        <v>3.3E-3</v>
      </c>
      <c r="AD137" s="228">
        <v>7.4</v>
      </c>
      <c r="AE137" s="228">
        <v>12.1</v>
      </c>
      <c r="AF137" s="228">
        <v>-4.7</v>
      </c>
      <c r="AG137" s="229">
        <v>3.3E-3</v>
      </c>
      <c r="AH137" s="228">
        <v>19.100000000000001</v>
      </c>
      <c r="AI137" s="228">
        <v>25.3</v>
      </c>
      <c r="AJ137" s="228">
        <v>-6.2</v>
      </c>
      <c r="AK137" s="229">
        <v>8.3999999999999995E-3</v>
      </c>
      <c r="AL137" s="228">
        <v>5.4</v>
      </c>
      <c r="AM137" s="228">
        <v>40</v>
      </c>
      <c r="AN137" s="228">
        <v>-34.6</v>
      </c>
      <c r="AO137" s="229">
        <v>2.3999999999999998E-3</v>
      </c>
      <c r="AP137" s="231">
        <v>2286.64</v>
      </c>
      <c r="AQ137" s="231">
        <v>2292.61</v>
      </c>
      <c r="AR137" s="228">
        <v>0</v>
      </c>
      <c r="AS137" s="228">
        <v>170</v>
      </c>
      <c r="AT137" s="228">
        <v>714</v>
      </c>
      <c r="AU137" s="228">
        <v>-544</v>
      </c>
      <c r="AV137" s="229">
        <v>-0.76239999999999997</v>
      </c>
      <c r="AW137" s="228">
        <v>167</v>
      </c>
      <c r="AX137" s="228">
        <v>704</v>
      </c>
      <c r="AY137" s="228">
        <v>-537</v>
      </c>
      <c r="AZ137" s="229">
        <v>-0.76259999999999994</v>
      </c>
      <c r="BA137" s="228">
        <v>2</v>
      </c>
      <c r="BB137" s="228">
        <v>10</v>
      </c>
      <c r="BC137" s="228">
        <v>-8</v>
      </c>
      <c r="BD137" s="229">
        <v>-0.78949999999999998</v>
      </c>
      <c r="BE137" s="228">
        <v>1</v>
      </c>
      <c r="BF137" s="228">
        <v>1</v>
      </c>
      <c r="BG137" s="228">
        <v>0</v>
      </c>
      <c r="BH137" s="229">
        <v>-0.25</v>
      </c>
      <c r="BI137" s="228">
        <v>309</v>
      </c>
      <c r="BJ137" s="230">
        <v>2231</v>
      </c>
      <c r="BK137" s="230">
        <v>-1923</v>
      </c>
      <c r="BL137" s="229">
        <v>-0.86170000000000002</v>
      </c>
      <c r="BM137" s="228">
        <v>150</v>
      </c>
      <c r="BN137" s="230">
        <v>1010</v>
      </c>
      <c r="BO137" s="228">
        <v>-860</v>
      </c>
      <c r="BP137" s="229">
        <v>-0.85140000000000005</v>
      </c>
      <c r="BQ137" s="228">
        <v>628</v>
      </c>
      <c r="BR137" s="230">
        <v>3956</v>
      </c>
      <c r="BS137" s="230">
        <v>-3327</v>
      </c>
      <c r="BT137" s="229">
        <v>-0.84119999999999995</v>
      </c>
      <c r="BU137" s="230">
        <v>281591</v>
      </c>
      <c r="BV137" s="230">
        <v>2062239</v>
      </c>
      <c r="BW137" s="230">
        <v>-1780648</v>
      </c>
      <c r="BX137" s="229">
        <v>-0.86350000000000005</v>
      </c>
      <c r="BY137" s="230">
        <v>1091</v>
      </c>
      <c r="BZ137" s="230">
        <v>1099</v>
      </c>
      <c r="CA137" s="228">
        <v>-8</v>
      </c>
      <c r="CB137" s="229">
        <v>-7.0000000000000001E-3</v>
      </c>
      <c r="CC137" s="230">
        <v>1083</v>
      </c>
      <c r="CD137" s="230">
        <v>1091</v>
      </c>
      <c r="CE137" s="228">
        <v>-8</v>
      </c>
      <c r="CF137" s="229">
        <v>-7.1999999999999998E-3</v>
      </c>
      <c r="CG137" s="228">
        <v>7</v>
      </c>
      <c r="CH137" s="228">
        <v>7</v>
      </c>
      <c r="CI137" s="228">
        <v>0</v>
      </c>
      <c r="CJ137" s="229">
        <v>-2.52E-2</v>
      </c>
      <c r="CK137" s="228">
        <v>1</v>
      </c>
      <c r="CL137" s="228">
        <v>1</v>
      </c>
      <c r="CM137" s="228">
        <v>0</v>
      </c>
      <c r="CN137" s="229">
        <v>0.625</v>
      </c>
      <c r="CO137" s="228">
        <v>322</v>
      </c>
      <c r="CP137" s="228">
        <v>345</v>
      </c>
      <c r="CQ137" s="228">
        <v>-23</v>
      </c>
      <c r="CR137" s="229">
        <v>-6.6000000000000003E-2</v>
      </c>
      <c r="CS137" s="228">
        <v>220</v>
      </c>
      <c r="CT137" s="228">
        <v>235</v>
      </c>
      <c r="CU137" s="228">
        <v>-14</v>
      </c>
      <c r="CV137" s="229">
        <v>-6.0499999999999998E-2</v>
      </c>
      <c r="CW137" s="230">
        <v>1634</v>
      </c>
      <c r="CX137" s="230">
        <v>1679</v>
      </c>
      <c r="CY137" s="228">
        <v>-45</v>
      </c>
      <c r="CZ137" s="229">
        <v>-2.6599999999999999E-2</v>
      </c>
      <c r="DA137" s="228">
        <v>36.85</v>
      </c>
      <c r="DB137" s="228">
        <v>36.909999999999997</v>
      </c>
      <c r="DC137" s="228">
        <v>-0.06</v>
      </c>
      <c r="DD137" s="228">
        <v>-0.06</v>
      </c>
      <c r="DE137" s="228">
        <v>37.049999999999997</v>
      </c>
      <c r="DF137" s="228">
        <v>37.14</v>
      </c>
      <c r="DG137" s="228">
        <v>-0.2</v>
      </c>
      <c r="DH137" s="228">
        <v>-0.09</v>
      </c>
      <c r="DI137" s="228">
        <v>36.29</v>
      </c>
      <c r="DJ137" s="228">
        <v>36.81</v>
      </c>
      <c r="DK137" s="228">
        <v>-0.52</v>
      </c>
      <c r="DL137" s="228">
        <v>-0.52</v>
      </c>
      <c r="DM137" s="228">
        <v>37.99</v>
      </c>
      <c r="DN137" s="228">
        <v>37.14</v>
      </c>
      <c r="DO137" s="228">
        <v>0.85</v>
      </c>
      <c r="DP137" s="228">
        <v>0.85</v>
      </c>
      <c r="DQ137" s="228">
        <v>0.68</v>
      </c>
      <c r="DR137" s="228">
        <v>0.68</v>
      </c>
      <c r="DS137" s="228">
        <v>0</v>
      </c>
      <c r="DT137" s="229">
        <v>0</v>
      </c>
      <c r="DU137" s="231">
        <v>2280</v>
      </c>
      <c r="DV137" s="231">
        <v>2200</v>
      </c>
      <c r="DW137" s="228">
        <v>0.49</v>
      </c>
      <c r="DX137" s="228">
        <v>0.45</v>
      </c>
      <c r="DY137" s="228">
        <v>0.04</v>
      </c>
      <c r="DZ137" s="229">
        <v>8.8900000000000007E-2</v>
      </c>
      <c r="EA137" s="229">
        <v>7.4000000000000003E-3</v>
      </c>
      <c r="EB137" s="230">
        <v>34925</v>
      </c>
      <c r="EC137" s="229">
        <v>5.1000000000000004E-3</v>
      </c>
      <c r="ED137" s="229">
        <v>7.4000000000000003E-3</v>
      </c>
      <c r="EE137" s="228">
        <v>5.97</v>
      </c>
      <c r="EF137" s="229">
        <v>2.5999999999999999E-3</v>
      </c>
      <c r="EG137" s="230">
        <v>86685</v>
      </c>
      <c r="EH137" s="230">
        <v>749738</v>
      </c>
      <c r="EI137" s="229">
        <v>-0.88439999999999996</v>
      </c>
      <c r="EJ137" s="229">
        <v>0.30780000000000002</v>
      </c>
      <c r="EK137" s="228">
        <v>330.68</v>
      </c>
      <c r="EL137" s="228">
        <v>148.29</v>
      </c>
      <c r="EM137" s="228">
        <v>169.85</v>
      </c>
      <c r="EN137" s="228">
        <v>102.35</v>
      </c>
      <c r="EO137" s="228">
        <v>648.82000000000005</v>
      </c>
      <c r="EP137" s="231">
        <v>4114.07</v>
      </c>
      <c r="EQ137" s="231">
        <v>-3465.25</v>
      </c>
      <c r="ER137" s="229">
        <v>-0.84230000000000005</v>
      </c>
      <c r="ES137" s="228">
        <v>333.95</v>
      </c>
      <c r="ET137" s="228">
        <v>211.79</v>
      </c>
      <c r="EU137" s="231">
        <v>1091.1099999999999</v>
      </c>
      <c r="EV137" s="231">
        <v>19838356</v>
      </c>
      <c r="EW137" s="231">
        <v>1636.85</v>
      </c>
      <c r="EX137" s="231">
        <v>1682.83</v>
      </c>
      <c r="EY137" s="228">
        <v>-45.98</v>
      </c>
      <c r="EZ137" s="229">
        <v>-2.7300000000000001E-2</v>
      </c>
      <c r="FA137" s="229">
        <v>0.36059999999999998</v>
      </c>
      <c r="FB137" s="227" t="s">
        <v>567</v>
      </c>
      <c r="FC137">
        <f t="shared" si="2"/>
        <v>8</v>
      </c>
    </row>
    <row r="138" spans="1:159" ht="17.25" thickBot="1" x14ac:dyDescent="0.3">
      <c r="A138" s="226">
        <v>46146</v>
      </c>
      <c r="B138" s="227" t="s">
        <v>175</v>
      </c>
      <c r="C138" s="227" t="s">
        <v>262</v>
      </c>
      <c r="D138" s="228">
        <v>275</v>
      </c>
      <c r="E138" s="228">
        <v>22</v>
      </c>
      <c r="F138" s="231">
        <v>3503.9</v>
      </c>
      <c r="G138" s="231">
        <v>3444.4</v>
      </c>
      <c r="H138" s="228">
        <v>59.5</v>
      </c>
      <c r="I138" s="229">
        <v>1.7299999999999999E-2</v>
      </c>
      <c r="J138" s="231">
        <v>3487.7</v>
      </c>
      <c r="K138" s="231">
        <v>3424.2</v>
      </c>
      <c r="L138" s="228">
        <v>63.5</v>
      </c>
      <c r="M138" s="229">
        <v>1.8499999999999999E-2</v>
      </c>
      <c r="N138" s="231">
        <v>3503.9</v>
      </c>
      <c r="O138" s="231">
        <v>3444.4</v>
      </c>
      <c r="P138" s="228">
        <v>59.5</v>
      </c>
      <c r="Q138" s="229">
        <v>1.7299999999999999E-2</v>
      </c>
      <c r="R138" s="231">
        <v>3519.8</v>
      </c>
      <c r="S138" s="231">
        <v>3461.9</v>
      </c>
      <c r="T138" s="228">
        <v>57.9</v>
      </c>
      <c r="U138" s="229">
        <v>1.67E-2</v>
      </c>
      <c r="V138" s="231">
        <v>3545</v>
      </c>
      <c r="W138" s="231">
        <v>3475.9</v>
      </c>
      <c r="X138" s="228">
        <v>69.099999999999994</v>
      </c>
      <c r="Y138" s="229">
        <v>1.9900000000000001E-2</v>
      </c>
      <c r="Z138" s="228">
        <v>16.2</v>
      </c>
      <c r="AA138" s="228">
        <v>20.2</v>
      </c>
      <c r="AB138" s="228">
        <v>-4</v>
      </c>
      <c r="AC138" s="229">
        <v>4.5999999999999999E-3</v>
      </c>
      <c r="AD138" s="228">
        <v>16.2</v>
      </c>
      <c r="AE138" s="228">
        <v>20.2</v>
      </c>
      <c r="AF138" s="228">
        <v>-4</v>
      </c>
      <c r="AG138" s="229">
        <v>4.5999999999999999E-3</v>
      </c>
      <c r="AH138" s="228">
        <v>32.1</v>
      </c>
      <c r="AI138" s="228">
        <v>37.700000000000003</v>
      </c>
      <c r="AJ138" s="228">
        <v>-5.6</v>
      </c>
      <c r="AK138" s="229">
        <v>9.1999999999999998E-3</v>
      </c>
      <c r="AL138" s="228">
        <v>57.3</v>
      </c>
      <c r="AM138" s="228">
        <v>51.7</v>
      </c>
      <c r="AN138" s="228">
        <v>5.6</v>
      </c>
      <c r="AO138" s="229">
        <v>1.6400000000000001E-2</v>
      </c>
      <c r="AP138" s="231">
        <v>3502.76</v>
      </c>
      <c r="AQ138" s="231">
        <v>3519.55</v>
      </c>
      <c r="AR138" s="228">
        <v>0</v>
      </c>
      <c r="AS138" s="228">
        <v>180</v>
      </c>
      <c r="AT138" s="228">
        <v>192</v>
      </c>
      <c r="AU138" s="228">
        <v>-12</v>
      </c>
      <c r="AV138" s="229">
        <v>-6.3299999999999995E-2</v>
      </c>
      <c r="AW138" s="228">
        <v>176</v>
      </c>
      <c r="AX138" s="228">
        <v>184</v>
      </c>
      <c r="AY138" s="228">
        <v>-8</v>
      </c>
      <c r="AZ138" s="229">
        <v>-4.2999999999999997E-2</v>
      </c>
      <c r="BA138" s="228">
        <v>3</v>
      </c>
      <c r="BB138" s="228">
        <v>8</v>
      </c>
      <c r="BC138" s="228">
        <v>-4</v>
      </c>
      <c r="BD138" s="229">
        <v>-0.5897</v>
      </c>
      <c r="BE138" s="228">
        <v>1</v>
      </c>
      <c r="BF138" s="228">
        <v>0</v>
      </c>
      <c r="BG138" s="228">
        <v>0</v>
      </c>
      <c r="BH138" s="229">
        <v>0.5</v>
      </c>
      <c r="BI138" s="228">
        <v>459</v>
      </c>
      <c r="BJ138" s="228">
        <v>180</v>
      </c>
      <c r="BK138" s="228">
        <v>278</v>
      </c>
      <c r="BL138" s="229">
        <v>1.5427</v>
      </c>
      <c r="BM138" s="228">
        <v>141</v>
      </c>
      <c r="BN138" s="228">
        <v>133</v>
      </c>
      <c r="BO138" s="228">
        <v>8</v>
      </c>
      <c r="BP138" s="229">
        <v>5.7099999999999998E-2</v>
      </c>
      <c r="BQ138" s="228">
        <v>779</v>
      </c>
      <c r="BR138" s="228">
        <v>505</v>
      </c>
      <c r="BS138" s="228">
        <v>274</v>
      </c>
      <c r="BT138" s="229">
        <v>0.54159999999999997</v>
      </c>
      <c r="BU138" s="230">
        <v>406547</v>
      </c>
      <c r="BV138" s="230">
        <v>440178</v>
      </c>
      <c r="BW138" s="230">
        <v>-33631</v>
      </c>
      <c r="BX138" s="229">
        <v>-7.6399999999999996E-2</v>
      </c>
      <c r="BY138" s="230">
        <v>1306</v>
      </c>
      <c r="BZ138" s="230">
        <v>1314</v>
      </c>
      <c r="CA138" s="228">
        <v>-8</v>
      </c>
      <c r="CB138" s="229">
        <v>-6.1000000000000004E-3</v>
      </c>
      <c r="CC138" s="230">
        <v>1285</v>
      </c>
      <c r="CD138" s="230">
        <v>1294</v>
      </c>
      <c r="CE138" s="228">
        <v>-9</v>
      </c>
      <c r="CF138" s="229">
        <v>-6.7999999999999996E-3</v>
      </c>
      <c r="CG138" s="228">
        <v>21</v>
      </c>
      <c r="CH138" s="228">
        <v>20</v>
      </c>
      <c r="CI138" s="228">
        <v>1</v>
      </c>
      <c r="CJ138" s="229">
        <v>3.4000000000000002E-2</v>
      </c>
      <c r="CK138" s="228">
        <v>0</v>
      </c>
      <c r="CL138" s="228">
        <v>0</v>
      </c>
      <c r="CM138" s="228">
        <v>0</v>
      </c>
      <c r="CN138" s="229">
        <v>0.25</v>
      </c>
      <c r="CO138" s="228">
        <v>348</v>
      </c>
      <c r="CP138" s="228">
        <v>270</v>
      </c>
      <c r="CQ138" s="228">
        <v>78</v>
      </c>
      <c r="CR138" s="229">
        <v>0.28920000000000001</v>
      </c>
      <c r="CS138" s="228">
        <v>236</v>
      </c>
      <c r="CT138" s="228">
        <v>208</v>
      </c>
      <c r="CU138" s="228">
        <v>29</v>
      </c>
      <c r="CV138" s="229">
        <v>0.13830000000000001</v>
      </c>
      <c r="CW138" s="230">
        <v>1891</v>
      </c>
      <c r="CX138" s="230">
        <v>1792</v>
      </c>
      <c r="CY138" s="228">
        <v>99</v>
      </c>
      <c r="CZ138" s="229">
        <v>5.5199999999999999E-2</v>
      </c>
      <c r="DA138" s="228">
        <v>40.880000000000003</v>
      </c>
      <c r="DB138" s="228">
        <v>38.700000000000003</v>
      </c>
      <c r="DC138" s="228">
        <v>2.1800000000000002</v>
      </c>
      <c r="DD138" s="228">
        <v>2.1800000000000002</v>
      </c>
      <c r="DE138" s="228">
        <v>43.49</v>
      </c>
      <c r="DF138" s="228">
        <v>43.53</v>
      </c>
      <c r="DG138" s="228">
        <v>-2.61</v>
      </c>
      <c r="DH138" s="228">
        <v>-0.04</v>
      </c>
      <c r="DI138" s="228">
        <v>40.909999999999997</v>
      </c>
      <c r="DJ138" s="228">
        <v>38.700000000000003</v>
      </c>
      <c r="DK138" s="228">
        <v>2.21</v>
      </c>
      <c r="DL138" s="228">
        <v>2.21</v>
      </c>
      <c r="DM138" s="228">
        <v>40.770000000000003</v>
      </c>
      <c r="DN138" s="228">
        <v>38.69</v>
      </c>
      <c r="DO138" s="228">
        <v>2.08</v>
      </c>
      <c r="DP138" s="228">
        <v>2.08</v>
      </c>
      <c r="DQ138" s="228">
        <v>0.68</v>
      </c>
      <c r="DR138" s="228">
        <v>0.77</v>
      </c>
      <c r="DS138" s="228">
        <v>-0.09</v>
      </c>
      <c r="DT138" s="229">
        <v>-0.1169</v>
      </c>
      <c r="DU138" s="231">
        <v>4000</v>
      </c>
      <c r="DV138" s="231">
        <v>3500</v>
      </c>
      <c r="DW138" s="228">
        <v>0.31</v>
      </c>
      <c r="DX138" s="228">
        <v>0.74</v>
      </c>
      <c r="DY138" s="228">
        <v>-0.43</v>
      </c>
      <c r="DZ138" s="229">
        <v>-0.58109999999999995</v>
      </c>
      <c r="EA138" s="229">
        <v>1.61E-2</v>
      </c>
      <c r="EB138" s="230">
        <v>57750</v>
      </c>
      <c r="EC138" s="229">
        <v>4.4999999999999997E-3</v>
      </c>
      <c r="ED138" s="229">
        <v>1.61E-2</v>
      </c>
      <c r="EE138" s="228">
        <v>16.79</v>
      </c>
      <c r="EF138" s="229">
        <v>4.7999999999999996E-3</v>
      </c>
      <c r="EG138" s="230">
        <v>200086</v>
      </c>
      <c r="EH138" s="230">
        <v>210990</v>
      </c>
      <c r="EI138" s="229">
        <v>-5.1700000000000003E-2</v>
      </c>
      <c r="EJ138" s="229">
        <v>0.49220000000000003</v>
      </c>
      <c r="EK138" s="228">
        <v>495.23</v>
      </c>
      <c r="EL138" s="228">
        <v>138.03</v>
      </c>
      <c r="EM138" s="228">
        <v>179.67</v>
      </c>
      <c r="EN138" s="228">
        <v>54.76</v>
      </c>
      <c r="EO138" s="228">
        <v>812.93</v>
      </c>
      <c r="EP138" s="228">
        <v>510.15</v>
      </c>
      <c r="EQ138" s="228">
        <v>302.79000000000002</v>
      </c>
      <c r="ER138" s="229">
        <v>0.59350000000000003</v>
      </c>
      <c r="ES138" s="228">
        <v>365.1</v>
      </c>
      <c r="ET138" s="228">
        <v>227.83</v>
      </c>
      <c r="EU138" s="231">
        <v>1306.4100000000001</v>
      </c>
      <c r="EV138" s="231">
        <v>16050690</v>
      </c>
      <c r="EW138" s="231">
        <v>1899.35</v>
      </c>
      <c r="EX138" s="231">
        <v>1771.32</v>
      </c>
      <c r="EY138" s="228">
        <v>128.03</v>
      </c>
      <c r="EZ138" s="229">
        <v>7.2300000000000003E-2</v>
      </c>
      <c r="FA138" s="229">
        <v>0.3362</v>
      </c>
      <c r="FB138" s="227" t="s">
        <v>691</v>
      </c>
      <c r="FC138">
        <f t="shared" si="2"/>
        <v>21</v>
      </c>
    </row>
    <row r="139" spans="1:159" ht="17.25" thickBot="1" x14ac:dyDescent="0.3">
      <c r="A139" s="226">
        <v>46146</v>
      </c>
      <c r="B139" s="227" t="s">
        <v>175</v>
      </c>
      <c r="C139" s="227" t="s">
        <v>486</v>
      </c>
      <c r="D139" s="228">
        <v>625</v>
      </c>
      <c r="E139" s="228">
        <v>22</v>
      </c>
      <c r="F139" s="231">
        <v>1021.6</v>
      </c>
      <c r="G139" s="231">
        <v>1014.05</v>
      </c>
      <c r="H139" s="228">
        <v>7.55</v>
      </c>
      <c r="I139" s="229">
        <v>7.4000000000000003E-3</v>
      </c>
      <c r="J139" s="231">
        <v>1019.3</v>
      </c>
      <c r="K139" s="231">
        <v>1009.95</v>
      </c>
      <c r="L139" s="228">
        <v>9.35</v>
      </c>
      <c r="M139" s="229">
        <v>9.2999999999999992E-3</v>
      </c>
      <c r="N139" s="231">
        <v>1021.6</v>
      </c>
      <c r="O139" s="231">
        <v>1014.05</v>
      </c>
      <c r="P139" s="228">
        <v>7.55</v>
      </c>
      <c r="Q139" s="229">
        <v>7.4000000000000003E-3</v>
      </c>
      <c r="R139" s="231">
        <v>1006.8</v>
      </c>
      <c r="S139" s="228">
        <v>995.6</v>
      </c>
      <c r="T139" s="228">
        <v>11.2</v>
      </c>
      <c r="U139" s="229">
        <v>1.12E-2</v>
      </c>
      <c r="V139" s="228">
        <v>995</v>
      </c>
      <c r="W139" s="228">
        <v>995</v>
      </c>
      <c r="X139" s="228">
        <v>0</v>
      </c>
      <c r="Y139" s="229">
        <v>0</v>
      </c>
      <c r="Z139" s="228">
        <v>2.2999999999999998</v>
      </c>
      <c r="AA139" s="228">
        <v>4.0999999999999996</v>
      </c>
      <c r="AB139" s="228">
        <v>-1.8</v>
      </c>
      <c r="AC139" s="229">
        <v>2.3E-3</v>
      </c>
      <c r="AD139" s="228">
        <v>2.2999999999999998</v>
      </c>
      <c r="AE139" s="228">
        <v>4.0999999999999996</v>
      </c>
      <c r="AF139" s="228">
        <v>-1.8</v>
      </c>
      <c r="AG139" s="229">
        <v>2.3E-3</v>
      </c>
      <c r="AH139" s="228">
        <v>-12.5</v>
      </c>
      <c r="AI139" s="228">
        <v>-14.35</v>
      </c>
      <c r="AJ139" s="228">
        <v>1.85</v>
      </c>
      <c r="AK139" s="229">
        <v>-1.23E-2</v>
      </c>
      <c r="AL139" s="228">
        <v>-24.3</v>
      </c>
      <c r="AM139" s="228">
        <v>-14.95</v>
      </c>
      <c r="AN139" s="228">
        <v>-9.35</v>
      </c>
      <c r="AO139" s="229">
        <v>-2.3800000000000002E-2</v>
      </c>
      <c r="AP139" s="231">
        <v>1026.04</v>
      </c>
      <c r="AQ139" s="231">
        <v>1008.24</v>
      </c>
      <c r="AR139" s="228">
        <v>0</v>
      </c>
      <c r="AS139" s="228">
        <v>66</v>
      </c>
      <c r="AT139" s="228">
        <v>89</v>
      </c>
      <c r="AU139" s="228">
        <v>-23</v>
      </c>
      <c r="AV139" s="229">
        <v>-0.25929999999999997</v>
      </c>
      <c r="AW139" s="228">
        <v>64</v>
      </c>
      <c r="AX139" s="228">
        <v>87</v>
      </c>
      <c r="AY139" s="228">
        <v>-23</v>
      </c>
      <c r="AZ139" s="229">
        <v>-0.26500000000000001</v>
      </c>
      <c r="BA139" s="228">
        <v>2</v>
      </c>
      <c r="BB139" s="228">
        <v>2</v>
      </c>
      <c r="BC139" s="228">
        <v>0</v>
      </c>
      <c r="BD139" s="229">
        <v>0.08</v>
      </c>
      <c r="BE139" s="228">
        <v>0</v>
      </c>
      <c r="BF139" s="228">
        <v>0</v>
      </c>
      <c r="BG139" s="228">
        <v>0</v>
      </c>
      <c r="BH139" s="229">
        <v>-1</v>
      </c>
      <c r="BI139" s="228">
        <v>86</v>
      </c>
      <c r="BJ139" s="228">
        <v>178</v>
      </c>
      <c r="BK139" s="228">
        <v>-92</v>
      </c>
      <c r="BL139" s="229">
        <v>-0.51659999999999995</v>
      </c>
      <c r="BM139" s="228">
        <v>21</v>
      </c>
      <c r="BN139" s="228">
        <v>74</v>
      </c>
      <c r="BO139" s="228">
        <v>-53</v>
      </c>
      <c r="BP139" s="229">
        <v>-0.7208</v>
      </c>
      <c r="BQ139" s="228">
        <v>173</v>
      </c>
      <c r="BR139" s="228">
        <v>341</v>
      </c>
      <c r="BS139" s="228">
        <v>-169</v>
      </c>
      <c r="BT139" s="229">
        <v>-0.49359999999999998</v>
      </c>
      <c r="BU139" s="230">
        <v>887839</v>
      </c>
      <c r="BV139" s="230">
        <v>2028794</v>
      </c>
      <c r="BW139" s="230">
        <v>-1140955</v>
      </c>
      <c r="BX139" s="229">
        <v>-0.56240000000000001</v>
      </c>
      <c r="BY139" s="228">
        <v>341</v>
      </c>
      <c r="BZ139" s="228">
        <v>354</v>
      </c>
      <c r="CA139" s="228">
        <v>-13</v>
      </c>
      <c r="CB139" s="229">
        <v>-3.6700000000000003E-2</v>
      </c>
      <c r="CC139" s="228">
        <v>337</v>
      </c>
      <c r="CD139" s="228">
        <v>350</v>
      </c>
      <c r="CE139" s="228">
        <v>-13</v>
      </c>
      <c r="CF139" s="229">
        <v>-3.73E-2</v>
      </c>
      <c r="CG139" s="228">
        <v>5</v>
      </c>
      <c r="CH139" s="228">
        <v>5</v>
      </c>
      <c r="CI139" s="228">
        <v>0</v>
      </c>
      <c r="CJ139" s="229">
        <v>0</v>
      </c>
      <c r="CK139" s="228">
        <v>0</v>
      </c>
      <c r="CL139" s="228">
        <v>0</v>
      </c>
      <c r="CM139" s="228">
        <v>0</v>
      </c>
      <c r="CN139" s="229">
        <v>0</v>
      </c>
      <c r="CO139" s="228">
        <v>124</v>
      </c>
      <c r="CP139" s="228">
        <v>101</v>
      </c>
      <c r="CQ139" s="228">
        <v>23</v>
      </c>
      <c r="CR139" s="229">
        <v>0.2278</v>
      </c>
      <c r="CS139" s="228">
        <v>56</v>
      </c>
      <c r="CT139" s="228">
        <v>55</v>
      </c>
      <c r="CU139" s="228">
        <v>1</v>
      </c>
      <c r="CV139" s="229">
        <v>1.9699999999999999E-2</v>
      </c>
      <c r="CW139" s="228">
        <v>522</v>
      </c>
      <c r="CX139" s="228">
        <v>511</v>
      </c>
      <c r="CY139" s="228">
        <v>11</v>
      </c>
      <c r="CZ139" s="229">
        <v>2.1700000000000001E-2</v>
      </c>
      <c r="DA139" s="228">
        <v>42.06</v>
      </c>
      <c r="DB139" s="228">
        <v>42.75</v>
      </c>
      <c r="DC139" s="228">
        <v>-0.69</v>
      </c>
      <c r="DD139" s="228">
        <v>-0.69</v>
      </c>
      <c r="DE139" s="228">
        <v>50.17</v>
      </c>
      <c r="DF139" s="228">
        <v>50.28</v>
      </c>
      <c r="DG139" s="228">
        <v>-8.11</v>
      </c>
      <c r="DH139" s="228">
        <v>-0.11</v>
      </c>
      <c r="DI139" s="228">
        <v>41.81</v>
      </c>
      <c r="DJ139" s="228">
        <v>42.49</v>
      </c>
      <c r="DK139" s="228">
        <v>-0.68</v>
      </c>
      <c r="DL139" s="228">
        <v>-0.68</v>
      </c>
      <c r="DM139" s="228">
        <v>43.1</v>
      </c>
      <c r="DN139" s="228">
        <v>43.36</v>
      </c>
      <c r="DO139" s="228">
        <v>-0.26</v>
      </c>
      <c r="DP139" s="228">
        <v>-0.26</v>
      </c>
      <c r="DQ139" s="228">
        <v>0.45</v>
      </c>
      <c r="DR139" s="228">
        <v>0.55000000000000004</v>
      </c>
      <c r="DS139" s="228">
        <v>-0.1</v>
      </c>
      <c r="DT139" s="229">
        <v>-0.18179999999999999</v>
      </c>
      <c r="DU139" s="231">
        <v>1200</v>
      </c>
      <c r="DV139" s="228">
        <v>900</v>
      </c>
      <c r="DW139" s="228">
        <v>0.24</v>
      </c>
      <c r="DX139" s="228">
        <v>0.41</v>
      </c>
      <c r="DY139" s="228">
        <v>-0.17</v>
      </c>
      <c r="DZ139" s="229">
        <v>-0.41460000000000002</v>
      </c>
      <c r="EA139" s="229">
        <v>1.44E-2</v>
      </c>
      <c r="EB139" s="230">
        <v>48125</v>
      </c>
      <c r="EC139" s="229">
        <v>-1.4500000000000001E-2</v>
      </c>
      <c r="ED139" s="229">
        <v>1.44E-2</v>
      </c>
      <c r="EE139" s="228">
        <v>-17.8</v>
      </c>
      <c r="EF139" s="229">
        <v>-1.7299999999999999E-2</v>
      </c>
      <c r="EG139" s="230">
        <v>359121</v>
      </c>
      <c r="EH139" s="230">
        <v>1076138</v>
      </c>
      <c r="EI139" s="229">
        <v>-0.6663</v>
      </c>
      <c r="EJ139" s="229">
        <v>0.40450000000000003</v>
      </c>
      <c r="EK139" s="228">
        <v>95.56</v>
      </c>
      <c r="EL139" s="228">
        <v>19.579999999999998</v>
      </c>
      <c r="EM139" s="228">
        <v>66.28</v>
      </c>
      <c r="EN139" s="228">
        <v>35.78</v>
      </c>
      <c r="EO139" s="228">
        <v>181.42</v>
      </c>
      <c r="EP139" s="228">
        <v>354.91</v>
      </c>
      <c r="EQ139" s="228">
        <v>-173.49</v>
      </c>
      <c r="ER139" s="229">
        <v>-0.48880000000000001</v>
      </c>
      <c r="ES139" s="228">
        <v>134.41</v>
      </c>
      <c r="ET139" s="228">
        <v>52.74</v>
      </c>
      <c r="EU139" s="228">
        <v>341.4</v>
      </c>
      <c r="EV139" s="231">
        <v>26709548</v>
      </c>
      <c r="EW139" s="228">
        <v>528.54999999999995</v>
      </c>
      <c r="EX139" s="228">
        <v>511.77</v>
      </c>
      <c r="EY139" s="228">
        <v>16.78</v>
      </c>
      <c r="EZ139" s="229">
        <v>3.2800000000000003E-2</v>
      </c>
      <c r="FA139" s="229">
        <v>0.1913</v>
      </c>
      <c r="FB139" s="227" t="s">
        <v>691</v>
      </c>
      <c r="FC139">
        <f t="shared" si="2"/>
        <v>4</v>
      </c>
    </row>
    <row r="140" spans="1:159" ht="17.25" thickBot="1" x14ac:dyDescent="0.3">
      <c r="A140" s="226">
        <v>46146</v>
      </c>
      <c r="B140" s="227" t="s">
        <v>227</v>
      </c>
      <c r="C140" s="227" t="s">
        <v>263</v>
      </c>
      <c r="D140" s="228">
        <v>1875</v>
      </c>
      <c r="E140" s="228">
        <v>22</v>
      </c>
      <c r="F140" s="228">
        <v>408.85</v>
      </c>
      <c r="G140" s="228">
        <v>398.45</v>
      </c>
      <c r="H140" s="228">
        <v>10.4</v>
      </c>
      <c r="I140" s="229">
        <v>2.6100000000000002E-2</v>
      </c>
      <c r="J140" s="228">
        <v>407.8</v>
      </c>
      <c r="K140" s="228">
        <v>399.3</v>
      </c>
      <c r="L140" s="228">
        <v>8.5</v>
      </c>
      <c r="M140" s="229">
        <v>2.1299999999999999E-2</v>
      </c>
      <c r="N140" s="228">
        <v>408.85</v>
      </c>
      <c r="O140" s="228">
        <v>398.45</v>
      </c>
      <c r="P140" s="228">
        <v>10.4</v>
      </c>
      <c r="Q140" s="229">
        <v>2.6100000000000002E-2</v>
      </c>
      <c r="R140" s="228">
        <v>410.9</v>
      </c>
      <c r="S140" s="228">
        <v>400.75</v>
      </c>
      <c r="T140" s="228">
        <v>10.15</v>
      </c>
      <c r="U140" s="229">
        <v>2.53E-2</v>
      </c>
      <c r="V140" s="228">
        <v>411.75</v>
      </c>
      <c r="W140" s="228">
        <v>401.65</v>
      </c>
      <c r="X140" s="228">
        <v>10.1</v>
      </c>
      <c r="Y140" s="229">
        <v>2.5100000000000001E-2</v>
      </c>
      <c r="Z140" s="228">
        <v>1.05</v>
      </c>
      <c r="AA140" s="228">
        <v>-0.85</v>
      </c>
      <c r="AB140" s="228">
        <v>1.9</v>
      </c>
      <c r="AC140" s="229">
        <v>2.5999999999999999E-3</v>
      </c>
      <c r="AD140" s="228">
        <v>1.05</v>
      </c>
      <c r="AE140" s="228">
        <v>-0.85</v>
      </c>
      <c r="AF140" s="228">
        <v>1.9</v>
      </c>
      <c r="AG140" s="229">
        <v>2.5999999999999999E-3</v>
      </c>
      <c r="AH140" s="228">
        <v>3.1</v>
      </c>
      <c r="AI140" s="228">
        <v>1.45</v>
      </c>
      <c r="AJ140" s="228">
        <v>1.65</v>
      </c>
      <c r="AK140" s="229">
        <v>7.6E-3</v>
      </c>
      <c r="AL140" s="228">
        <v>3.95</v>
      </c>
      <c r="AM140" s="228">
        <v>2.35</v>
      </c>
      <c r="AN140" s="228">
        <v>1.6</v>
      </c>
      <c r="AO140" s="229">
        <v>9.7000000000000003E-3</v>
      </c>
      <c r="AP140" s="228">
        <v>404.25</v>
      </c>
      <c r="AQ140" s="228">
        <v>403.47</v>
      </c>
      <c r="AR140" s="228">
        <v>0</v>
      </c>
      <c r="AS140" s="228">
        <v>895</v>
      </c>
      <c r="AT140" s="230">
        <v>1244</v>
      </c>
      <c r="AU140" s="228">
        <v>-349</v>
      </c>
      <c r="AV140" s="229">
        <v>-0.28060000000000002</v>
      </c>
      <c r="AW140" s="228">
        <v>870</v>
      </c>
      <c r="AX140" s="230">
        <v>1191</v>
      </c>
      <c r="AY140" s="228">
        <v>-321</v>
      </c>
      <c r="AZ140" s="229">
        <v>-0.26939999999999997</v>
      </c>
      <c r="BA140" s="228">
        <v>22</v>
      </c>
      <c r="BB140" s="228">
        <v>48</v>
      </c>
      <c r="BC140" s="228">
        <v>-26</v>
      </c>
      <c r="BD140" s="229">
        <v>-0.54490000000000005</v>
      </c>
      <c r="BE140" s="228">
        <v>4</v>
      </c>
      <c r="BF140" s="228">
        <v>6</v>
      </c>
      <c r="BG140" s="228">
        <v>-2</v>
      </c>
      <c r="BH140" s="229">
        <v>-0.3896</v>
      </c>
      <c r="BI140" s="230">
        <v>2174</v>
      </c>
      <c r="BJ140" s="230">
        <v>2203</v>
      </c>
      <c r="BK140" s="228">
        <v>-29</v>
      </c>
      <c r="BL140" s="229">
        <v>-1.2999999999999999E-2</v>
      </c>
      <c r="BM140" s="228">
        <v>980</v>
      </c>
      <c r="BN140" s="230">
        <v>1658</v>
      </c>
      <c r="BO140" s="228">
        <v>-679</v>
      </c>
      <c r="BP140" s="229">
        <v>-0.40920000000000001</v>
      </c>
      <c r="BQ140" s="230">
        <v>4049</v>
      </c>
      <c r="BR140" s="230">
        <v>5106</v>
      </c>
      <c r="BS140" s="230">
        <v>-1056</v>
      </c>
      <c r="BT140" s="229">
        <v>-0.2069</v>
      </c>
      <c r="BU140" s="230">
        <v>15397935</v>
      </c>
      <c r="BV140" s="230">
        <v>18094680</v>
      </c>
      <c r="BW140" s="230">
        <v>-2696745</v>
      </c>
      <c r="BX140" s="229">
        <v>-0.14899999999999999</v>
      </c>
      <c r="BY140" s="230">
        <v>2097</v>
      </c>
      <c r="BZ140" s="230">
        <v>2052</v>
      </c>
      <c r="CA140" s="228">
        <v>45</v>
      </c>
      <c r="CB140" s="229">
        <v>2.2100000000000002E-2</v>
      </c>
      <c r="CC140" s="230">
        <v>2047</v>
      </c>
      <c r="CD140" s="230">
        <v>2004</v>
      </c>
      <c r="CE140" s="228">
        <v>43</v>
      </c>
      <c r="CF140" s="229">
        <v>2.1499999999999998E-2</v>
      </c>
      <c r="CG140" s="228">
        <v>45</v>
      </c>
      <c r="CH140" s="228">
        <v>43</v>
      </c>
      <c r="CI140" s="228">
        <v>2</v>
      </c>
      <c r="CJ140" s="229">
        <v>4.4299999999999999E-2</v>
      </c>
      <c r="CK140" s="228">
        <v>5</v>
      </c>
      <c r="CL140" s="228">
        <v>5</v>
      </c>
      <c r="CM140" s="228">
        <v>0</v>
      </c>
      <c r="CN140" s="229">
        <v>6.5600000000000006E-2</v>
      </c>
      <c r="CO140" s="230">
        <v>1165</v>
      </c>
      <c r="CP140" s="230">
        <v>1068</v>
      </c>
      <c r="CQ140" s="228">
        <v>98</v>
      </c>
      <c r="CR140" s="229">
        <v>9.1600000000000001E-2</v>
      </c>
      <c r="CS140" s="228">
        <v>648</v>
      </c>
      <c r="CT140" s="228">
        <v>616</v>
      </c>
      <c r="CU140" s="228">
        <v>32</v>
      </c>
      <c r="CV140" s="229">
        <v>5.2699999999999997E-2</v>
      </c>
      <c r="CW140" s="230">
        <v>3911</v>
      </c>
      <c r="CX140" s="230">
        <v>3735</v>
      </c>
      <c r="CY140" s="228">
        <v>176</v>
      </c>
      <c r="CZ140" s="229">
        <v>4.7E-2</v>
      </c>
      <c r="DA140" s="228">
        <v>39.06</v>
      </c>
      <c r="DB140" s="228">
        <v>41.63</v>
      </c>
      <c r="DC140" s="228">
        <v>-2.57</v>
      </c>
      <c r="DD140" s="228">
        <v>-2.57</v>
      </c>
      <c r="DE140" s="228">
        <v>52.06</v>
      </c>
      <c r="DF140" s="228">
        <v>52.11</v>
      </c>
      <c r="DG140" s="228">
        <v>-13</v>
      </c>
      <c r="DH140" s="228">
        <v>-0.05</v>
      </c>
      <c r="DI140" s="228">
        <v>38.869999999999997</v>
      </c>
      <c r="DJ140" s="228">
        <v>42.02</v>
      </c>
      <c r="DK140" s="228">
        <v>-3.15</v>
      </c>
      <c r="DL140" s="228">
        <v>-3.15</v>
      </c>
      <c r="DM140" s="228">
        <v>39.479999999999997</v>
      </c>
      <c r="DN140" s="228">
        <v>41.11</v>
      </c>
      <c r="DO140" s="228">
        <v>-1.63</v>
      </c>
      <c r="DP140" s="228">
        <v>-1.63</v>
      </c>
      <c r="DQ140" s="228">
        <v>0.56000000000000005</v>
      </c>
      <c r="DR140" s="228">
        <v>0.57999999999999996</v>
      </c>
      <c r="DS140" s="228">
        <v>-0.02</v>
      </c>
      <c r="DT140" s="229">
        <v>-3.4500000000000003E-2</v>
      </c>
      <c r="DU140" s="228">
        <v>450</v>
      </c>
      <c r="DV140" s="228">
        <v>400</v>
      </c>
      <c r="DW140" s="228">
        <v>0.45</v>
      </c>
      <c r="DX140" s="228">
        <v>0.75</v>
      </c>
      <c r="DY140" s="228">
        <v>-0.3</v>
      </c>
      <c r="DZ140" s="229">
        <v>-0.4</v>
      </c>
      <c r="EA140" s="229">
        <v>2.3900000000000001E-2</v>
      </c>
      <c r="EB140" s="230">
        <v>1171875</v>
      </c>
      <c r="EC140" s="229">
        <v>5.0000000000000001E-3</v>
      </c>
      <c r="ED140" s="229">
        <v>2.3900000000000001E-2</v>
      </c>
      <c r="EE140" s="228">
        <v>-0.78</v>
      </c>
      <c r="EF140" s="229">
        <v>-1.9E-3</v>
      </c>
      <c r="EG140" s="230">
        <v>6440549</v>
      </c>
      <c r="EH140" s="230">
        <v>6580459</v>
      </c>
      <c r="EI140" s="229">
        <v>-2.1299999999999999E-2</v>
      </c>
      <c r="EJ140" s="229">
        <v>0.41830000000000001</v>
      </c>
      <c r="EK140" s="231">
        <v>2324.31</v>
      </c>
      <c r="EL140" s="228">
        <v>957.75</v>
      </c>
      <c r="EM140" s="228">
        <v>885.15</v>
      </c>
      <c r="EN140" s="228">
        <v>107.48</v>
      </c>
      <c r="EO140" s="231">
        <v>4167.22</v>
      </c>
      <c r="EP140" s="231">
        <v>5357.4</v>
      </c>
      <c r="EQ140" s="231">
        <v>-1190.18</v>
      </c>
      <c r="ER140" s="229">
        <v>-0.22220000000000001</v>
      </c>
      <c r="ES140" s="231">
        <v>1270.19</v>
      </c>
      <c r="ET140" s="228">
        <v>642.05999999999995</v>
      </c>
      <c r="EU140" s="231">
        <v>2097.59</v>
      </c>
      <c r="EV140" s="231">
        <v>134225816</v>
      </c>
      <c r="EW140" s="231">
        <v>4009.83</v>
      </c>
      <c r="EX140" s="231">
        <v>3782.73</v>
      </c>
      <c r="EY140" s="228">
        <v>227.1</v>
      </c>
      <c r="EZ140" s="229">
        <v>0.06</v>
      </c>
      <c r="FA140" s="229">
        <v>0.7127</v>
      </c>
      <c r="FB140" s="227" t="s">
        <v>555</v>
      </c>
      <c r="FC140">
        <f t="shared" si="2"/>
        <v>50</v>
      </c>
    </row>
    <row r="141" spans="1:159" ht="17.25" thickBot="1" x14ac:dyDescent="0.3">
      <c r="A141" s="226">
        <v>46146</v>
      </c>
      <c r="B141" s="227" t="s">
        <v>614</v>
      </c>
      <c r="C141" s="227" t="s">
        <v>264</v>
      </c>
      <c r="D141" s="228">
        <v>375</v>
      </c>
      <c r="E141" s="228">
        <v>22</v>
      </c>
      <c r="F141" s="228">
        <v>982.25</v>
      </c>
      <c r="G141" s="228">
        <v>978.2</v>
      </c>
      <c r="H141" s="228">
        <v>4.05</v>
      </c>
      <c r="I141" s="229">
        <v>4.1000000000000003E-3</v>
      </c>
      <c r="J141" s="228">
        <v>976.65</v>
      </c>
      <c r="K141" s="228">
        <v>972.85</v>
      </c>
      <c r="L141" s="228">
        <v>3.8</v>
      </c>
      <c r="M141" s="229">
        <v>3.8999999999999998E-3</v>
      </c>
      <c r="N141" s="228">
        <v>982.25</v>
      </c>
      <c r="O141" s="228">
        <v>978.2</v>
      </c>
      <c r="P141" s="228">
        <v>4.05</v>
      </c>
      <c r="Q141" s="229">
        <v>4.1000000000000003E-3</v>
      </c>
      <c r="R141" s="228">
        <v>987.15</v>
      </c>
      <c r="S141" s="228">
        <v>981.3</v>
      </c>
      <c r="T141" s="228">
        <v>5.85</v>
      </c>
      <c r="U141" s="229">
        <v>6.0000000000000001E-3</v>
      </c>
      <c r="V141" s="228">
        <v>993</v>
      </c>
      <c r="W141" s="228">
        <v>982</v>
      </c>
      <c r="X141" s="228">
        <v>11</v>
      </c>
      <c r="Y141" s="229">
        <v>1.12E-2</v>
      </c>
      <c r="Z141" s="228">
        <v>5.6</v>
      </c>
      <c r="AA141" s="228">
        <v>5.35</v>
      </c>
      <c r="AB141" s="228">
        <v>0.25</v>
      </c>
      <c r="AC141" s="229">
        <v>5.7000000000000002E-3</v>
      </c>
      <c r="AD141" s="228">
        <v>5.6</v>
      </c>
      <c r="AE141" s="228">
        <v>5.35</v>
      </c>
      <c r="AF141" s="228">
        <v>0.25</v>
      </c>
      <c r="AG141" s="229">
        <v>5.7000000000000002E-3</v>
      </c>
      <c r="AH141" s="228">
        <v>10.5</v>
      </c>
      <c r="AI141" s="228">
        <v>8.4499999999999993</v>
      </c>
      <c r="AJ141" s="228">
        <v>2.0499999999999998</v>
      </c>
      <c r="AK141" s="229">
        <v>1.0800000000000001E-2</v>
      </c>
      <c r="AL141" s="228">
        <v>16.350000000000001</v>
      </c>
      <c r="AM141" s="228">
        <v>9.15</v>
      </c>
      <c r="AN141" s="228">
        <v>7.2</v>
      </c>
      <c r="AO141" s="229">
        <v>1.67E-2</v>
      </c>
      <c r="AP141" s="228">
        <v>985.79</v>
      </c>
      <c r="AQ141" s="228">
        <v>988.97</v>
      </c>
      <c r="AR141" s="228">
        <v>0</v>
      </c>
      <c r="AS141" s="228">
        <v>98</v>
      </c>
      <c r="AT141" s="228">
        <v>145</v>
      </c>
      <c r="AU141" s="228">
        <v>-48</v>
      </c>
      <c r="AV141" s="229">
        <v>-0.3266</v>
      </c>
      <c r="AW141" s="228">
        <v>96</v>
      </c>
      <c r="AX141" s="228">
        <v>142</v>
      </c>
      <c r="AY141" s="228">
        <v>-46</v>
      </c>
      <c r="AZ141" s="229">
        <v>-0.32169999999999999</v>
      </c>
      <c r="BA141" s="228">
        <v>2</v>
      </c>
      <c r="BB141" s="228">
        <v>3</v>
      </c>
      <c r="BC141" s="228">
        <v>-2</v>
      </c>
      <c r="BD141" s="229">
        <v>-0.53190000000000004</v>
      </c>
      <c r="BE141" s="228">
        <v>0</v>
      </c>
      <c r="BF141" s="228">
        <v>0</v>
      </c>
      <c r="BG141" s="228">
        <v>0</v>
      </c>
      <c r="BH141" s="229">
        <v>0</v>
      </c>
      <c r="BI141" s="228">
        <v>120</v>
      </c>
      <c r="BJ141" s="228">
        <v>165</v>
      </c>
      <c r="BK141" s="228">
        <v>-45</v>
      </c>
      <c r="BL141" s="229">
        <v>-0.27339999999999998</v>
      </c>
      <c r="BM141" s="228">
        <v>30</v>
      </c>
      <c r="BN141" s="228">
        <v>88</v>
      </c>
      <c r="BO141" s="228">
        <v>-58</v>
      </c>
      <c r="BP141" s="229">
        <v>-0.6633</v>
      </c>
      <c r="BQ141" s="228">
        <v>248</v>
      </c>
      <c r="BR141" s="228">
        <v>399</v>
      </c>
      <c r="BS141" s="228">
        <v>-151</v>
      </c>
      <c r="BT141" s="229">
        <v>-0.37909999999999999</v>
      </c>
      <c r="BU141" s="230">
        <v>751537</v>
      </c>
      <c r="BV141" s="230">
        <v>1471221</v>
      </c>
      <c r="BW141" s="230">
        <v>-719684</v>
      </c>
      <c r="BX141" s="229">
        <v>-0.48920000000000002</v>
      </c>
      <c r="BY141" s="230">
        <v>1017</v>
      </c>
      <c r="BZ141" s="230">
        <v>1012</v>
      </c>
      <c r="CA141" s="228">
        <v>5</v>
      </c>
      <c r="CB141" s="229">
        <v>5.3E-3</v>
      </c>
      <c r="CC141" s="230">
        <v>1005</v>
      </c>
      <c r="CD141" s="230">
        <v>1000</v>
      </c>
      <c r="CE141" s="228">
        <v>5</v>
      </c>
      <c r="CF141" s="229">
        <v>5.1999999999999998E-3</v>
      </c>
      <c r="CG141" s="228">
        <v>11</v>
      </c>
      <c r="CH141" s="228">
        <v>11</v>
      </c>
      <c r="CI141" s="228">
        <v>0</v>
      </c>
      <c r="CJ141" s="229">
        <v>1.2999999999999999E-2</v>
      </c>
      <c r="CK141" s="228">
        <v>1</v>
      </c>
      <c r="CL141" s="228">
        <v>1</v>
      </c>
      <c r="CM141" s="228">
        <v>0</v>
      </c>
      <c r="CN141" s="229">
        <v>0</v>
      </c>
      <c r="CO141" s="228">
        <v>215</v>
      </c>
      <c r="CP141" s="228">
        <v>207</v>
      </c>
      <c r="CQ141" s="228">
        <v>8</v>
      </c>
      <c r="CR141" s="229">
        <v>3.6400000000000002E-2</v>
      </c>
      <c r="CS141" s="228">
        <v>94</v>
      </c>
      <c r="CT141" s="228">
        <v>96</v>
      </c>
      <c r="CU141" s="228">
        <v>-2</v>
      </c>
      <c r="CV141" s="229">
        <v>-2.18E-2</v>
      </c>
      <c r="CW141" s="230">
        <v>1326</v>
      </c>
      <c r="CX141" s="230">
        <v>1315</v>
      </c>
      <c r="CY141" s="228">
        <v>11</v>
      </c>
      <c r="CZ141" s="229">
        <v>8.2000000000000007E-3</v>
      </c>
      <c r="DA141" s="228">
        <v>35.549999999999997</v>
      </c>
      <c r="DB141" s="228">
        <v>35.619999999999997</v>
      </c>
      <c r="DC141" s="228">
        <v>-7.0000000000000007E-2</v>
      </c>
      <c r="DD141" s="228">
        <v>-7.0000000000000007E-2</v>
      </c>
      <c r="DE141" s="228">
        <v>36.6</v>
      </c>
      <c r="DF141" s="228">
        <v>36.69</v>
      </c>
      <c r="DG141" s="228">
        <v>-1.05</v>
      </c>
      <c r="DH141" s="228">
        <v>-0.09</v>
      </c>
      <c r="DI141" s="228">
        <v>35.29</v>
      </c>
      <c r="DJ141" s="228">
        <v>35.270000000000003</v>
      </c>
      <c r="DK141" s="228">
        <v>0.02</v>
      </c>
      <c r="DL141" s="228">
        <v>0.02</v>
      </c>
      <c r="DM141" s="228">
        <v>36.619999999999997</v>
      </c>
      <c r="DN141" s="228">
        <v>36.26</v>
      </c>
      <c r="DO141" s="228">
        <v>0.36</v>
      </c>
      <c r="DP141" s="228">
        <v>0.36</v>
      </c>
      <c r="DQ141" s="228">
        <v>0.44</v>
      </c>
      <c r="DR141" s="228">
        <v>0.46</v>
      </c>
      <c r="DS141" s="228">
        <v>-0.02</v>
      </c>
      <c r="DT141" s="229">
        <v>-4.3499999999999997E-2</v>
      </c>
      <c r="DU141" s="231">
        <v>1000</v>
      </c>
      <c r="DV141" s="228">
        <v>900</v>
      </c>
      <c r="DW141" s="228">
        <v>0.25</v>
      </c>
      <c r="DX141" s="228">
        <v>0.53</v>
      </c>
      <c r="DY141" s="228">
        <v>-0.28000000000000003</v>
      </c>
      <c r="DZ141" s="229">
        <v>-0.52829999999999999</v>
      </c>
      <c r="EA141" s="229">
        <v>1.2E-2</v>
      </c>
      <c r="EB141" s="230">
        <v>122825</v>
      </c>
      <c r="EC141" s="229">
        <v>5.0000000000000001E-3</v>
      </c>
      <c r="ED141" s="229">
        <v>1.2E-2</v>
      </c>
      <c r="EE141" s="228">
        <v>3.18</v>
      </c>
      <c r="EF141" s="229">
        <v>3.2000000000000002E-3</v>
      </c>
      <c r="EG141" s="230">
        <v>340564</v>
      </c>
      <c r="EH141" s="230">
        <v>942617</v>
      </c>
      <c r="EI141" s="229">
        <v>-0.63870000000000005</v>
      </c>
      <c r="EJ141" s="229">
        <v>0.45319999999999999</v>
      </c>
      <c r="EK141" s="228">
        <v>129.88999999999999</v>
      </c>
      <c r="EL141" s="228">
        <v>29.5</v>
      </c>
      <c r="EM141" s="228">
        <v>98.37</v>
      </c>
      <c r="EN141" s="228">
        <v>80.430000000000007</v>
      </c>
      <c r="EO141" s="228">
        <v>257.76</v>
      </c>
      <c r="EP141" s="228">
        <v>408.61</v>
      </c>
      <c r="EQ141" s="228">
        <v>-150.85</v>
      </c>
      <c r="ER141" s="229">
        <v>-0.36919999999999997</v>
      </c>
      <c r="ES141" s="228">
        <v>229.62</v>
      </c>
      <c r="ET141" s="228">
        <v>92.61</v>
      </c>
      <c r="EU141" s="231">
        <v>1017.56</v>
      </c>
      <c r="EV141" s="231">
        <v>60562281</v>
      </c>
      <c r="EW141" s="231">
        <v>1339.79</v>
      </c>
      <c r="EX141" s="231">
        <v>1324.05</v>
      </c>
      <c r="EY141" s="228">
        <v>15.74</v>
      </c>
      <c r="EZ141" s="229">
        <v>1.1900000000000001E-2</v>
      </c>
      <c r="FA141" s="229">
        <v>0.223</v>
      </c>
      <c r="FB141" s="227" t="s">
        <v>555</v>
      </c>
      <c r="FC141">
        <f t="shared" si="2"/>
        <v>12</v>
      </c>
    </row>
    <row r="142" spans="1:159" ht="17.25" thickBot="1" x14ac:dyDescent="0.3">
      <c r="A142" s="226">
        <v>46146</v>
      </c>
      <c r="B142" s="227" t="s">
        <v>206</v>
      </c>
      <c r="C142" s="227" t="s">
        <v>550</v>
      </c>
      <c r="D142" s="228">
        <v>6500</v>
      </c>
      <c r="E142" s="228">
        <v>22</v>
      </c>
      <c r="F142" s="228">
        <v>93.17</v>
      </c>
      <c r="G142" s="228">
        <v>92.22</v>
      </c>
      <c r="H142" s="228">
        <v>0.95</v>
      </c>
      <c r="I142" s="229">
        <v>1.03E-2</v>
      </c>
      <c r="J142" s="228">
        <v>92.52</v>
      </c>
      <c r="K142" s="228">
        <v>91.65</v>
      </c>
      <c r="L142" s="228">
        <v>0.87</v>
      </c>
      <c r="M142" s="229">
        <v>9.4999999999999998E-3</v>
      </c>
      <c r="N142" s="228">
        <v>93.17</v>
      </c>
      <c r="O142" s="228">
        <v>92.22</v>
      </c>
      <c r="P142" s="228">
        <v>0.95</v>
      </c>
      <c r="Q142" s="229">
        <v>1.03E-2</v>
      </c>
      <c r="R142" s="228">
        <v>93.88</v>
      </c>
      <c r="S142" s="228">
        <v>92.76</v>
      </c>
      <c r="T142" s="228">
        <v>1.1200000000000001</v>
      </c>
      <c r="U142" s="229">
        <v>1.21E-2</v>
      </c>
      <c r="V142" s="228">
        <v>95</v>
      </c>
      <c r="W142" s="228">
        <v>93.6</v>
      </c>
      <c r="X142" s="228">
        <v>1.4</v>
      </c>
      <c r="Y142" s="229">
        <v>1.4999999999999999E-2</v>
      </c>
      <c r="Z142" s="228">
        <v>0.65</v>
      </c>
      <c r="AA142" s="228">
        <v>0.56999999999999995</v>
      </c>
      <c r="AB142" s="228">
        <v>0.08</v>
      </c>
      <c r="AC142" s="229">
        <v>7.0000000000000001E-3</v>
      </c>
      <c r="AD142" s="228">
        <v>0.65</v>
      </c>
      <c r="AE142" s="228">
        <v>0.56999999999999995</v>
      </c>
      <c r="AF142" s="228">
        <v>0.08</v>
      </c>
      <c r="AG142" s="229">
        <v>7.0000000000000001E-3</v>
      </c>
      <c r="AH142" s="228">
        <v>1.36</v>
      </c>
      <c r="AI142" s="228">
        <v>1.1100000000000001</v>
      </c>
      <c r="AJ142" s="228">
        <v>0.25</v>
      </c>
      <c r="AK142" s="229">
        <v>1.47E-2</v>
      </c>
      <c r="AL142" s="228">
        <v>2.48</v>
      </c>
      <c r="AM142" s="228">
        <v>1.95</v>
      </c>
      <c r="AN142" s="228">
        <v>0.53</v>
      </c>
      <c r="AO142" s="229">
        <v>2.6800000000000001E-2</v>
      </c>
      <c r="AP142" s="228">
        <v>93.26</v>
      </c>
      <c r="AQ142" s="228">
        <v>93.59</v>
      </c>
      <c r="AR142" s="228">
        <v>0</v>
      </c>
      <c r="AS142" s="228">
        <v>58</v>
      </c>
      <c r="AT142" s="228">
        <v>88</v>
      </c>
      <c r="AU142" s="228">
        <v>-29</v>
      </c>
      <c r="AV142" s="229">
        <v>-0.33629999999999999</v>
      </c>
      <c r="AW142" s="228">
        <v>56</v>
      </c>
      <c r="AX142" s="228">
        <v>83</v>
      </c>
      <c r="AY142" s="228">
        <v>-27</v>
      </c>
      <c r="AZ142" s="229">
        <v>-0.32800000000000001</v>
      </c>
      <c r="BA142" s="228">
        <v>2</v>
      </c>
      <c r="BB142" s="228">
        <v>4</v>
      </c>
      <c r="BC142" s="228">
        <v>-2</v>
      </c>
      <c r="BD142" s="229">
        <v>-0.4118</v>
      </c>
      <c r="BE142" s="228">
        <v>0</v>
      </c>
      <c r="BF142" s="228">
        <v>1</v>
      </c>
      <c r="BG142" s="228">
        <v>-1</v>
      </c>
      <c r="BH142" s="229">
        <v>-0.90910000000000002</v>
      </c>
      <c r="BI142" s="228">
        <v>82</v>
      </c>
      <c r="BJ142" s="228">
        <v>97</v>
      </c>
      <c r="BK142" s="228">
        <v>-15</v>
      </c>
      <c r="BL142" s="229">
        <v>-0.15629999999999999</v>
      </c>
      <c r="BM142" s="228">
        <v>47</v>
      </c>
      <c r="BN142" s="228">
        <v>60</v>
      </c>
      <c r="BO142" s="228">
        <v>-12</v>
      </c>
      <c r="BP142" s="229">
        <v>-0.20849999999999999</v>
      </c>
      <c r="BQ142" s="228">
        <v>187</v>
      </c>
      <c r="BR142" s="228">
        <v>244</v>
      </c>
      <c r="BS142" s="228">
        <v>-57</v>
      </c>
      <c r="BT142" s="229">
        <v>-0.2336</v>
      </c>
      <c r="BU142" s="230">
        <v>7101640</v>
      </c>
      <c r="BV142" s="230">
        <v>9754327</v>
      </c>
      <c r="BW142" s="230">
        <v>-2652687</v>
      </c>
      <c r="BX142" s="229">
        <v>-0.27189999999999998</v>
      </c>
      <c r="BY142" s="228">
        <v>688</v>
      </c>
      <c r="BZ142" s="228">
        <v>683</v>
      </c>
      <c r="CA142" s="228">
        <v>4</v>
      </c>
      <c r="CB142" s="229">
        <v>6.6E-3</v>
      </c>
      <c r="CC142" s="228">
        <v>672</v>
      </c>
      <c r="CD142" s="228">
        <v>668</v>
      </c>
      <c r="CE142" s="228">
        <v>4</v>
      </c>
      <c r="CF142" s="229">
        <v>6.3E-3</v>
      </c>
      <c r="CG142" s="228">
        <v>15</v>
      </c>
      <c r="CH142" s="228">
        <v>15</v>
      </c>
      <c r="CI142" s="228">
        <v>0</v>
      </c>
      <c r="CJ142" s="229">
        <v>1.21E-2</v>
      </c>
      <c r="CK142" s="228">
        <v>1</v>
      </c>
      <c r="CL142" s="228">
        <v>0</v>
      </c>
      <c r="CM142" s="228">
        <v>0</v>
      </c>
      <c r="CN142" s="229">
        <v>0.125</v>
      </c>
      <c r="CO142" s="228">
        <v>136</v>
      </c>
      <c r="CP142" s="228">
        <v>117</v>
      </c>
      <c r="CQ142" s="228">
        <v>19</v>
      </c>
      <c r="CR142" s="229">
        <v>0.16520000000000001</v>
      </c>
      <c r="CS142" s="228">
        <v>109</v>
      </c>
      <c r="CT142" s="228">
        <v>92</v>
      </c>
      <c r="CU142" s="228">
        <v>17</v>
      </c>
      <c r="CV142" s="229">
        <v>0.1847</v>
      </c>
      <c r="CW142" s="228">
        <v>933</v>
      </c>
      <c r="CX142" s="228">
        <v>892</v>
      </c>
      <c r="CY142" s="228">
        <v>41</v>
      </c>
      <c r="CZ142" s="229">
        <v>4.5699999999999998E-2</v>
      </c>
      <c r="DA142" s="228">
        <v>41.02</v>
      </c>
      <c r="DB142" s="228">
        <v>42.71</v>
      </c>
      <c r="DC142" s="228">
        <v>-1.69</v>
      </c>
      <c r="DD142" s="228">
        <v>-1.69</v>
      </c>
      <c r="DE142" s="228">
        <v>50.83</v>
      </c>
      <c r="DF142" s="228">
        <v>50.94</v>
      </c>
      <c r="DG142" s="228">
        <v>-9.81</v>
      </c>
      <c r="DH142" s="228">
        <v>-0.11</v>
      </c>
      <c r="DI142" s="228">
        <v>40.659999999999997</v>
      </c>
      <c r="DJ142" s="228">
        <v>42.79</v>
      </c>
      <c r="DK142" s="228">
        <v>-2.13</v>
      </c>
      <c r="DL142" s="228">
        <v>-2.13</v>
      </c>
      <c r="DM142" s="228">
        <v>41.65</v>
      </c>
      <c r="DN142" s="228">
        <v>42.58</v>
      </c>
      <c r="DO142" s="228">
        <v>-0.93</v>
      </c>
      <c r="DP142" s="228">
        <v>-0.93</v>
      </c>
      <c r="DQ142" s="228">
        <v>0.8</v>
      </c>
      <c r="DR142" s="228">
        <v>0.79</v>
      </c>
      <c r="DS142" s="228">
        <v>0.01</v>
      </c>
      <c r="DT142" s="229">
        <v>1.2699999999999999E-2</v>
      </c>
      <c r="DU142" s="228">
        <v>100</v>
      </c>
      <c r="DV142" s="228">
        <v>90</v>
      </c>
      <c r="DW142" s="228">
        <v>0.57999999999999996</v>
      </c>
      <c r="DX142" s="228">
        <v>0.61</v>
      </c>
      <c r="DY142" s="228">
        <v>-0.03</v>
      </c>
      <c r="DZ142" s="229">
        <v>-4.9200000000000001E-2</v>
      </c>
      <c r="EA142" s="229">
        <v>2.2800000000000001E-2</v>
      </c>
      <c r="EB142" s="230">
        <v>1657500</v>
      </c>
      <c r="EC142" s="229">
        <v>7.6E-3</v>
      </c>
      <c r="ED142" s="229">
        <v>2.2800000000000001E-2</v>
      </c>
      <c r="EE142" s="228">
        <v>0.33</v>
      </c>
      <c r="EF142" s="229">
        <v>3.5000000000000001E-3</v>
      </c>
      <c r="EG142" s="230">
        <v>2395622</v>
      </c>
      <c r="EH142" s="230">
        <v>3388252</v>
      </c>
      <c r="EI142" s="229">
        <v>-0.29299999999999998</v>
      </c>
      <c r="EJ142" s="229">
        <v>0.33729999999999999</v>
      </c>
      <c r="EK142" s="228">
        <v>87.46</v>
      </c>
      <c r="EL142" s="228">
        <v>45.84</v>
      </c>
      <c r="EM142" s="228">
        <v>58.14</v>
      </c>
      <c r="EN142" s="228">
        <v>37.65</v>
      </c>
      <c r="EO142" s="228">
        <v>191.44</v>
      </c>
      <c r="EP142" s="228">
        <v>247.63</v>
      </c>
      <c r="EQ142" s="228">
        <v>-56.19</v>
      </c>
      <c r="ER142" s="229">
        <v>-0.22689999999999999</v>
      </c>
      <c r="ES142" s="228">
        <v>143.11000000000001</v>
      </c>
      <c r="ET142" s="228">
        <v>107.82</v>
      </c>
      <c r="EU142" s="228">
        <v>687.97</v>
      </c>
      <c r="EV142" s="231">
        <v>154894704</v>
      </c>
      <c r="EW142" s="228">
        <v>938.91</v>
      </c>
      <c r="EX142" s="228">
        <v>890.82</v>
      </c>
      <c r="EY142" s="228">
        <v>48.09</v>
      </c>
      <c r="EZ142" s="229">
        <v>5.3999999999999999E-2</v>
      </c>
      <c r="FA142" s="229">
        <v>0.64670000000000005</v>
      </c>
      <c r="FB142" s="227" t="s">
        <v>555</v>
      </c>
      <c r="FC142">
        <f t="shared" si="2"/>
        <v>16</v>
      </c>
    </row>
    <row r="143" spans="1:159" ht="17.25" thickBot="1" x14ac:dyDescent="0.3">
      <c r="A143" s="226">
        <v>46146</v>
      </c>
      <c r="B143" s="227" t="s">
        <v>168</v>
      </c>
      <c r="C143" s="227" t="s">
        <v>265</v>
      </c>
      <c r="D143" s="228">
        <v>500</v>
      </c>
      <c r="E143" s="228">
        <v>22</v>
      </c>
      <c r="F143" s="231">
        <v>1460.1</v>
      </c>
      <c r="G143" s="231">
        <v>1462.1</v>
      </c>
      <c r="H143" s="228">
        <v>-2</v>
      </c>
      <c r="I143" s="229">
        <v>-1.4E-3</v>
      </c>
      <c r="J143" s="231">
        <v>1457.1</v>
      </c>
      <c r="K143" s="231">
        <v>1458.6</v>
      </c>
      <c r="L143" s="228">
        <v>-1.5</v>
      </c>
      <c r="M143" s="229">
        <v>-1E-3</v>
      </c>
      <c r="N143" s="231">
        <v>1460.1</v>
      </c>
      <c r="O143" s="231">
        <v>1462.1</v>
      </c>
      <c r="P143" s="228">
        <v>-2</v>
      </c>
      <c r="Q143" s="229">
        <v>-1.4E-3</v>
      </c>
      <c r="R143" s="231">
        <v>1469.9</v>
      </c>
      <c r="S143" s="231">
        <v>1471.2</v>
      </c>
      <c r="T143" s="228">
        <v>-1.3</v>
      </c>
      <c r="U143" s="229">
        <v>-8.9999999999999998E-4</v>
      </c>
      <c r="V143" s="231">
        <v>1475</v>
      </c>
      <c r="W143" s="231">
        <v>1475.3</v>
      </c>
      <c r="X143" s="228">
        <v>-0.3</v>
      </c>
      <c r="Y143" s="229">
        <v>-2.0000000000000001E-4</v>
      </c>
      <c r="Z143" s="228">
        <v>3</v>
      </c>
      <c r="AA143" s="228">
        <v>3.5</v>
      </c>
      <c r="AB143" s="228">
        <v>-0.5</v>
      </c>
      <c r="AC143" s="229">
        <v>2.0999999999999999E-3</v>
      </c>
      <c r="AD143" s="228">
        <v>3</v>
      </c>
      <c r="AE143" s="228">
        <v>3.5</v>
      </c>
      <c r="AF143" s="228">
        <v>-0.5</v>
      </c>
      <c r="AG143" s="229">
        <v>2.0999999999999999E-3</v>
      </c>
      <c r="AH143" s="228">
        <v>12.8</v>
      </c>
      <c r="AI143" s="228">
        <v>12.6</v>
      </c>
      <c r="AJ143" s="228">
        <v>0.2</v>
      </c>
      <c r="AK143" s="229">
        <v>8.8000000000000005E-3</v>
      </c>
      <c r="AL143" s="228">
        <v>17.899999999999999</v>
      </c>
      <c r="AM143" s="228">
        <v>16.7</v>
      </c>
      <c r="AN143" s="228">
        <v>1.2</v>
      </c>
      <c r="AO143" s="229">
        <v>1.23E-2</v>
      </c>
      <c r="AP143" s="231">
        <v>1463.33</v>
      </c>
      <c r="AQ143" s="231">
        <v>1473.14</v>
      </c>
      <c r="AR143" s="228">
        <v>0</v>
      </c>
      <c r="AS143" s="228">
        <v>229</v>
      </c>
      <c r="AT143" s="228">
        <v>283</v>
      </c>
      <c r="AU143" s="228">
        <v>-53</v>
      </c>
      <c r="AV143" s="229">
        <v>-0.18859999999999999</v>
      </c>
      <c r="AW143" s="228">
        <v>213</v>
      </c>
      <c r="AX143" s="228">
        <v>271</v>
      </c>
      <c r="AY143" s="228">
        <v>-58</v>
      </c>
      <c r="AZ143" s="229">
        <v>-0.21310000000000001</v>
      </c>
      <c r="BA143" s="228">
        <v>15</v>
      </c>
      <c r="BB143" s="228">
        <v>10</v>
      </c>
      <c r="BC143" s="228">
        <v>5</v>
      </c>
      <c r="BD143" s="229">
        <v>0.52549999999999997</v>
      </c>
      <c r="BE143" s="228">
        <v>1</v>
      </c>
      <c r="BF143" s="228">
        <v>1</v>
      </c>
      <c r="BG143" s="228">
        <v>-1</v>
      </c>
      <c r="BH143" s="229">
        <v>-0.55559999999999998</v>
      </c>
      <c r="BI143" s="228">
        <v>526</v>
      </c>
      <c r="BJ143" s="228">
        <v>703</v>
      </c>
      <c r="BK143" s="228">
        <v>-178</v>
      </c>
      <c r="BL143" s="229">
        <v>-0.25290000000000001</v>
      </c>
      <c r="BM143" s="228">
        <v>315</v>
      </c>
      <c r="BN143" s="228">
        <v>581</v>
      </c>
      <c r="BO143" s="228">
        <v>-267</v>
      </c>
      <c r="BP143" s="229">
        <v>-0.4587</v>
      </c>
      <c r="BQ143" s="230">
        <v>1069</v>
      </c>
      <c r="BR143" s="230">
        <v>1567</v>
      </c>
      <c r="BS143" s="228">
        <v>-498</v>
      </c>
      <c r="BT143" s="229">
        <v>-0.31759999999999999</v>
      </c>
      <c r="BU143" s="230">
        <v>1779525</v>
      </c>
      <c r="BV143" s="230">
        <v>2499206</v>
      </c>
      <c r="BW143" s="230">
        <v>-719681</v>
      </c>
      <c r="BX143" s="229">
        <v>-0.28799999999999998</v>
      </c>
      <c r="BY143" s="230">
        <v>2133</v>
      </c>
      <c r="BZ143" s="230">
        <v>2163</v>
      </c>
      <c r="CA143" s="228">
        <v>-30</v>
      </c>
      <c r="CB143" s="229">
        <v>-1.37E-2</v>
      </c>
      <c r="CC143" s="230">
        <v>1977</v>
      </c>
      <c r="CD143" s="230">
        <v>2010</v>
      </c>
      <c r="CE143" s="228">
        <v>-33</v>
      </c>
      <c r="CF143" s="229">
        <v>-1.6199999999999999E-2</v>
      </c>
      <c r="CG143" s="228">
        <v>154</v>
      </c>
      <c r="CH143" s="228">
        <v>151</v>
      </c>
      <c r="CI143" s="228">
        <v>3</v>
      </c>
      <c r="CJ143" s="229">
        <v>1.9300000000000001E-2</v>
      </c>
      <c r="CK143" s="228">
        <v>2</v>
      </c>
      <c r="CL143" s="228">
        <v>2</v>
      </c>
      <c r="CM143" s="228">
        <v>0</v>
      </c>
      <c r="CN143" s="229">
        <v>0</v>
      </c>
      <c r="CO143" s="228">
        <v>532</v>
      </c>
      <c r="CP143" s="228">
        <v>498</v>
      </c>
      <c r="CQ143" s="228">
        <v>34</v>
      </c>
      <c r="CR143" s="229">
        <v>6.8400000000000002E-2</v>
      </c>
      <c r="CS143" s="228">
        <v>463</v>
      </c>
      <c r="CT143" s="228">
        <v>449</v>
      </c>
      <c r="CU143" s="228">
        <v>14</v>
      </c>
      <c r="CV143" s="229">
        <v>3.0700000000000002E-2</v>
      </c>
      <c r="CW143" s="230">
        <v>3128</v>
      </c>
      <c r="CX143" s="230">
        <v>3110</v>
      </c>
      <c r="CY143" s="228">
        <v>18</v>
      </c>
      <c r="CZ143" s="229">
        <v>5.7999999999999996E-3</v>
      </c>
      <c r="DA143" s="228">
        <v>22.56</v>
      </c>
      <c r="DB143" s="228">
        <v>22.55</v>
      </c>
      <c r="DC143" s="228">
        <v>0.01</v>
      </c>
      <c r="DD143" s="228">
        <v>0.01</v>
      </c>
      <c r="DE143" s="228">
        <v>25.12</v>
      </c>
      <c r="DF143" s="228">
        <v>25.18</v>
      </c>
      <c r="DG143" s="228">
        <v>-2.56</v>
      </c>
      <c r="DH143" s="228">
        <v>-0.06</v>
      </c>
      <c r="DI143" s="228">
        <v>21.99</v>
      </c>
      <c r="DJ143" s="228">
        <v>21.76</v>
      </c>
      <c r="DK143" s="228">
        <v>0.23</v>
      </c>
      <c r="DL143" s="228">
        <v>0.23</v>
      </c>
      <c r="DM143" s="228">
        <v>23.5</v>
      </c>
      <c r="DN143" s="228">
        <v>23.49</v>
      </c>
      <c r="DO143" s="228">
        <v>0.01</v>
      </c>
      <c r="DP143" s="228">
        <v>0.01</v>
      </c>
      <c r="DQ143" s="228">
        <v>0.87</v>
      </c>
      <c r="DR143" s="228">
        <v>0.9</v>
      </c>
      <c r="DS143" s="228">
        <v>-0.03</v>
      </c>
      <c r="DT143" s="229">
        <v>-3.3300000000000003E-2</v>
      </c>
      <c r="DU143" s="231">
        <v>1480</v>
      </c>
      <c r="DV143" s="231">
        <v>1400</v>
      </c>
      <c r="DW143" s="228">
        <v>0.6</v>
      </c>
      <c r="DX143" s="228">
        <v>0.83</v>
      </c>
      <c r="DY143" s="228">
        <v>-0.23</v>
      </c>
      <c r="DZ143" s="229">
        <v>-0.27710000000000001</v>
      </c>
      <c r="EA143" s="229">
        <v>7.2999999999999995E-2</v>
      </c>
      <c r="EB143" s="230">
        <v>1047000</v>
      </c>
      <c r="EC143" s="229">
        <v>6.7000000000000002E-3</v>
      </c>
      <c r="ED143" s="229">
        <v>7.2999999999999995E-2</v>
      </c>
      <c r="EE143" s="228">
        <v>9.81</v>
      </c>
      <c r="EF143" s="229">
        <v>6.7000000000000002E-3</v>
      </c>
      <c r="EG143" s="230">
        <v>1131711</v>
      </c>
      <c r="EH143" s="230">
        <v>1787005</v>
      </c>
      <c r="EI143" s="229">
        <v>-0.36670000000000003</v>
      </c>
      <c r="EJ143" s="229">
        <v>0.63600000000000001</v>
      </c>
      <c r="EK143" s="228">
        <v>547.30999999999995</v>
      </c>
      <c r="EL143" s="228">
        <v>311.24</v>
      </c>
      <c r="EM143" s="228">
        <v>229.92</v>
      </c>
      <c r="EN143" s="228">
        <v>94.02</v>
      </c>
      <c r="EO143" s="231">
        <v>1088.48</v>
      </c>
      <c r="EP143" s="231">
        <v>1582.2</v>
      </c>
      <c r="EQ143" s="228">
        <v>-493.73</v>
      </c>
      <c r="ER143" s="229">
        <v>-0.31209999999999999</v>
      </c>
      <c r="ES143" s="228">
        <v>534.62</v>
      </c>
      <c r="ET143" s="228">
        <v>440.31</v>
      </c>
      <c r="EU143" s="231">
        <v>2134.11</v>
      </c>
      <c r="EV143" s="231">
        <v>71801274</v>
      </c>
      <c r="EW143" s="231">
        <v>3109.04</v>
      </c>
      <c r="EX143" s="231">
        <v>3091.89</v>
      </c>
      <c r="EY143" s="228">
        <v>17.149999999999999</v>
      </c>
      <c r="EZ143" s="229">
        <v>5.4999999999999997E-3</v>
      </c>
      <c r="FA143" s="229">
        <v>0.29830000000000001</v>
      </c>
      <c r="FB143" s="227" t="s">
        <v>567</v>
      </c>
      <c r="FC143">
        <f t="shared" si="2"/>
        <v>156</v>
      </c>
    </row>
    <row r="144" spans="1:159" ht="17.25" thickBot="1" x14ac:dyDescent="0.3">
      <c r="A144" s="226">
        <v>46146</v>
      </c>
      <c r="B144" s="227" t="s">
        <v>161</v>
      </c>
      <c r="C144" s="227" t="s">
        <v>584</v>
      </c>
      <c r="D144" s="228">
        <v>6400</v>
      </c>
      <c r="E144" s="228">
        <v>22</v>
      </c>
      <c r="F144" s="228">
        <v>82.68</v>
      </c>
      <c r="G144" s="228">
        <v>82.43</v>
      </c>
      <c r="H144" s="228">
        <v>0.25</v>
      </c>
      <c r="I144" s="229">
        <v>3.0000000000000001E-3</v>
      </c>
      <c r="J144" s="228">
        <v>83.28</v>
      </c>
      <c r="K144" s="228">
        <v>83.2</v>
      </c>
      <c r="L144" s="228">
        <v>0.08</v>
      </c>
      <c r="M144" s="229">
        <v>1E-3</v>
      </c>
      <c r="N144" s="228">
        <v>82.68</v>
      </c>
      <c r="O144" s="228">
        <v>82.43</v>
      </c>
      <c r="P144" s="228">
        <v>0.25</v>
      </c>
      <c r="Q144" s="229">
        <v>3.0000000000000001E-3</v>
      </c>
      <c r="R144" s="228">
        <v>82.32</v>
      </c>
      <c r="S144" s="228">
        <v>82.21</v>
      </c>
      <c r="T144" s="228">
        <v>0.11</v>
      </c>
      <c r="U144" s="229">
        <v>1.2999999999999999E-3</v>
      </c>
      <c r="V144" s="228">
        <v>81.98</v>
      </c>
      <c r="W144" s="228">
        <v>81.98</v>
      </c>
      <c r="X144" s="228">
        <v>0</v>
      </c>
      <c r="Y144" s="229">
        <v>0</v>
      </c>
      <c r="Z144" s="228">
        <v>-0.6</v>
      </c>
      <c r="AA144" s="228">
        <v>-0.77</v>
      </c>
      <c r="AB144" s="228">
        <v>0.17</v>
      </c>
      <c r="AC144" s="229">
        <v>-7.1999999999999998E-3</v>
      </c>
      <c r="AD144" s="228">
        <v>-0.6</v>
      </c>
      <c r="AE144" s="228">
        <v>-0.77</v>
      </c>
      <c r="AF144" s="228">
        <v>0.17</v>
      </c>
      <c r="AG144" s="229">
        <v>-7.1999999999999998E-3</v>
      </c>
      <c r="AH144" s="228">
        <v>-0.96</v>
      </c>
      <c r="AI144" s="228">
        <v>-0.99</v>
      </c>
      <c r="AJ144" s="228">
        <v>0.03</v>
      </c>
      <c r="AK144" s="229">
        <v>-1.15E-2</v>
      </c>
      <c r="AL144" s="228">
        <v>-1.3</v>
      </c>
      <c r="AM144" s="228">
        <v>-1.22</v>
      </c>
      <c r="AN144" s="228">
        <v>-0.08</v>
      </c>
      <c r="AO144" s="229">
        <v>-1.5599999999999999E-2</v>
      </c>
      <c r="AP144" s="228">
        <v>82.91</v>
      </c>
      <c r="AQ144" s="228">
        <v>82.43</v>
      </c>
      <c r="AR144" s="228">
        <v>0</v>
      </c>
      <c r="AS144" s="228">
        <v>103</v>
      </c>
      <c r="AT144" s="228">
        <v>106</v>
      </c>
      <c r="AU144" s="228">
        <v>-4</v>
      </c>
      <c r="AV144" s="229">
        <v>-3.5299999999999998E-2</v>
      </c>
      <c r="AW144" s="228">
        <v>94</v>
      </c>
      <c r="AX144" s="228">
        <v>95</v>
      </c>
      <c r="AY144" s="228">
        <v>-1</v>
      </c>
      <c r="AZ144" s="229">
        <v>-5.5999999999999999E-3</v>
      </c>
      <c r="BA144" s="228">
        <v>8</v>
      </c>
      <c r="BB144" s="228">
        <v>11</v>
      </c>
      <c r="BC144" s="228">
        <v>-3</v>
      </c>
      <c r="BD144" s="229">
        <v>-0.29670000000000002</v>
      </c>
      <c r="BE144" s="228">
        <v>0</v>
      </c>
      <c r="BF144" s="228">
        <v>0</v>
      </c>
      <c r="BG144" s="228">
        <v>0</v>
      </c>
      <c r="BH144" s="229">
        <v>0.125</v>
      </c>
      <c r="BI144" s="228">
        <v>249</v>
      </c>
      <c r="BJ144" s="228">
        <v>268</v>
      </c>
      <c r="BK144" s="228">
        <v>-20</v>
      </c>
      <c r="BL144" s="229">
        <v>-7.3899999999999993E-2</v>
      </c>
      <c r="BM144" s="228">
        <v>92</v>
      </c>
      <c r="BN144" s="228">
        <v>112</v>
      </c>
      <c r="BO144" s="228">
        <v>-20</v>
      </c>
      <c r="BP144" s="229">
        <v>-0.18029999999999999</v>
      </c>
      <c r="BQ144" s="228">
        <v>443</v>
      </c>
      <c r="BR144" s="228">
        <v>487</v>
      </c>
      <c r="BS144" s="228">
        <v>-44</v>
      </c>
      <c r="BT144" s="229">
        <v>-9.01E-2</v>
      </c>
      <c r="BU144" s="230">
        <v>10592525</v>
      </c>
      <c r="BV144" s="230">
        <v>15866856</v>
      </c>
      <c r="BW144" s="230">
        <v>-5274331</v>
      </c>
      <c r="BX144" s="229">
        <v>-0.33239999999999997</v>
      </c>
      <c r="BY144" s="228">
        <v>820</v>
      </c>
      <c r="BZ144" s="228">
        <v>811</v>
      </c>
      <c r="CA144" s="228">
        <v>9</v>
      </c>
      <c r="CB144" s="229">
        <v>1.0500000000000001E-2</v>
      </c>
      <c r="CC144" s="228">
        <v>789</v>
      </c>
      <c r="CD144" s="228">
        <v>783</v>
      </c>
      <c r="CE144" s="228">
        <v>7</v>
      </c>
      <c r="CF144" s="229">
        <v>8.6999999999999994E-3</v>
      </c>
      <c r="CG144" s="228">
        <v>28</v>
      </c>
      <c r="CH144" s="228">
        <v>26</v>
      </c>
      <c r="CI144" s="228">
        <v>1</v>
      </c>
      <c r="CJ144" s="229">
        <v>4.5999999999999999E-2</v>
      </c>
      <c r="CK144" s="228">
        <v>3</v>
      </c>
      <c r="CL144" s="228">
        <v>2</v>
      </c>
      <c r="CM144" s="228">
        <v>0</v>
      </c>
      <c r="CN144" s="229">
        <v>0.1951</v>
      </c>
      <c r="CO144" s="228">
        <v>312</v>
      </c>
      <c r="CP144" s="228">
        <v>278</v>
      </c>
      <c r="CQ144" s="228">
        <v>34</v>
      </c>
      <c r="CR144" s="229">
        <v>0.12130000000000001</v>
      </c>
      <c r="CS144" s="228">
        <v>174</v>
      </c>
      <c r="CT144" s="228">
        <v>158</v>
      </c>
      <c r="CU144" s="228">
        <v>16</v>
      </c>
      <c r="CV144" s="229">
        <v>0.1032</v>
      </c>
      <c r="CW144" s="230">
        <v>1306</v>
      </c>
      <c r="CX144" s="230">
        <v>1247</v>
      </c>
      <c r="CY144" s="228">
        <v>59</v>
      </c>
      <c r="CZ144" s="229">
        <v>4.6899999999999997E-2</v>
      </c>
      <c r="DA144" s="228">
        <v>33.26</v>
      </c>
      <c r="DB144" s="228">
        <v>34.83</v>
      </c>
      <c r="DC144" s="228">
        <v>-1.57</v>
      </c>
      <c r="DD144" s="228">
        <v>-1.57</v>
      </c>
      <c r="DE144" s="228">
        <v>34.869999999999997</v>
      </c>
      <c r="DF144" s="228">
        <v>34.96</v>
      </c>
      <c r="DG144" s="228">
        <v>-1.61</v>
      </c>
      <c r="DH144" s="228">
        <v>-0.09</v>
      </c>
      <c r="DI144" s="228">
        <v>33.76</v>
      </c>
      <c r="DJ144" s="228">
        <v>35.299999999999997</v>
      </c>
      <c r="DK144" s="228">
        <v>-1.54</v>
      </c>
      <c r="DL144" s="228">
        <v>-1.54</v>
      </c>
      <c r="DM144" s="228">
        <v>31.91</v>
      </c>
      <c r="DN144" s="228">
        <v>33.72</v>
      </c>
      <c r="DO144" s="228">
        <v>-1.81</v>
      </c>
      <c r="DP144" s="228">
        <v>-1.81</v>
      </c>
      <c r="DQ144" s="228">
        <v>0.56000000000000005</v>
      </c>
      <c r="DR144" s="228">
        <v>0.56999999999999995</v>
      </c>
      <c r="DS144" s="228">
        <v>-0.01</v>
      </c>
      <c r="DT144" s="229">
        <v>-1.7500000000000002E-2</v>
      </c>
      <c r="DU144" s="228">
        <v>90</v>
      </c>
      <c r="DV144" s="228">
        <v>80</v>
      </c>
      <c r="DW144" s="228">
        <v>0.37</v>
      </c>
      <c r="DX144" s="228">
        <v>0.42</v>
      </c>
      <c r="DY144" s="228">
        <v>-0.05</v>
      </c>
      <c r="DZ144" s="229">
        <v>-0.11899999999999999</v>
      </c>
      <c r="EA144" s="229">
        <v>3.7199999999999997E-2</v>
      </c>
      <c r="EB144" s="230">
        <v>3484950</v>
      </c>
      <c r="EC144" s="229">
        <v>-4.4000000000000003E-3</v>
      </c>
      <c r="ED144" s="229">
        <v>3.7199999999999997E-2</v>
      </c>
      <c r="EE144" s="228">
        <v>-0.48</v>
      </c>
      <c r="EF144" s="229">
        <v>-5.7999999999999996E-3</v>
      </c>
      <c r="EG144" s="230">
        <v>5347212</v>
      </c>
      <c r="EH144" s="230">
        <v>6715297</v>
      </c>
      <c r="EI144" s="229">
        <v>-0.20369999999999999</v>
      </c>
      <c r="EJ144" s="229">
        <v>0.50480000000000003</v>
      </c>
      <c r="EK144" s="228">
        <v>267.31</v>
      </c>
      <c r="EL144" s="228">
        <v>91.14</v>
      </c>
      <c r="EM144" s="228">
        <v>102.83</v>
      </c>
      <c r="EN144" s="228">
        <v>53.49</v>
      </c>
      <c r="EO144" s="228">
        <v>461.28</v>
      </c>
      <c r="EP144" s="228">
        <v>504.86</v>
      </c>
      <c r="EQ144" s="228">
        <v>-43.58</v>
      </c>
      <c r="ER144" s="229">
        <v>-8.6300000000000002E-2</v>
      </c>
      <c r="ES144" s="228">
        <v>331.18</v>
      </c>
      <c r="ET144" s="228">
        <v>167.8</v>
      </c>
      <c r="EU144" s="228">
        <v>819.79</v>
      </c>
      <c r="EV144" s="231">
        <v>491233252</v>
      </c>
      <c r="EW144" s="231">
        <v>1318.76</v>
      </c>
      <c r="EX144" s="231">
        <v>1255.98</v>
      </c>
      <c r="EY144" s="228">
        <v>62.78</v>
      </c>
      <c r="EZ144" s="229">
        <v>0.05</v>
      </c>
      <c r="FA144" s="229">
        <v>0.32150000000000001</v>
      </c>
      <c r="FB144" s="227" t="s">
        <v>555</v>
      </c>
      <c r="FC144">
        <f t="shared" si="2"/>
        <v>31</v>
      </c>
    </row>
    <row r="145" spans="1:159" ht="17.25" thickBot="1" x14ac:dyDescent="0.3">
      <c r="A145" s="226">
        <v>46146</v>
      </c>
      <c r="B145" s="227" t="s">
        <v>181</v>
      </c>
      <c r="C145" s="227" t="s">
        <v>266</v>
      </c>
      <c r="D145" s="228">
        <v>65</v>
      </c>
      <c r="E145" s="228">
        <v>22</v>
      </c>
      <c r="F145" s="231">
        <v>24206</v>
      </c>
      <c r="G145" s="231">
        <v>24098.2</v>
      </c>
      <c r="H145" s="228">
        <v>107.8</v>
      </c>
      <c r="I145" s="229">
        <v>4.4999999999999997E-3</v>
      </c>
      <c r="J145" s="231">
        <v>24119.3</v>
      </c>
      <c r="K145" s="231">
        <v>23997.55</v>
      </c>
      <c r="L145" s="228">
        <v>121.75</v>
      </c>
      <c r="M145" s="229">
        <v>5.1000000000000004E-3</v>
      </c>
      <c r="N145" s="231">
        <v>24206</v>
      </c>
      <c r="O145" s="231">
        <v>24098.2</v>
      </c>
      <c r="P145" s="228">
        <v>107.8</v>
      </c>
      <c r="Q145" s="229">
        <v>4.4999999999999997E-3</v>
      </c>
      <c r="R145" s="231">
        <v>24312.799999999999</v>
      </c>
      <c r="S145" s="231">
        <v>24210.6</v>
      </c>
      <c r="T145" s="228">
        <v>102.2</v>
      </c>
      <c r="U145" s="229">
        <v>4.1999999999999997E-3</v>
      </c>
      <c r="V145" s="231">
        <v>24449.7</v>
      </c>
      <c r="W145" s="231">
        <v>24340</v>
      </c>
      <c r="X145" s="228">
        <v>109.7</v>
      </c>
      <c r="Y145" s="229">
        <v>4.4999999999999997E-3</v>
      </c>
      <c r="Z145" s="228">
        <v>86.7</v>
      </c>
      <c r="AA145" s="228">
        <v>100.65</v>
      </c>
      <c r="AB145" s="228">
        <v>-13.95</v>
      </c>
      <c r="AC145" s="229">
        <v>3.5999999999999999E-3</v>
      </c>
      <c r="AD145" s="228">
        <v>86.7</v>
      </c>
      <c r="AE145" s="228">
        <v>100.65</v>
      </c>
      <c r="AF145" s="228">
        <v>-13.95</v>
      </c>
      <c r="AG145" s="229">
        <v>3.5999999999999999E-3</v>
      </c>
      <c r="AH145" s="228">
        <v>193.5</v>
      </c>
      <c r="AI145" s="228">
        <v>213.05</v>
      </c>
      <c r="AJ145" s="228">
        <v>-19.55</v>
      </c>
      <c r="AK145" s="229">
        <v>8.0000000000000002E-3</v>
      </c>
      <c r="AL145" s="228">
        <v>330.4</v>
      </c>
      <c r="AM145" s="228">
        <v>342.45</v>
      </c>
      <c r="AN145" s="228">
        <v>-12.05</v>
      </c>
      <c r="AO145" s="229">
        <v>1.37E-2</v>
      </c>
      <c r="AP145" s="231">
        <v>24244.11</v>
      </c>
      <c r="AQ145" s="231">
        <v>24359.4</v>
      </c>
      <c r="AR145" s="228">
        <v>0</v>
      </c>
      <c r="AS145" s="230">
        <v>12860</v>
      </c>
      <c r="AT145" s="230">
        <v>16659</v>
      </c>
      <c r="AU145" s="230">
        <v>-3799</v>
      </c>
      <c r="AV145" s="229">
        <v>-0.2281</v>
      </c>
      <c r="AW145" s="230">
        <v>11572</v>
      </c>
      <c r="AX145" s="230">
        <v>15005</v>
      </c>
      <c r="AY145" s="230">
        <v>-3432</v>
      </c>
      <c r="AZ145" s="229">
        <v>-0.22869999999999999</v>
      </c>
      <c r="BA145" s="228">
        <v>998</v>
      </c>
      <c r="BB145" s="230">
        <v>1096</v>
      </c>
      <c r="BC145" s="228">
        <v>-98</v>
      </c>
      <c r="BD145" s="229">
        <v>-8.9300000000000004E-2</v>
      </c>
      <c r="BE145" s="228">
        <v>289</v>
      </c>
      <c r="BF145" s="228">
        <v>558</v>
      </c>
      <c r="BG145" s="228">
        <v>-269</v>
      </c>
      <c r="BH145" s="229">
        <v>-0.48199999999999998</v>
      </c>
      <c r="BI145" s="230">
        <v>13039311</v>
      </c>
      <c r="BJ145" s="230">
        <v>4124660</v>
      </c>
      <c r="BK145" s="230">
        <v>8914651</v>
      </c>
      <c r="BL145" s="229">
        <v>2.1613000000000002</v>
      </c>
      <c r="BM145" s="230">
        <v>14309149</v>
      </c>
      <c r="BN145" s="230">
        <v>3782369</v>
      </c>
      <c r="BO145" s="230">
        <v>10526780</v>
      </c>
      <c r="BP145" s="229">
        <v>2.7831000000000001</v>
      </c>
      <c r="BQ145" s="230">
        <v>27361319</v>
      </c>
      <c r="BR145" s="230">
        <v>7923688</v>
      </c>
      <c r="BS145" s="230">
        <v>19437632</v>
      </c>
      <c r="BT145" s="229">
        <v>2.4531000000000001</v>
      </c>
      <c r="BU145" s="228">
        <v>0</v>
      </c>
      <c r="BV145" s="228">
        <v>0</v>
      </c>
      <c r="BW145" s="228">
        <v>0</v>
      </c>
      <c r="BX145" s="229">
        <v>0</v>
      </c>
      <c r="BY145" s="230">
        <v>41976</v>
      </c>
      <c r="BZ145" s="230">
        <v>40442</v>
      </c>
      <c r="CA145" s="230">
        <v>1534</v>
      </c>
      <c r="CB145" s="229">
        <v>3.7900000000000003E-2</v>
      </c>
      <c r="CC145" s="230">
        <v>37983</v>
      </c>
      <c r="CD145" s="230">
        <v>36865</v>
      </c>
      <c r="CE145" s="230">
        <v>1118</v>
      </c>
      <c r="CF145" s="229">
        <v>3.0300000000000001E-2</v>
      </c>
      <c r="CG145" s="230">
        <v>3547</v>
      </c>
      <c r="CH145" s="230">
        <v>3162</v>
      </c>
      <c r="CI145" s="228">
        <v>385</v>
      </c>
      <c r="CJ145" s="229">
        <v>0.1217</v>
      </c>
      <c r="CK145" s="228">
        <v>447</v>
      </c>
      <c r="CL145" s="228">
        <v>415</v>
      </c>
      <c r="CM145" s="228">
        <v>31</v>
      </c>
      <c r="CN145" s="229">
        <v>7.4999999999999997E-2</v>
      </c>
      <c r="CO145" s="230">
        <v>729654</v>
      </c>
      <c r="CP145" s="230">
        <v>490880</v>
      </c>
      <c r="CQ145" s="230">
        <v>238775</v>
      </c>
      <c r="CR145" s="229">
        <v>0.4864</v>
      </c>
      <c r="CS145" s="230">
        <v>584548</v>
      </c>
      <c r="CT145" s="230">
        <v>482527</v>
      </c>
      <c r="CU145" s="230">
        <v>102021</v>
      </c>
      <c r="CV145" s="229">
        <v>0.2114</v>
      </c>
      <c r="CW145" s="230">
        <v>1356178</v>
      </c>
      <c r="CX145" s="230">
        <v>1013849</v>
      </c>
      <c r="CY145" s="230">
        <v>342329</v>
      </c>
      <c r="CZ145" s="229">
        <v>0.3377</v>
      </c>
      <c r="DA145" s="228">
        <v>18.62</v>
      </c>
      <c r="DB145" s="228">
        <v>17.940000000000001</v>
      </c>
      <c r="DC145" s="228">
        <v>0.68</v>
      </c>
      <c r="DD145" s="228">
        <v>0.68</v>
      </c>
      <c r="DE145" s="228">
        <v>17.559999999999999</v>
      </c>
      <c r="DF145" s="228">
        <v>17.59</v>
      </c>
      <c r="DG145" s="228">
        <v>1.06</v>
      </c>
      <c r="DH145" s="228">
        <v>-0.03</v>
      </c>
      <c r="DI145" s="228">
        <v>17.690000000000001</v>
      </c>
      <c r="DJ145" s="228">
        <v>16.649999999999999</v>
      </c>
      <c r="DK145" s="228">
        <v>1.04</v>
      </c>
      <c r="DL145" s="228">
        <v>1.04</v>
      </c>
      <c r="DM145" s="228">
        <v>19.68</v>
      </c>
      <c r="DN145" s="228">
        <v>19.329999999999998</v>
      </c>
      <c r="DO145" s="228">
        <v>0.35</v>
      </c>
      <c r="DP145" s="228">
        <v>0.35</v>
      </c>
      <c r="DQ145" s="228">
        <v>0.8</v>
      </c>
      <c r="DR145" s="228">
        <v>0.98</v>
      </c>
      <c r="DS145" s="228">
        <v>-0.18</v>
      </c>
      <c r="DT145" s="229">
        <v>-0.1837</v>
      </c>
      <c r="DU145" s="231">
        <v>25000</v>
      </c>
      <c r="DV145" s="231">
        <v>23500</v>
      </c>
      <c r="DW145" s="228">
        <v>1.1000000000000001</v>
      </c>
      <c r="DX145" s="228">
        <v>0.92</v>
      </c>
      <c r="DY145" s="228">
        <v>0.18</v>
      </c>
      <c r="DZ145" s="229">
        <v>0.19570000000000001</v>
      </c>
      <c r="EA145" s="229">
        <v>9.5100000000000004E-2</v>
      </c>
      <c r="EB145" s="230">
        <v>1477775</v>
      </c>
      <c r="EC145" s="229">
        <v>4.4000000000000003E-3</v>
      </c>
      <c r="ED145" s="229">
        <v>9.5100000000000004E-2</v>
      </c>
      <c r="EE145" s="228">
        <v>115.29</v>
      </c>
      <c r="EF145" s="229">
        <v>4.7999999999999996E-3</v>
      </c>
      <c r="EG145" s="228">
        <v>0</v>
      </c>
      <c r="EH145" s="228">
        <v>0</v>
      </c>
      <c r="EI145" s="229">
        <v>0</v>
      </c>
      <c r="EJ145" s="229">
        <v>0</v>
      </c>
      <c r="EK145" s="231">
        <v>13229112.689999999</v>
      </c>
      <c r="EL145" s="231">
        <v>14112640.68</v>
      </c>
      <c r="EM145" s="231">
        <v>12887.58</v>
      </c>
      <c r="EN145" s="231">
        <v>1385.76</v>
      </c>
      <c r="EO145" s="231">
        <v>27354640.960000001</v>
      </c>
      <c r="EP145" s="231">
        <v>7886284.5599999996</v>
      </c>
      <c r="EQ145" s="231">
        <v>19468356.390000001</v>
      </c>
      <c r="ER145" s="229">
        <v>2.4685999999999999</v>
      </c>
      <c r="ES145" s="231">
        <v>751678.1</v>
      </c>
      <c r="ET145" s="231">
        <v>566695.75</v>
      </c>
      <c r="EU145" s="231">
        <v>41996.14</v>
      </c>
      <c r="EV145" s="228">
        <v>0</v>
      </c>
      <c r="EW145" s="231">
        <v>1360369.99</v>
      </c>
      <c r="EX145" s="231">
        <v>1013274.57</v>
      </c>
      <c r="EY145" s="231">
        <v>347095.42</v>
      </c>
      <c r="EZ145" s="229">
        <v>0.34250000000000003</v>
      </c>
      <c r="FA145" s="229">
        <v>0</v>
      </c>
      <c r="FB145" s="227" t="s">
        <v>555</v>
      </c>
      <c r="FC145">
        <f t="shared" si="2"/>
        <v>3993</v>
      </c>
    </row>
    <row r="146" spans="1:159" ht="17.25" thickBot="1" x14ac:dyDescent="0.3">
      <c r="A146" s="226">
        <v>46146</v>
      </c>
      <c r="B146" s="227" t="s">
        <v>181</v>
      </c>
      <c r="C146" s="227" t="s">
        <v>565</v>
      </c>
      <c r="D146" s="228">
        <v>25</v>
      </c>
      <c r="E146" s="228">
        <v>22</v>
      </c>
      <c r="F146" s="231">
        <v>70524.800000000003</v>
      </c>
      <c r="G146" s="231">
        <v>70084.2</v>
      </c>
      <c r="H146" s="228">
        <v>440.6</v>
      </c>
      <c r="I146" s="229">
        <v>6.3E-3</v>
      </c>
      <c r="J146" s="231">
        <v>70283.850000000006</v>
      </c>
      <c r="K146" s="231">
        <v>69643.899999999994</v>
      </c>
      <c r="L146" s="228">
        <v>639.95000000000005</v>
      </c>
      <c r="M146" s="229">
        <v>9.1999999999999998E-3</v>
      </c>
      <c r="N146" s="231">
        <v>70524.800000000003</v>
      </c>
      <c r="O146" s="231">
        <v>70084.2</v>
      </c>
      <c r="P146" s="228">
        <v>440.6</v>
      </c>
      <c r="Q146" s="229">
        <v>6.3E-3</v>
      </c>
      <c r="R146" s="231">
        <v>70717.8</v>
      </c>
      <c r="S146" s="231">
        <v>70434.2</v>
      </c>
      <c r="T146" s="228">
        <v>283.60000000000002</v>
      </c>
      <c r="U146" s="229">
        <v>4.0000000000000001E-3</v>
      </c>
      <c r="V146" s="228">
        <v>0</v>
      </c>
      <c r="W146" s="228">
        <v>0</v>
      </c>
      <c r="X146" s="228">
        <v>0</v>
      </c>
      <c r="Y146" s="229">
        <v>0</v>
      </c>
      <c r="Z146" s="228">
        <v>240.95</v>
      </c>
      <c r="AA146" s="228">
        <v>440.3</v>
      </c>
      <c r="AB146" s="228">
        <v>-199.35</v>
      </c>
      <c r="AC146" s="229">
        <v>3.3999999999999998E-3</v>
      </c>
      <c r="AD146" s="228">
        <v>240.95</v>
      </c>
      <c r="AE146" s="228">
        <v>440.3</v>
      </c>
      <c r="AF146" s="228">
        <v>-199.35</v>
      </c>
      <c r="AG146" s="229">
        <v>3.3999999999999998E-3</v>
      </c>
      <c r="AH146" s="228">
        <v>433.95</v>
      </c>
      <c r="AI146" s="228">
        <v>790.3</v>
      </c>
      <c r="AJ146" s="228">
        <v>-356.35</v>
      </c>
      <c r="AK146" s="229">
        <v>6.1999999999999998E-3</v>
      </c>
      <c r="AL146" s="228">
        <v>0</v>
      </c>
      <c r="AM146" s="228">
        <v>0</v>
      </c>
      <c r="AN146" s="228">
        <v>0</v>
      </c>
      <c r="AO146" s="229">
        <v>0</v>
      </c>
      <c r="AP146" s="231">
        <v>70689.89</v>
      </c>
      <c r="AQ146" s="231">
        <v>70930</v>
      </c>
      <c r="AR146" s="228">
        <v>0</v>
      </c>
      <c r="AS146" s="228">
        <v>36</v>
      </c>
      <c r="AT146" s="228">
        <v>42</v>
      </c>
      <c r="AU146" s="228">
        <v>-6</v>
      </c>
      <c r="AV146" s="229">
        <v>-0.1381</v>
      </c>
      <c r="AW146" s="228">
        <v>33</v>
      </c>
      <c r="AX146" s="228">
        <v>39</v>
      </c>
      <c r="AY146" s="228">
        <v>-5</v>
      </c>
      <c r="AZ146" s="229">
        <v>-0.14030000000000001</v>
      </c>
      <c r="BA146" s="228">
        <v>3</v>
      </c>
      <c r="BB146" s="228">
        <v>3</v>
      </c>
      <c r="BC146" s="228">
        <v>0</v>
      </c>
      <c r="BD146" s="229">
        <v>-0.1111</v>
      </c>
      <c r="BE146" s="228">
        <v>0</v>
      </c>
      <c r="BF146" s="228">
        <v>0</v>
      </c>
      <c r="BG146" s="228">
        <v>0</v>
      </c>
      <c r="BH146" s="229">
        <v>0</v>
      </c>
      <c r="BI146" s="228">
        <v>25</v>
      </c>
      <c r="BJ146" s="228">
        <v>3</v>
      </c>
      <c r="BK146" s="228">
        <v>22</v>
      </c>
      <c r="BL146" s="229">
        <v>7.3529</v>
      </c>
      <c r="BM146" s="228">
        <v>1</v>
      </c>
      <c r="BN146" s="228">
        <v>1</v>
      </c>
      <c r="BO146" s="228">
        <v>0</v>
      </c>
      <c r="BP146" s="229">
        <v>-0.25</v>
      </c>
      <c r="BQ146" s="228">
        <v>62</v>
      </c>
      <c r="BR146" s="228">
        <v>47</v>
      </c>
      <c r="BS146" s="228">
        <v>16</v>
      </c>
      <c r="BT146" s="229">
        <v>0.34089999999999998</v>
      </c>
      <c r="BU146" s="228">
        <v>0</v>
      </c>
      <c r="BV146" s="228">
        <v>0</v>
      </c>
      <c r="BW146" s="228">
        <v>0</v>
      </c>
      <c r="BX146" s="229">
        <v>0</v>
      </c>
      <c r="BY146" s="228">
        <v>136</v>
      </c>
      <c r="BZ146" s="228">
        <v>132</v>
      </c>
      <c r="CA146" s="228">
        <v>4</v>
      </c>
      <c r="CB146" s="229">
        <v>2.6599999999999999E-2</v>
      </c>
      <c r="CC146" s="228">
        <v>131</v>
      </c>
      <c r="CD146" s="228">
        <v>128</v>
      </c>
      <c r="CE146" s="228">
        <v>3</v>
      </c>
      <c r="CF146" s="229">
        <v>2.35E-2</v>
      </c>
      <c r="CG146" s="228">
        <v>5</v>
      </c>
      <c r="CH146" s="228">
        <v>5</v>
      </c>
      <c r="CI146" s="228">
        <v>1</v>
      </c>
      <c r="CJ146" s="229">
        <v>0.1111</v>
      </c>
      <c r="CK146" s="228">
        <v>0</v>
      </c>
      <c r="CL146" s="228">
        <v>0</v>
      </c>
      <c r="CM146" s="228">
        <v>0</v>
      </c>
      <c r="CN146" s="229">
        <v>0</v>
      </c>
      <c r="CO146" s="228">
        <v>6</v>
      </c>
      <c r="CP146" s="228">
        <v>2</v>
      </c>
      <c r="CQ146" s="228">
        <v>4</v>
      </c>
      <c r="CR146" s="229">
        <v>1.5385</v>
      </c>
      <c r="CS146" s="228">
        <v>1</v>
      </c>
      <c r="CT146" s="228">
        <v>1</v>
      </c>
      <c r="CU146" s="228">
        <v>0</v>
      </c>
      <c r="CV146" s="229">
        <v>0.66669999999999996</v>
      </c>
      <c r="CW146" s="228">
        <v>143</v>
      </c>
      <c r="CX146" s="228">
        <v>135</v>
      </c>
      <c r="CY146" s="228">
        <v>7</v>
      </c>
      <c r="CZ146" s="229">
        <v>5.4800000000000001E-2</v>
      </c>
      <c r="DA146" s="228">
        <v>18.059999999999999</v>
      </c>
      <c r="DB146" s="228">
        <v>17.309999999999999</v>
      </c>
      <c r="DC146" s="228">
        <v>0.75</v>
      </c>
      <c r="DD146" s="228">
        <v>0.75</v>
      </c>
      <c r="DE146" s="228">
        <v>23.01</v>
      </c>
      <c r="DF146" s="228">
        <v>23.03</v>
      </c>
      <c r="DG146" s="228">
        <v>-4.95</v>
      </c>
      <c r="DH146" s="228">
        <v>-0.02</v>
      </c>
      <c r="DI146" s="228">
        <v>18.03</v>
      </c>
      <c r="DJ146" s="228">
        <v>16.68</v>
      </c>
      <c r="DK146" s="228">
        <v>1.35</v>
      </c>
      <c r="DL146" s="228">
        <v>1.35</v>
      </c>
      <c r="DM146" s="228">
        <v>18.91</v>
      </c>
      <c r="DN146" s="228">
        <v>18.64</v>
      </c>
      <c r="DO146" s="228">
        <v>0.27</v>
      </c>
      <c r="DP146" s="228">
        <v>0.27</v>
      </c>
      <c r="DQ146" s="228">
        <v>0.15</v>
      </c>
      <c r="DR146" s="228">
        <v>0.23</v>
      </c>
      <c r="DS146" s="228">
        <v>-0.08</v>
      </c>
      <c r="DT146" s="229">
        <v>-0.3478</v>
      </c>
      <c r="DU146" s="231">
        <v>71500</v>
      </c>
      <c r="DV146" s="231">
        <v>69000</v>
      </c>
      <c r="DW146" s="228">
        <v>0.04</v>
      </c>
      <c r="DX146" s="228">
        <v>0.47</v>
      </c>
      <c r="DY146" s="228">
        <v>-0.43</v>
      </c>
      <c r="DZ146" s="229">
        <v>-0.91490000000000005</v>
      </c>
      <c r="EA146" s="229">
        <v>3.8899999999999997E-2</v>
      </c>
      <c r="EB146" s="228">
        <v>675</v>
      </c>
      <c r="EC146" s="229">
        <v>2.7000000000000001E-3</v>
      </c>
      <c r="ED146" s="229">
        <v>3.8899999999999997E-2</v>
      </c>
      <c r="EE146" s="228">
        <v>240.11</v>
      </c>
      <c r="EF146" s="229">
        <v>3.3999999999999998E-3</v>
      </c>
      <c r="EG146" s="228">
        <v>0</v>
      </c>
      <c r="EH146" s="228">
        <v>0</v>
      </c>
      <c r="EI146" s="229">
        <v>0</v>
      </c>
      <c r="EJ146" s="229">
        <v>0</v>
      </c>
      <c r="EK146" s="228">
        <v>25.65</v>
      </c>
      <c r="EL146" s="228">
        <v>1.05</v>
      </c>
      <c r="EM146" s="228">
        <v>36.409999999999997</v>
      </c>
      <c r="EN146" s="228">
        <v>0</v>
      </c>
      <c r="EO146" s="228">
        <v>63.11</v>
      </c>
      <c r="EP146" s="228">
        <v>46.21</v>
      </c>
      <c r="EQ146" s="228">
        <v>16.899999999999999</v>
      </c>
      <c r="ER146" s="229">
        <v>0.36570000000000003</v>
      </c>
      <c r="ES146" s="228">
        <v>5.87</v>
      </c>
      <c r="ET146" s="228">
        <v>0.86</v>
      </c>
      <c r="EU146" s="228">
        <v>135.94999999999999</v>
      </c>
      <c r="EV146" s="228">
        <v>0</v>
      </c>
      <c r="EW146" s="228">
        <v>142.68</v>
      </c>
      <c r="EX146" s="228">
        <v>134.44999999999999</v>
      </c>
      <c r="EY146" s="228">
        <v>8.23</v>
      </c>
      <c r="EZ146" s="229">
        <v>6.1199999999999997E-2</v>
      </c>
      <c r="FA146" s="229">
        <v>0</v>
      </c>
      <c r="FB146" s="227" t="s">
        <v>555</v>
      </c>
      <c r="FC146">
        <f t="shared" si="2"/>
        <v>5</v>
      </c>
    </row>
    <row r="147" spans="1:159" ht="17.25" thickBot="1" x14ac:dyDescent="0.3">
      <c r="A147" s="226">
        <v>46146</v>
      </c>
      <c r="B147" s="227" t="s">
        <v>227</v>
      </c>
      <c r="C147" s="227" t="s">
        <v>267</v>
      </c>
      <c r="D147" s="228">
        <v>6750</v>
      </c>
      <c r="E147" s="228">
        <v>22</v>
      </c>
      <c r="F147" s="228">
        <v>89.69</v>
      </c>
      <c r="G147" s="228">
        <v>90.89</v>
      </c>
      <c r="H147" s="228">
        <v>-1.2</v>
      </c>
      <c r="I147" s="229">
        <v>-1.32E-2</v>
      </c>
      <c r="J147" s="228">
        <v>89.09</v>
      </c>
      <c r="K147" s="228">
        <v>90.37</v>
      </c>
      <c r="L147" s="228">
        <v>-1.28</v>
      </c>
      <c r="M147" s="229">
        <v>-1.4200000000000001E-2</v>
      </c>
      <c r="N147" s="228">
        <v>89.69</v>
      </c>
      <c r="O147" s="228">
        <v>90.89</v>
      </c>
      <c r="P147" s="228">
        <v>-1.2</v>
      </c>
      <c r="Q147" s="229">
        <v>-1.32E-2</v>
      </c>
      <c r="R147" s="228">
        <v>90.31</v>
      </c>
      <c r="S147" s="228">
        <v>91.39</v>
      </c>
      <c r="T147" s="228">
        <v>-1.08</v>
      </c>
      <c r="U147" s="229">
        <v>-1.18E-2</v>
      </c>
      <c r="V147" s="228">
        <v>90.68</v>
      </c>
      <c r="W147" s="228">
        <v>91.78</v>
      </c>
      <c r="X147" s="228">
        <v>-1.1000000000000001</v>
      </c>
      <c r="Y147" s="229">
        <v>-1.2E-2</v>
      </c>
      <c r="Z147" s="228">
        <v>0.6</v>
      </c>
      <c r="AA147" s="228">
        <v>0.52</v>
      </c>
      <c r="AB147" s="228">
        <v>0.08</v>
      </c>
      <c r="AC147" s="229">
        <v>6.7000000000000002E-3</v>
      </c>
      <c r="AD147" s="228">
        <v>0.6</v>
      </c>
      <c r="AE147" s="228">
        <v>0.52</v>
      </c>
      <c r="AF147" s="228">
        <v>0.08</v>
      </c>
      <c r="AG147" s="229">
        <v>6.7000000000000002E-3</v>
      </c>
      <c r="AH147" s="228">
        <v>1.22</v>
      </c>
      <c r="AI147" s="228">
        <v>1.02</v>
      </c>
      <c r="AJ147" s="228">
        <v>0.2</v>
      </c>
      <c r="AK147" s="229">
        <v>1.37E-2</v>
      </c>
      <c r="AL147" s="228">
        <v>1.59</v>
      </c>
      <c r="AM147" s="228">
        <v>1.41</v>
      </c>
      <c r="AN147" s="228">
        <v>0.18</v>
      </c>
      <c r="AO147" s="229">
        <v>1.78E-2</v>
      </c>
      <c r="AP147" s="228">
        <v>89.85</v>
      </c>
      <c r="AQ147" s="228">
        <v>90.37</v>
      </c>
      <c r="AR147" s="228">
        <v>0</v>
      </c>
      <c r="AS147" s="228">
        <v>208</v>
      </c>
      <c r="AT147" s="228">
        <v>179</v>
      </c>
      <c r="AU147" s="228">
        <v>29</v>
      </c>
      <c r="AV147" s="229">
        <v>0.15989999999999999</v>
      </c>
      <c r="AW147" s="228">
        <v>194</v>
      </c>
      <c r="AX147" s="228">
        <v>173</v>
      </c>
      <c r="AY147" s="228">
        <v>21</v>
      </c>
      <c r="AZ147" s="229">
        <v>0.1232</v>
      </c>
      <c r="BA147" s="228">
        <v>13</v>
      </c>
      <c r="BB147" s="228">
        <v>5</v>
      </c>
      <c r="BC147" s="228">
        <v>7</v>
      </c>
      <c r="BD147" s="229">
        <v>1.3976999999999999</v>
      </c>
      <c r="BE147" s="228">
        <v>1</v>
      </c>
      <c r="BF147" s="228">
        <v>1</v>
      </c>
      <c r="BG147" s="228">
        <v>0</v>
      </c>
      <c r="BH147" s="229">
        <v>-5.5599999999999997E-2</v>
      </c>
      <c r="BI147" s="228">
        <v>453</v>
      </c>
      <c r="BJ147" s="228">
        <v>397</v>
      </c>
      <c r="BK147" s="228">
        <v>56</v>
      </c>
      <c r="BL147" s="229">
        <v>0.14199999999999999</v>
      </c>
      <c r="BM147" s="228">
        <v>172</v>
      </c>
      <c r="BN147" s="228">
        <v>175</v>
      </c>
      <c r="BO147" s="228">
        <v>-3</v>
      </c>
      <c r="BP147" s="229">
        <v>-1.66E-2</v>
      </c>
      <c r="BQ147" s="228">
        <v>833</v>
      </c>
      <c r="BR147" s="228">
        <v>751</v>
      </c>
      <c r="BS147" s="228">
        <v>82</v>
      </c>
      <c r="BT147" s="229">
        <v>0.10929999999999999</v>
      </c>
      <c r="BU147" s="230">
        <v>20304048</v>
      </c>
      <c r="BV147" s="230">
        <v>25090141</v>
      </c>
      <c r="BW147" s="230">
        <v>-4786093</v>
      </c>
      <c r="BX147" s="229">
        <v>-0.1908</v>
      </c>
      <c r="BY147" s="230">
        <v>2877</v>
      </c>
      <c r="BZ147" s="230">
        <v>2861</v>
      </c>
      <c r="CA147" s="228">
        <v>16</v>
      </c>
      <c r="CB147" s="229">
        <v>5.5999999999999999E-3</v>
      </c>
      <c r="CC147" s="230">
        <v>2803</v>
      </c>
      <c r="CD147" s="230">
        <v>2788</v>
      </c>
      <c r="CE147" s="228">
        <v>15</v>
      </c>
      <c r="CF147" s="229">
        <v>5.3E-3</v>
      </c>
      <c r="CG147" s="228">
        <v>73</v>
      </c>
      <c r="CH147" s="228">
        <v>72</v>
      </c>
      <c r="CI147" s="228">
        <v>1</v>
      </c>
      <c r="CJ147" s="229">
        <v>1.26E-2</v>
      </c>
      <c r="CK147" s="228">
        <v>2</v>
      </c>
      <c r="CL147" s="228">
        <v>1</v>
      </c>
      <c r="CM147" s="228">
        <v>0</v>
      </c>
      <c r="CN147" s="229">
        <v>0.44440000000000002</v>
      </c>
      <c r="CO147" s="228">
        <v>593</v>
      </c>
      <c r="CP147" s="228">
        <v>536</v>
      </c>
      <c r="CQ147" s="228">
        <v>57</v>
      </c>
      <c r="CR147" s="229">
        <v>0.10589999999999999</v>
      </c>
      <c r="CS147" s="228">
        <v>292</v>
      </c>
      <c r="CT147" s="228">
        <v>276</v>
      </c>
      <c r="CU147" s="228">
        <v>16</v>
      </c>
      <c r="CV147" s="229">
        <v>5.8900000000000001E-2</v>
      </c>
      <c r="CW147" s="230">
        <v>3762</v>
      </c>
      <c r="CX147" s="230">
        <v>3673</v>
      </c>
      <c r="CY147" s="228">
        <v>89</v>
      </c>
      <c r="CZ147" s="229">
        <v>2.4199999999999999E-2</v>
      </c>
      <c r="DA147" s="228">
        <v>35.82</v>
      </c>
      <c r="DB147" s="228">
        <v>33.9</v>
      </c>
      <c r="DC147" s="228">
        <v>1.92</v>
      </c>
      <c r="DD147" s="228">
        <v>1.92</v>
      </c>
      <c r="DE147" s="228">
        <v>38.479999999999997</v>
      </c>
      <c r="DF147" s="228">
        <v>38.53</v>
      </c>
      <c r="DG147" s="228">
        <v>-2.66</v>
      </c>
      <c r="DH147" s="228">
        <v>-0.05</v>
      </c>
      <c r="DI147" s="228">
        <v>35.840000000000003</v>
      </c>
      <c r="DJ147" s="228">
        <v>33.76</v>
      </c>
      <c r="DK147" s="228">
        <v>2.08</v>
      </c>
      <c r="DL147" s="228">
        <v>2.08</v>
      </c>
      <c r="DM147" s="228">
        <v>35.770000000000003</v>
      </c>
      <c r="DN147" s="228">
        <v>34.229999999999997</v>
      </c>
      <c r="DO147" s="228">
        <v>1.54</v>
      </c>
      <c r="DP147" s="228">
        <v>1.54</v>
      </c>
      <c r="DQ147" s="228">
        <v>0.49</v>
      </c>
      <c r="DR147" s="228">
        <v>0.51</v>
      </c>
      <c r="DS147" s="228">
        <v>-0.02</v>
      </c>
      <c r="DT147" s="229">
        <v>-3.9199999999999999E-2</v>
      </c>
      <c r="DU147" s="228">
        <v>90</v>
      </c>
      <c r="DV147" s="228">
        <v>80</v>
      </c>
      <c r="DW147" s="228">
        <v>0.38</v>
      </c>
      <c r="DX147" s="228">
        <v>0.44</v>
      </c>
      <c r="DY147" s="228">
        <v>-0.06</v>
      </c>
      <c r="DZ147" s="229">
        <v>-0.13639999999999999</v>
      </c>
      <c r="EA147" s="229">
        <v>2.5899999999999999E-2</v>
      </c>
      <c r="EB147" s="230">
        <v>8147250</v>
      </c>
      <c r="EC147" s="229">
        <v>6.8999999999999999E-3</v>
      </c>
      <c r="ED147" s="229">
        <v>2.5899999999999999E-2</v>
      </c>
      <c r="EE147" s="228">
        <v>0.52</v>
      </c>
      <c r="EF147" s="229">
        <v>5.7999999999999996E-3</v>
      </c>
      <c r="EG147" s="230">
        <v>8460840</v>
      </c>
      <c r="EH147" s="230">
        <v>12556997</v>
      </c>
      <c r="EI147" s="229">
        <v>-0.32619999999999999</v>
      </c>
      <c r="EJ147" s="229">
        <v>0.41670000000000001</v>
      </c>
      <c r="EK147" s="228">
        <v>480.73</v>
      </c>
      <c r="EL147" s="228">
        <v>170.67</v>
      </c>
      <c r="EM147" s="228">
        <v>208.59</v>
      </c>
      <c r="EN147" s="228">
        <v>148.72</v>
      </c>
      <c r="EO147" s="228">
        <v>860</v>
      </c>
      <c r="EP147" s="228">
        <v>779.79</v>
      </c>
      <c r="EQ147" s="228">
        <v>80.22</v>
      </c>
      <c r="ER147" s="229">
        <v>0.10290000000000001</v>
      </c>
      <c r="ES147" s="228">
        <v>614.25</v>
      </c>
      <c r="ET147" s="228">
        <v>279.45</v>
      </c>
      <c r="EU147" s="231">
        <v>2877.6</v>
      </c>
      <c r="EV147" s="231">
        <v>517037525</v>
      </c>
      <c r="EW147" s="231">
        <v>3771.3</v>
      </c>
      <c r="EX147" s="231">
        <v>3718.59</v>
      </c>
      <c r="EY147" s="228">
        <v>52.71</v>
      </c>
      <c r="EZ147" s="229">
        <v>1.4200000000000001E-2</v>
      </c>
      <c r="FA147" s="229">
        <v>0.81120000000000003</v>
      </c>
      <c r="FB147" s="227" t="s">
        <v>566</v>
      </c>
      <c r="FC147">
        <f t="shared" si="2"/>
        <v>74</v>
      </c>
    </row>
    <row r="148" spans="1:159" ht="17.25" thickBot="1" x14ac:dyDescent="0.3">
      <c r="A148" s="226">
        <v>46146</v>
      </c>
      <c r="B148" s="227" t="s">
        <v>161</v>
      </c>
      <c r="C148" s="227" t="s">
        <v>268</v>
      </c>
      <c r="D148" s="228">
        <v>1500</v>
      </c>
      <c r="E148" s="228">
        <v>22</v>
      </c>
      <c r="F148" s="228">
        <v>402.2</v>
      </c>
      <c r="G148" s="228">
        <v>400.5</v>
      </c>
      <c r="H148" s="228">
        <v>1.7</v>
      </c>
      <c r="I148" s="229">
        <v>4.1999999999999997E-3</v>
      </c>
      <c r="J148" s="228">
        <v>400.05</v>
      </c>
      <c r="K148" s="228">
        <v>399.15</v>
      </c>
      <c r="L148" s="228">
        <v>0.9</v>
      </c>
      <c r="M148" s="229">
        <v>2.3E-3</v>
      </c>
      <c r="N148" s="228">
        <v>402.2</v>
      </c>
      <c r="O148" s="228">
        <v>400.5</v>
      </c>
      <c r="P148" s="228">
        <v>1.7</v>
      </c>
      <c r="Q148" s="229">
        <v>4.1999999999999997E-3</v>
      </c>
      <c r="R148" s="228">
        <v>404.85</v>
      </c>
      <c r="S148" s="228">
        <v>403.3</v>
      </c>
      <c r="T148" s="228">
        <v>1.55</v>
      </c>
      <c r="U148" s="229">
        <v>3.8E-3</v>
      </c>
      <c r="V148" s="228">
        <v>407.65</v>
      </c>
      <c r="W148" s="228">
        <v>405.65</v>
      </c>
      <c r="X148" s="228">
        <v>2</v>
      </c>
      <c r="Y148" s="229">
        <v>4.8999999999999998E-3</v>
      </c>
      <c r="Z148" s="228">
        <v>2.15</v>
      </c>
      <c r="AA148" s="228">
        <v>1.35</v>
      </c>
      <c r="AB148" s="228">
        <v>0.8</v>
      </c>
      <c r="AC148" s="229">
        <v>5.4000000000000003E-3</v>
      </c>
      <c r="AD148" s="228">
        <v>2.15</v>
      </c>
      <c r="AE148" s="228">
        <v>1.35</v>
      </c>
      <c r="AF148" s="228">
        <v>0.8</v>
      </c>
      <c r="AG148" s="229">
        <v>5.4000000000000003E-3</v>
      </c>
      <c r="AH148" s="228">
        <v>4.8</v>
      </c>
      <c r="AI148" s="228">
        <v>4.1500000000000004</v>
      </c>
      <c r="AJ148" s="228">
        <v>0.65</v>
      </c>
      <c r="AK148" s="229">
        <v>1.2E-2</v>
      </c>
      <c r="AL148" s="228">
        <v>7.6</v>
      </c>
      <c r="AM148" s="228">
        <v>6.5</v>
      </c>
      <c r="AN148" s="228">
        <v>1.1000000000000001</v>
      </c>
      <c r="AO148" s="229">
        <v>1.9E-2</v>
      </c>
      <c r="AP148" s="228">
        <v>402.59</v>
      </c>
      <c r="AQ148" s="228">
        <v>404.79</v>
      </c>
      <c r="AR148" s="228">
        <v>0</v>
      </c>
      <c r="AS148" s="228">
        <v>281</v>
      </c>
      <c r="AT148" s="228">
        <v>293</v>
      </c>
      <c r="AU148" s="228">
        <v>-12</v>
      </c>
      <c r="AV148" s="229">
        <v>-3.9899999999999998E-2</v>
      </c>
      <c r="AW148" s="228">
        <v>245</v>
      </c>
      <c r="AX148" s="228">
        <v>276</v>
      </c>
      <c r="AY148" s="228">
        <v>-30</v>
      </c>
      <c r="AZ148" s="229">
        <v>-0.1104</v>
      </c>
      <c r="BA148" s="228">
        <v>34</v>
      </c>
      <c r="BB148" s="228">
        <v>14</v>
      </c>
      <c r="BC148" s="228">
        <v>19</v>
      </c>
      <c r="BD148" s="229">
        <v>1.3559000000000001</v>
      </c>
      <c r="BE148" s="228">
        <v>2</v>
      </c>
      <c r="BF148" s="228">
        <v>3</v>
      </c>
      <c r="BG148" s="228">
        <v>-1</v>
      </c>
      <c r="BH148" s="229">
        <v>-0.18</v>
      </c>
      <c r="BI148" s="230">
        <v>1011</v>
      </c>
      <c r="BJ148" s="230">
        <v>1697</v>
      </c>
      <c r="BK148" s="228">
        <v>-685</v>
      </c>
      <c r="BL148" s="229">
        <v>-0.40400000000000003</v>
      </c>
      <c r="BM148" s="228">
        <v>392</v>
      </c>
      <c r="BN148" s="228">
        <v>487</v>
      </c>
      <c r="BO148" s="228">
        <v>-94</v>
      </c>
      <c r="BP148" s="229">
        <v>-0.19370000000000001</v>
      </c>
      <c r="BQ148" s="230">
        <v>1685</v>
      </c>
      <c r="BR148" s="230">
        <v>2476</v>
      </c>
      <c r="BS148" s="228">
        <v>-791</v>
      </c>
      <c r="BT148" s="229">
        <v>-0.3196</v>
      </c>
      <c r="BU148" s="230">
        <v>6735146</v>
      </c>
      <c r="BV148" s="230">
        <v>8206773</v>
      </c>
      <c r="BW148" s="230">
        <v>-1471627</v>
      </c>
      <c r="BX148" s="229">
        <v>-0.17929999999999999</v>
      </c>
      <c r="BY148" s="230">
        <v>4492</v>
      </c>
      <c r="BZ148" s="230">
        <v>4452</v>
      </c>
      <c r="CA148" s="228">
        <v>40</v>
      </c>
      <c r="CB148" s="229">
        <v>8.9999999999999993E-3</v>
      </c>
      <c r="CC148" s="230">
        <v>4086</v>
      </c>
      <c r="CD148" s="230">
        <v>4071</v>
      </c>
      <c r="CE148" s="228">
        <v>15</v>
      </c>
      <c r="CF148" s="229">
        <v>3.7000000000000002E-3</v>
      </c>
      <c r="CG148" s="228">
        <v>401</v>
      </c>
      <c r="CH148" s="228">
        <v>378</v>
      </c>
      <c r="CI148" s="228">
        <v>24</v>
      </c>
      <c r="CJ148" s="229">
        <v>6.2300000000000001E-2</v>
      </c>
      <c r="CK148" s="228">
        <v>5</v>
      </c>
      <c r="CL148" s="228">
        <v>3</v>
      </c>
      <c r="CM148" s="228">
        <v>2</v>
      </c>
      <c r="CN148" s="229">
        <v>0.47170000000000001</v>
      </c>
      <c r="CO148" s="230">
        <v>1278</v>
      </c>
      <c r="CP148" s="230">
        <v>1198</v>
      </c>
      <c r="CQ148" s="228">
        <v>80</v>
      </c>
      <c r="CR148" s="229">
        <v>6.6500000000000004E-2</v>
      </c>
      <c r="CS148" s="228">
        <v>546</v>
      </c>
      <c r="CT148" s="228">
        <v>522</v>
      </c>
      <c r="CU148" s="228">
        <v>24</v>
      </c>
      <c r="CV148" s="229">
        <v>4.6199999999999998E-2</v>
      </c>
      <c r="CW148" s="230">
        <v>6316</v>
      </c>
      <c r="CX148" s="230">
        <v>6172</v>
      </c>
      <c r="CY148" s="228">
        <v>144</v>
      </c>
      <c r="CZ148" s="229">
        <v>2.3300000000000001E-2</v>
      </c>
      <c r="DA148" s="228">
        <v>24.4</v>
      </c>
      <c r="DB148" s="228">
        <v>24.47</v>
      </c>
      <c r="DC148" s="228">
        <v>-7.0000000000000007E-2</v>
      </c>
      <c r="DD148" s="228">
        <v>-7.0000000000000007E-2</v>
      </c>
      <c r="DE148" s="228">
        <v>27.22</v>
      </c>
      <c r="DF148" s="228">
        <v>27.29</v>
      </c>
      <c r="DG148" s="228">
        <v>-2.82</v>
      </c>
      <c r="DH148" s="228">
        <v>-7.0000000000000007E-2</v>
      </c>
      <c r="DI148" s="228">
        <v>24.5</v>
      </c>
      <c r="DJ148" s="228">
        <v>24.37</v>
      </c>
      <c r="DK148" s="228">
        <v>0.13</v>
      </c>
      <c r="DL148" s="228">
        <v>0.13</v>
      </c>
      <c r="DM148" s="228">
        <v>24.14</v>
      </c>
      <c r="DN148" s="228">
        <v>24.86</v>
      </c>
      <c r="DO148" s="228">
        <v>-0.72</v>
      </c>
      <c r="DP148" s="228">
        <v>-0.72</v>
      </c>
      <c r="DQ148" s="228">
        <v>0.43</v>
      </c>
      <c r="DR148" s="228">
        <v>0.44</v>
      </c>
      <c r="DS148" s="228">
        <v>-0.01</v>
      </c>
      <c r="DT148" s="229">
        <v>-2.2700000000000001E-2</v>
      </c>
      <c r="DU148" s="228">
        <v>410</v>
      </c>
      <c r="DV148" s="228">
        <v>400</v>
      </c>
      <c r="DW148" s="228">
        <v>0.39</v>
      </c>
      <c r="DX148" s="228">
        <v>0.28999999999999998</v>
      </c>
      <c r="DY148" s="228">
        <v>0.1</v>
      </c>
      <c r="DZ148" s="229">
        <v>0.3448</v>
      </c>
      <c r="EA148" s="229">
        <v>9.0399999999999994E-2</v>
      </c>
      <c r="EB148" s="230">
        <v>9472500</v>
      </c>
      <c r="EC148" s="229">
        <v>6.6E-3</v>
      </c>
      <c r="ED148" s="229">
        <v>9.0399999999999994E-2</v>
      </c>
      <c r="EE148" s="228">
        <v>2.2000000000000002</v>
      </c>
      <c r="EF148" s="229">
        <v>5.4999999999999997E-3</v>
      </c>
      <c r="EG148" s="230">
        <v>4107738</v>
      </c>
      <c r="EH148" s="230">
        <v>4958143</v>
      </c>
      <c r="EI148" s="229">
        <v>-0.17150000000000001</v>
      </c>
      <c r="EJ148" s="229">
        <v>0.6099</v>
      </c>
      <c r="EK148" s="231">
        <v>1064.8900000000001</v>
      </c>
      <c r="EL148" s="228">
        <v>391.76</v>
      </c>
      <c r="EM148" s="228">
        <v>281.99</v>
      </c>
      <c r="EN148" s="228">
        <v>220.7</v>
      </c>
      <c r="EO148" s="231">
        <v>1738.64</v>
      </c>
      <c r="EP148" s="231">
        <v>2550.6799999999998</v>
      </c>
      <c r="EQ148" s="228">
        <v>-812.03</v>
      </c>
      <c r="ER148" s="229">
        <v>-0.31840000000000002</v>
      </c>
      <c r="ES148" s="231">
        <v>1339.3</v>
      </c>
      <c r="ET148" s="228">
        <v>532.79999999999995</v>
      </c>
      <c r="EU148" s="231">
        <v>4494.7</v>
      </c>
      <c r="EV148" s="231">
        <v>550512361</v>
      </c>
      <c r="EW148" s="231">
        <v>6366.8</v>
      </c>
      <c r="EX148" s="231">
        <v>6200.8</v>
      </c>
      <c r="EY148" s="228">
        <v>166</v>
      </c>
      <c r="EZ148" s="229">
        <v>2.6800000000000001E-2</v>
      </c>
      <c r="FA148" s="229">
        <v>0.28520000000000001</v>
      </c>
      <c r="FB148" s="227" t="s">
        <v>555</v>
      </c>
      <c r="FC148">
        <f>BY217-CC217</f>
        <v>0</v>
      </c>
    </row>
    <row r="149" spans="1:159" ht="17.25" thickBot="1" x14ac:dyDescent="0.3">
      <c r="A149" s="226">
        <v>46146</v>
      </c>
      <c r="B149" s="227" t="s">
        <v>175</v>
      </c>
      <c r="C149" s="227" t="s">
        <v>681</v>
      </c>
      <c r="D149" s="228">
        <v>500</v>
      </c>
      <c r="E149" s="228">
        <v>22</v>
      </c>
      <c r="F149" s="231">
        <v>1338.3</v>
      </c>
      <c r="G149" s="231">
        <v>1323.5</v>
      </c>
      <c r="H149" s="228">
        <v>14.8</v>
      </c>
      <c r="I149" s="229">
        <v>1.12E-2</v>
      </c>
      <c r="J149" s="231">
        <v>1329.3</v>
      </c>
      <c r="K149" s="231">
        <v>1326.5</v>
      </c>
      <c r="L149" s="228">
        <v>2.8</v>
      </c>
      <c r="M149" s="229">
        <v>2.0999999999999999E-3</v>
      </c>
      <c r="N149" s="231">
        <v>1338.3</v>
      </c>
      <c r="O149" s="231">
        <v>1323.5</v>
      </c>
      <c r="P149" s="228">
        <v>14.8</v>
      </c>
      <c r="Q149" s="229">
        <v>1.12E-2</v>
      </c>
      <c r="R149" s="231">
        <v>1321.1</v>
      </c>
      <c r="S149" s="231">
        <v>1310.9</v>
      </c>
      <c r="T149" s="228">
        <v>10.199999999999999</v>
      </c>
      <c r="U149" s="229">
        <v>7.7999999999999996E-3</v>
      </c>
      <c r="V149" s="231">
        <v>1310</v>
      </c>
      <c r="W149" s="231">
        <v>1320</v>
      </c>
      <c r="X149" s="228">
        <v>-10</v>
      </c>
      <c r="Y149" s="229">
        <v>-7.6E-3</v>
      </c>
      <c r="Z149" s="228">
        <v>9</v>
      </c>
      <c r="AA149" s="228">
        <v>-3</v>
      </c>
      <c r="AB149" s="228">
        <v>12</v>
      </c>
      <c r="AC149" s="229">
        <v>6.7999999999999996E-3</v>
      </c>
      <c r="AD149" s="228">
        <v>9</v>
      </c>
      <c r="AE149" s="228">
        <v>-3</v>
      </c>
      <c r="AF149" s="228">
        <v>12</v>
      </c>
      <c r="AG149" s="229">
        <v>6.7999999999999996E-3</v>
      </c>
      <c r="AH149" s="228">
        <v>-8.1999999999999993</v>
      </c>
      <c r="AI149" s="228">
        <v>-15.6</v>
      </c>
      <c r="AJ149" s="228">
        <v>7.4</v>
      </c>
      <c r="AK149" s="229">
        <v>-6.1999999999999998E-3</v>
      </c>
      <c r="AL149" s="228">
        <v>-19.3</v>
      </c>
      <c r="AM149" s="228">
        <v>-6.5</v>
      </c>
      <c r="AN149" s="228">
        <v>-12.8</v>
      </c>
      <c r="AO149" s="229">
        <v>-1.4500000000000001E-2</v>
      </c>
      <c r="AP149" s="231">
        <v>1331.26</v>
      </c>
      <c r="AQ149" s="231">
        <v>1314.36</v>
      </c>
      <c r="AR149" s="228">
        <v>0</v>
      </c>
      <c r="AS149" s="228">
        <v>83</v>
      </c>
      <c r="AT149" s="228">
        <v>79</v>
      </c>
      <c r="AU149" s="228">
        <v>4</v>
      </c>
      <c r="AV149" s="229">
        <v>5.45E-2</v>
      </c>
      <c r="AW149" s="228">
        <v>81</v>
      </c>
      <c r="AX149" s="228">
        <v>74</v>
      </c>
      <c r="AY149" s="228">
        <v>7</v>
      </c>
      <c r="AZ149" s="229">
        <v>0.10059999999999999</v>
      </c>
      <c r="BA149" s="228">
        <v>1</v>
      </c>
      <c r="BB149" s="228">
        <v>5</v>
      </c>
      <c r="BC149" s="228">
        <v>-3</v>
      </c>
      <c r="BD149" s="229">
        <v>-0.67649999999999999</v>
      </c>
      <c r="BE149" s="228">
        <v>0</v>
      </c>
      <c r="BF149" s="228">
        <v>0</v>
      </c>
      <c r="BG149" s="228">
        <v>0</v>
      </c>
      <c r="BH149" s="229">
        <v>-0.25</v>
      </c>
      <c r="BI149" s="228">
        <v>70</v>
      </c>
      <c r="BJ149" s="228">
        <v>36</v>
      </c>
      <c r="BK149" s="228">
        <v>34</v>
      </c>
      <c r="BL149" s="229">
        <v>0.94810000000000005</v>
      </c>
      <c r="BM149" s="228">
        <v>16</v>
      </c>
      <c r="BN149" s="228">
        <v>25</v>
      </c>
      <c r="BO149" s="228">
        <v>-9</v>
      </c>
      <c r="BP149" s="229">
        <v>-0.35360000000000003</v>
      </c>
      <c r="BQ149" s="228">
        <v>170</v>
      </c>
      <c r="BR149" s="228">
        <v>140</v>
      </c>
      <c r="BS149" s="228">
        <v>30</v>
      </c>
      <c r="BT149" s="229">
        <v>0.2107</v>
      </c>
      <c r="BU149" s="230">
        <v>368865</v>
      </c>
      <c r="BV149" s="230">
        <v>368097</v>
      </c>
      <c r="BW149" s="228">
        <v>768</v>
      </c>
      <c r="BX149" s="229">
        <v>2.0999999999999999E-3</v>
      </c>
      <c r="BY149" s="228">
        <v>170</v>
      </c>
      <c r="BZ149" s="228">
        <v>177</v>
      </c>
      <c r="CA149" s="228">
        <v>-6</v>
      </c>
      <c r="CB149" s="229">
        <v>-3.6700000000000003E-2</v>
      </c>
      <c r="CC149" s="228">
        <v>162</v>
      </c>
      <c r="CD149" s="228">
        <v>169</v>
      </c>
      <c r="CE149" s="228">
        <v>-7</v>
      </c>
      <c r="CF149" s="229">
        <v>-4.2700000000000002E-2</v>
      </c>
      <c r="CG149" s="228">
        <v>8</v>
      </c>
      <c r="CH149" s="228">
        <v>7</v>
      </c>
      <c r="CI149" s="228">
        <v>1</v>
      </c>
      <c r="CJ149" s="229">
        <v>8.1799999999999998E-2</v>
      </c>
      <c r="CK149" s="228">
        <v>0</v>
      </c>
      <c r="CL149" s="228">
        <v>0</v>
      </c>
      <c r="CM149" s="228">
        <v>0</v>
      </c>
      <c r="CN149" s="229">
        <v>0.5</v>
      </c>
      <c r="CO149" s="228">
        <v>73</v>
      </c>
      <c r="CP149" s="228">
        <v>58</v>
      </c>
      <c r="CQ149" s="228">
        <v>15</v>
      </c>
      <c r="CR149" s="229">
        <v>0.25540000000000002</v>
      </c>
      <c r="CS149" s="228">
        <v>38</v>
      </c>
      <c r="CT149" s="228">
        <v>34</v>
      </c>
      <c r="CU149" s="228">
        <v>4</v>
      </c>
      <c r="CV149" s="229">
        <v>0.12520000000000001</v>
      </c>
      <c r="CW149" s="228">
        <v>282</v>
      </c>
      <c r="CX149" s="228">
        <v>269</v>
      </c>
      <c r="CY149" s="228">
        <v>13</v>
      </c>
      <c r="CZ149" s="229">
        <v>4.7E-2</v>
      </c>
      <c r="DA149" s="228">
        <v>39.54</v>
      </c>
      <c r="DB149" s="228">
        <v>43.21</v>
      </c>
      <c r="DC149" s="228">
        <v>-3.67</v>
      </c>
      <c r="DD149" s="228">
        <v>-3.67</v>
      </c>
      <c r="DE149" s="228">
        <v>50.23</v>
      </c>
      <c r="DF149" s="228">
        <v>50.33</v>
      </c>
      <c r="DG149" s="228">
        <v>-10.69</v>
      </c>
      <c r="DH149" s="228">
        <v>-0.1</v>
      </c>
      <c r="DI149" s="228">
        <v>38.46</v>
      </c>
      <c r="DJ149" s="228">
        <v>40.33</v>
      </c>
      <c r="DK149" s="228">
        <v>-1.87</v>
      </c>
      <c r="DL149" s="228">
        <v>-1.87</v>
      </c>
      <c r="DM149" s="228">
        <v>44.14</v>
      </c>
      <c r="DN149" s="228">
        <v>47.32</v>
      </c>
      <c r="DO149" s="228">
        <v>-3.18</v>
      </c>
      <c r="DP149" s="228">
        <v>-3.18</v>
      </c>
      <c r="DQ149" s="228">
        <v>0.52</v>
      </c>
      <c r="DR149" s="228">
        <v>0.57999999999999996</v>
      </c>
      <c r="DS149" s="228">
        <v>-0.06</v>
      </c>
      <c r="DT149" s="229">
        <v>-0.10340000000000001</v>
      </c>
      <c r="DU149" s="231">
        <v>1500</v>
      </c>
      <c r="DV149" s="231">
        <v>1300</v>
      </c>
      <c r="DW149" s="228">
        <v>0.23</v>
      </c>
      <c r="DX149" s="228">
        <v>0.7</v>
      </c>
      <c r="DY149" s="228">
        <v>-0.47</v>
      </c>
      <c r="DZ149" s="229">
        <v>-0.6714</v>
      </c>
      <c r="EA149" s="229">
        <v>4.9099999999999998E-2</v>
      </c>
      <c r="EB149" s="230">
        <v>57000</v>
      </c>
      <c r="EC149" s="229">
        <v>-1.29E-2</v>
      </c>
      <c r="ED149" s="229">
        <v>4.9099999999999998E-2</v>
      </c>
      <c r="EE149" s="228">
        <v>-16.899999999999999</v>
      </c>
      <c r="EF149" s="229">
        <v>-1.2699999999999999E-2</v>
      </c>
      <c r="EG149" s="230">
        <v>203274</v>
      </c>
      <c r="EH149" s="230">
        <v>177226</v>
      </c>
      <c r="EI149" s="229">
        <v>0.14699999999999999</v>
      </c>
      <c r="EJ149" s="229">
        <v>0.55110000000000003</v>
      </c>
      <c r="EK149" s="228">
        <v>77.11</v>
      </c>
      <c r="EL149" s="228">
        <v>16.32</v>
      </c>
      <c r="EM149" s="228">
        <v>82.45</v>
      </c>
      <c r="EN149" s="228">
        <v>20.76</v>
      </c>
      <c r="EO149" s="228">
        <v>175.87</v>
      </c>
      <c r="EP149" s="228">
        <v>140.28</v>
      </c>
      <c r="EQ149" s="228">
        <v>35.590000000000003</v>
      </c>
      <c r="ER149" s="229">
        <v>0.25369999999999998</v>
      </c>
      <c r="ES149" s="228">
        <v>78.209999999999994</v>
      </c>
      <c r="ET149" s="228">
        <v>36.07</v>
      </c>
      <c r="EU149" s="228">
        <v>170.32</v>
      </c>
      <c r="EV149" s="231">
        <v>12490416</v>
      </c>
      <c r="EW149" s="228">
        <v>284.60000000000002</v>
      </c>
      <c r="EX149" s="228">
        <v>269.31</v>
      </c>
      <c r="EY149" s="228">
        <v>15.29</v>
      </c>
      <c r="EZ149" s="229">
        <v>5.6800000000000003E-2</v>
      </c>
      <c r="FA149" s="229">
        <v>0.16850000000000001</v>
      </c>
      <c r="FB149" s="227" t="s">
        <v>691</v>
      </c>
      <c r="FC149">
        <f t="shared" ref="FC149:FC194" si="3">BY216-CC216</f>
        <v>24</v>
      </c>
    </row>
    <row r="150" spans="1:159" ht="17.25" thickBot="1" x14ac:dyDescent="0.3">
      <c r="A150" s="226">
        <v>46146</v>
      </c>
      <c r="B150" s="227" t="s">
        <v>614</v>
      </c>
      <c r="C150" s="227" t="s">
        <v>612</v>
      </c>
      <c r="D150" s="228">
        <v>3125</v>
      </c>
      <c r="E150" s="228">
        <v>22</v>
      </c>
      <c r="F150" s="228">
        <v>266.35000000000002</v>
      </c>
      <c r="G150" s="228">
        <v>266.33999999999997</v>
      </c>
      <c r="H150" s="228">
        <v>0.01</v>
      </c>
      <c r="I150" s="229">
        <v>0</v>
      </c>
      <c r="J150" s="228">
        <v>264.85000000000002</v>
      </c>
      <c r="K150" s="228">
        <v>264.76</v>
      </c>
      <c r="L150" s="228">
        <v>0.09</v>
      </c>
      <c r="M150" s="229">
        <v>2.9999999999999997E-4</v>
      </c>
      <c r="N150" s="228">
        <v>266.35000000000002</v>
      </c>
      <c r="O150" s="228">
        <v>266.33999999999997</v>
      </c>
      <c r="P150" s="228">
        <v>0.01</v>
      </c>
      <c r="Q150" s="229">
        <v>0</v>
      </c>
      <c r="R150" s="228">
        <v>267.3</v>
      </c>
      <c r="S150" s="228">
        <v>267.86</v>
      </c>
      <c r="T150" s="228">
        <v>-0.56000000000000005</v>
      </c>
      <c r="U150" s="229">
        <v>-2.0999999999999999E-3</v>
      </c>
      <c r="V150" s="228">
        <v>267</v>
      </c>
      <c r="W150" s="228">
        <v>0</v>
      </c>
      <c r="X150" s="228">
        <v>267</v>
      </c>
      <c r="Y150" s="229">
        <v>0</v>
      </c>
      <c r="Z150" s="228">
        <v>1.5</v>
      </c>
      <c r="AA150" s="228">
        <v>1.58</v>
      </c>
      <c r="AB150" s="228">
        <v>-0.08</v>
      </c>
      <c r="AC150" s="229">
        <v>5.7000000000000002E-3</v>
      </c>
      <c r="AD150" s="228">
        <v>1.5</v>
      </c>
      <c r="AE150" s="228">
        <v>1.58</v>
      </c>
      <c r="AF150" s="228">
        <v>-0.08</v>
      </c>
      <c r="AG150" s="229">
        <v>5.7000000000000002E-3</v>
      </c>
      <c r="AH150" s="228">
        <v>2.4500000000000002</v>
      </c>
      <c r="AI150" s="228">
        <v>3.1</v>
      </c>
      <c r="AJ150" s="228">
        <v>-0.65</v>
      </c>
      <c r="AK150" s="229">
        <v>9.2999999999999992E-3</v>
      </c>
      <c r="AL150" s="228">
        <v>2.15</v>
      </c>
      <c r="AM150" s="228">
        <v>0</v>
      </c>
      <c r="AN150" s="228">
        <v>2.15</v>
      </c>
      <c r="AO150" s="229">
        <v>8.0999999999999996E-3</v>
      </c>
      <c r="AP150" s="228">
        <v>266.70999999999998</v>
      </c>
      <c r="AQ150" s="228">
        <v>267.35000000000002</v>
      </c>
      <c r="AR150" s="228">
        <v>0</v>
      </c>
      <c r="AS150" s="228">
        <v>78</v>
      </c>
      <c r="AT150" s="228">
        <v>85</v>
      </c>
      <c r="AU150" s="228">
        <v>-7</v>
      </c>
      <c r="AV150" s="229">
        <v>-8.5699999999999998E-2</v>
      </c>
      <c r="AW150" s="228">
        <v>76</v>
      </c>
      <c r="AX150" s="228">
        <v>83</v>
      </c>
      <c r="AY150" s="228">
        <v>-7</v>
      </c>
      <c r="AZ150" s="229">
        <v>-8.7099999999999997E-2</v>
      </c>
      <c r="BA150" s="228">
        <v>2</v>
      </c>
      <c r="BB150" s="228">
        <v>2</v>
      </c>
      <c r="BC150" s="228">
        <v>0</v>
      </c>
      <c r="BD150" s="229">
        <v>-0.17860000000000001</v>
      </c>
      <c r="BE150" s="228">
        <v>0</v>
      </c>
      <c r="BF150" s="228">
        <v>0</v>
      </c>
      <c r="BG150" s="228">
        <v>0</v>
      </c>
      <c r="BH150" s="229">
        <v>0</v>
      </c>
      <c r="BI150" s="228">
        <v>92</v>
      </c>
      <c r="BJ150" s="228">
        <v>54</v>
      </c>
      <c r="BK150" s="228">
        <v>39</v>
      </c>
      <c r="BL150" s="229">
        <v>0.72199999999999998</v>
      </c>
      <c r="BM150" s="228">
        <v>29</v>
      </c>
      <c r="BN150" s="228">
        <v>59</v>
      </c>
      <c r="BO150" s="228">
        <v>-30</v>
      </c>
      <c r="BP150" s="229">
        <v>-0.51119999999999999</v>
      </c>
      <c r="BQ150" s="228">
        <v>199</v>
      </c>
      <c r="BR150" s="228">
        <v>198</v>
      </c>
      <c r="BS150" s="228">
        <v>1</v>
      </c>
      <c r="BT150" s="229">
        <v>5.4999999999999997E-3</v>
      </c>
      <c r="BU150" s="230">
        <v>2774228</v>
      </c>
      <c r="BV150" s="230">
        <v>2206137</v>
      </c>
      <c r="BW150" s="230">
        <v>568091</v>
      </c>
      <c r="BX150" s="229">
        <v>0.25750000000000001</v>
      </c>
      <c r="BY150" s="230">
        <v>1258</v>
      </c>
      <c r="BZ150" s="230">
        <v>1234</v>
      </c>
      <c r="CA150" s="228">
        <v>24</v>
      </c>
      <c r="CB150" s="229">
        <v>1.9400000000000001E-2</v>
      </c>
      <c r="CC150" s="230">
        <v>1253</v>
      </c>
      <c r="CD150" s="230">
        <v>1230</v>
      </c>
      <c r="CE150" s="228">
        <v>23</v>
      </c>
      <c r="CF150" s="229">
        <v>1.9E-2</v>
      </c>
      <c r="CG150" s="228">
        <v>4</v>
      </c>
      <c r="CH150" s="228">
        <v>4</v>
      </c>
      <c r="CI150" s="228">
        <v>0</v>
      </c>
      <c r="CJ150" s="229">
        <v>4.0800000000000003E-2</v>
      </c>
      <c r="CK150" s="228">
        <v>0</v>
      </c>
      <c r="CL150" s="228">
        <v>0</v>
      </c>
      <c r="CM150" s="228">
        <v>0</v>
      </c>
      <c r="CN150" s="229">
        <v>0</v>
      </c>
      <c r="CO150" s="228">
        <v>127</v>
      </c>
      <c r="CP150" s="228">
        <v>107</v>
      </c>
      <c r="CQ150" s="228">
        <v>20</v>
      </c>
      <c r="CR150" s="229">
        <v>0.19139999999999999</v>
      </c>
      <c r="CS150" s="228">
        <v>86</v>
      </c>
      <c r="CT150" s="228">
        <v>88</v>
      </c>
      <c r="CU150" s="228">
        <v>-1</v>
      </c>
      <c r="CV150" s="229">
        <v>-1.43E-2</v>
      </c>
      <c r="CW150" s="230">
        <v>1471</v>
      </c>
      <c r="CX150" s="230">
        <v>1428</v>
      </c>
      <c r="CY150" s="228">
        <v>43</v>
      </c>
      <c r="CZ150" s="229">
        <v>3.0099999999999998E-2</v>
      </c>
      <c r="DA150" s="228">
        <v>34.15</v>
      </c>
      <c r="DB150" s="228">
        <v>32.630000000000003</v>
      </c>
      <c r="DC150" s="228">
        <v>1.52</v>
      </c>
      <c r="DD150" s="228">
        <v>1.52</v>
      </c>
      <c r="DE150" s="228">
        <v>35.53</v>
      </c>
      <c r="DF150" s="228">
        <v>35.619999999999997</v>
      </c>
      <c r="DG150" s="228">
        <v>-1.38</v>
      </c>
      <c r="DH150" s="228">
        <v>-0.09</v>
      </c>
      <c r="DI150" s="228">
        <v>34.19</v>
      </c>
      <c r="DJ150" s="228">
        <v>32.69</v>
      </c>
      <c r="DK150" s="228">
        <v>1.5</v>
      </c>
      <c r="DL150" s="228">
        <v>1.5</v>
      </c>
      <c r="DM150" s="228">
        <v>34.04</v>
      </c>
      <c r="DN150" s="228">
        <v>32.58</v>
      </c>
      <c r="DO150" s="228">
        <v>1.46</v>
      </c>
      <c r="DP150" s="228">
        <v>1.46</v>
      </c>
      <c r="DQ150" s="228">
        <v>0.68</v>
      </c>
      <c r="DR150" s="228">
        <v>0.82</v>
      </c>
      <c r="DS150" s="228">
        <v>-0.14000000000000001</v>
      </c>
      <c r="DT150" s="229">
        <v>-0.17069999999999999</v>
      </c>
      <c r="DU150" s="228">
        <v>270</v>
      </c>
      <c r="DV150" s="228">
        <v>260</v>
      </c>
      <c r="DW150" s="228">
        <v>0.31</v>
      </c>
      <c r="DX150" s="228">
        <v>1.1100000000000001</v>
      </c>
      <c r="DY150" s="228">
        <v>-0.8</v>
      </c>
      <c r="DZ150" s="229">
        <v>-0.72070000000000001</v>
      </c>
      <c r="EA150" s="229">
        <v>3.5999999999999999E-3</v>
      </c>
      <c r="EB150" s="230">
        <v>153125</v>
      </c>
      <c r="EC150" s="229">
        <v>3.5999999999999999E-3</v>
      </c>
      <c r="ED150" s="229">
        <v>3.5999999999999999E-3</v>
      </c>
      <c r="EE150" s="228">
        <v>0.64</v>
      </c>
      <c r="EF150" s="229">
        <v>2.3999999999999998E-3</v>
      </c>
      <c r="EG150" s="230">
        <v>1236604</v>
      </c>
      <c r="EH150" s="230">
        <v>1100726</v>
      </c>
      <c r="EI150" s="229">
        <v>0.1234</v>
      </c>
      <c r="EJ150" s="229">
        <v>0.44569999999999999</v>
      </c>
      <c r="EK150" s="228">
        <v>98.43</v>
      </c>
      <c r="EL150" s="228">
        <v>28.83</v>
      </c>
      <c r="EM150" s="228">
        <v>78.27</v>
      </c>
      <c r="EN150" s="228">
        <v>44.02</v>
      </c>
      <c r="EO150" s="228">
        <v>205.52</v>
      </c>
      <c r="EP150" s="228">
        <v>201.03</v>
      </c>
      <c r="EQ150" s="228">
        <v>4.5</v>
      </c>
      <c r="ER150" s="229">
        <v>2.24E-2</v>
      </c>
      <c r="ES150" s="228">
        <v>133.36000000000001</v>
      </c>
      <c r="ET150" s="228">
        <v>83.64</v>
      </c>
      <c r="EU150" s="231">
        <v>1257.8499999999999</v>
      </c>
      <c r="EV150" s="231">
        <v>205669742</v>
      </c>
      <c r="EW150" s="231">
        <v>1474.85</v>
      </c>
      <c r="EX150" s="231">
        <v>1430.67</v>
      </c>
      <c r="EY150" s="228">
        <v>44.18</v>
      </c>
      <c r="EZ150" s="229">
        <v>3.09E-2</v>
      </c>
      <c r="FA150" s="229">
        <v>0.26850000000000002</v>
      </c>
      <c r="FB150" s="227" t="s">
        <v>237</v>
      </c>
      <c r="FC150">
        <f t="shared" si="3"/>
        <v>0</v>
      </c>
    </row>
    <row r="151" spans="1:159" ht="17.25" thickBot="1" x14ac:dyDescent="0.3">
      <c r="A151" s="226">
        <v>46146</v>
      </c>
      <c r="B151" s="227" t="s">
        <v>206</v>
      </c>
      <c r="C151" s="227" t="s">
        <v>528</v>
      </c>
      <c r="D151" s="228">
        <v>350</v>
      </c>
      <c r="E151" s="228">
        <v>22</v>
      </c>
      <c r="F151" s="231">
        <v>1701.9</v>
      </c>
      <c r="G151" s="231">
        <v>1678</v>
      </c>
      <c r="H151" s="228">
        <v>23.9</v>
      </c>
      <c r="I151" s="229">
        <v>1.4200000000000001E-2</v>
      </c>
      <c r="J151" s="231">
        <v>1693.7</v>
      </c>
      <c r="K151" s="231">
        <v>1669.6</v>
      </c>
      <c r="L151" s="228">
        <v>24.1</v>
      </c>
      <c r="M151" s="229">
        <v>1.44E-2</v>
      </c>
      <c r="N151" s="231">
        <v>1701.9</v>
      </c>
      <c r="O151" s="231">
        <v>1678</v>
      </c>
      <c r="P151" s="228">
        <v>23.9</v>
      </c>
      <c r="Q151" s="229">
        <v>1.4200000000000001E-2</v>
      </c>
      <c r="R151" s="231">
        <v>1686.4</v>
      </c>
      <c r="S151" s="231">
        <v>1662</v>
      </c>
      <c r="T151" s="228">
        <v>24.4</v>
      </c>
      <c r="U151" s="229">
        <v>1.47E-2</v>
      </c>
      <c r="V151" s="231">
        <v>1680.4</v>
      </c>
      <c r="W151" s="231">
        <v>1655.8</v>
      </c>
      <c r="X151" s="228">
        <v>24.6</v>
      </c>
      <c r="Y151" s="229">
        <v>1.49E-2</v>
      </c>
      <c r="Z151" s="228">
        <v>8.1999999999999993</v>
      </c>
      <c r="AA151" s="228">
        <v>8.4</v>
      </c>
      <c r="AB151" s="228">
        <v>-0.2</v>
      </c>
      <c r="AC151" s="229">
        <v>4.7999999999999996E-3</v>
      </c>
      <c r="AD151" s="228">
        <v>8.1999999999999993</v>
      </c>
      <c r="AE151" s="228">
        <v>8.4</v>
      </c>
      <c r="AF151" s="228">
        <v>-0.2</v>
      </c>
      <c r="AG151" s="229">
        <v>4.7999999999999996E-3</v>
      </c>
      <c r="AH151" s="228">
        <v>-7.3</v>
      </c>
      <c r="AI151" s="228">
        <v>-7.6</v>
      </c>
      <c r="AJ151" s="228">
        <v>0.3</v>
      </c>
      <c r="AK151" s="229">
        <v>-4.3E-3</v>
      </c>
      <c r="AL151" s="228">
        <v>-13.3</v>
      </c>
      <c r="AM151" s="228">
        <v>-13.8</v>
      </c>
      <c r="AN151" s="228">
        <v>0.5</v>
      </c>
      <c r="AO151" s="229">
        <v>-7.9000000000000008E-3</v>
      </c>
      <c r="AP151" s="231">
        <v>1701.51</v>
      </c>
      <c r="AQ151" s="231">
        <v>1687.45</v>
      </c>
      <c r="AR151" s="228">
        <v>0</v>
      </c>
      <c r="AS151" s="228">
        <v>84</v>
      </c>
      <c r="AT151" s="228">
        <v>120</v>
      </c>
      <c r="AU151" s="228">
        <v>-36</v>
      </c>
      <c r="AV151" s="229">
        <v>-0.29959999999999998</v>
      </c>
      <c r="AW151" s="228">
        <v>80</v>
      </c>
      <c r="AX151" s="228">
        <v>117</v>
      </c>
      <c r="AY151" s="228">
        <v>-36</v>
      </c>
      <c r="AZ151" s="229">
        <v>-0.3115</v>
      </c>
      <c r="BA151" s="228">
        <v>4</v>
      </c>
      <c r="BB151" s="228">
        <v>3</v>
      </c>
      <c r="BC151" s="228">
        <v>1</v>
      </c>
      <c r="BD151" s="229">
        <v>0.22</v>
      </c>
      <c r="BE151" s="228">
        <v>0</v>
      </c>
      <c r="BF151" s="228">
        <v>0</v>
      </c>
      <c r="BG151" s="228">
        <v>0</v>
      </c>
      <c r="BH151" s="229">
        <v>-0.8</v>
      </c>
      <c r="BI151" s="228">
        <v>93</v>
      </c>
      <c r="BJ151" s="228">
        <v>65</v>
      </c>
      <c r="BK151" s="228">
        <v>28</v>
      </c>
      <c r="BL151" s="229">
        <v>0.4279</v>
      </c>
      <c r="BM151" s="228">
        <v>28</v>
      </c>
      <c r="BN151" s="228">
        <v>31</v>
      </c>
      <c r="BO151" s="228">
        <v>-2</v>
      </c>
      <c r="BP151" s="229">
        <v>-7.9299999999999995E-2</v>
      </c>
      <c r="BQ151" s="228">
        <v>206</v>
      </c>
      <c r="BR151" s="228">
        <v>216</v>
      </c>
      <c r="BS151" s="228">
        <v>-10</v>
      </c>
      <c r="BT151" s="229">
        <v>-4.8300000000000003E-2</v>
      </c>
      <c r="BU151" s="230">
        <v>240614</v>
      </c>
      <c r="BV151" s="230">
        <v>487617</v>
      </c>
      <c r="BW151" s="230">
        <v>-247003</v>
      </c>
      <c r="BX151" s="229">
        <v>-0.50660000000000005</v>
      </c>
      <c r="BY151" s="230">
        <v>1189</v>
      </c>
      <c r="BZ151" s="230">
        <v>1191</v>
      </c>
      <c r="CA151" s="228">
        <v>-1</v>
      </c>
      <c r="CB151" s="229">
        <v>-1.2999999999999999E-3</v>
      </c>
      <c r="CC151" s="230">
        <v>1178</v>
      </c>
      <c r="CD151" s="230">
        <v>1182</v>
      </c>
      <c r="CE151" s="228">
        <v>-3</v>
      </c>
      <c r="CF151" s="229">
        <v>-2.7000000000000001E-3</v>
      </c>
      <c r="CG151" s="228">
        <v>10</v>
      </c>
      <c r="CH151" s="228">
        <v>8</v>
      </c>
      <c r="CI151" s="228">
        <v>2</v>
      </c>
      <c r="CJ151" s="229">
        <v>0.21579999999999999</v>
      </c>
      <c r="CK151" s="228">
        <v>1</v>
      </c>
      <c r="CL151" s="228">
        <v>1</v>
      </c>
      <c r="CM151" s="228">
        <v>0</v>
      </c>
      <c r="CN151" s="229">
        <v>-5.2600000000000001E-2</v>
      </c>
      <c r="CO151" s="228">
        <v>168</v>
      </c>
      <c r="CP151" s="228">
        <v>151</v>
      </c>
      <c r="CQ151" s="228">
        <v>17</v>
      </c>
      <c r="CR151" s="229">
        <v>0.11260000000000001</v>
      </c>
      <c r="CS151" s="228">
        <v>59</v>
      </c>
      <c r="CT151" s="228">
        <v>52</v>
      </c>
      <c r="CU151" s="228">
        <v>7</v>
      </c>
      <c r="CV151" s="229">
        <v>0.1273</v>
      </c>
      <c r="CW151" s="230">
        <v>1417</v>
      </c>
      <c r="CX151" s="230">
        <v>1395</v>
      </c>
      <c r="CY151" s="228">
        <v>22</v>
      </c>
      <c r="CZ151" s="229">
        <v>1.5900000000000001E-2</v>
      </c>
      <c r="DA151" s="228">
        <v>35.880000000000003</v>
      </c>
      <c r="DB151" s="228">
        <v>34.47</v>
      </c>
      <c r="DC151" s="228">
        <v>1.41</v>
      </c>
      <c r="DD151" s="228">
        <v>1.41</v>
      </c>
      <c r="DE151" s="228">
        <v>36.44</v>
      </c>
      <c r="DF151" s="228">
        <v>36.479999999999997</v>
      </c>
      <c r="DG151" s="228">
        <v>-0.56000000000000005</v>
      </c>
      <c r="DH151" s="228">
        <v>-0.04</v>
      </c>
      <c r="DI151" s="228">
        <v>35.409999999999997</v>
      </c>
      <c r="DJ151" s="228">
        <v>33.64</v>
      </c>
      <c r="DK151" s="228">
        <v>1.77</v>
      </c>
      <c r="DL151" s="228">
        <v>1.77</v>
      </c>
      <c r="DM151" s="228">
        <v>37.43</v>
      </c>
      <c r="DN151" s="228">
        <v>36.229999999999997</v>
      </c>
      <c r="DO151" s="228">
        <v>1.2</v>
      </c>
      <c r="DP151" s="228">
        <v>1.2</v>
      </c>
      <c r="DQ151" s="228">
        <v>0.35</v>
      </c>
      <c r="DR151" s="228">
        <v>0.35</v>
      </c>
      <c r="DS151" s="228">
        <v>0</v>
      </c>
      <c r="DT151" s="229">
        <v>0</v>
      </c>
      <c r="DU151" s="231">
        <v>1880</v>
      </c>
      <c r="DV151" s="231">
        <v>1700</v>
      </c>
      <c r="DW151" s="228">
        <v>0.3</v>
      </c>
      <c r="DX151" s="228">
        <v>0.47</v>
      </c>
      <c r="DY151" s="228">
        <v>-0.17</v>
      </c>
      <c r="DZ151" s="229">
        <v>-0.36170000000000002</v>
      </c>
      <c r="EA151" s="229">
        <v>9.4000000000000004E-3</v>
      </c>
      <c r="EB151" s="230">
        <v>55300</v>
      </c>
      <c r="EC151" s="229">
        <v>-9.1000000000000004E-3</v>
      </c>
      <c r="ED151" s="229">
        <v>9.4000000000000004E-3</v>
      </c>
      <c r="EE151" s="228">
        <v>-14.06</v>
      </c>
      <c r="EF151" s="229">
        <v>-8.3000000000000001E-3</v>
      </c>
      <c r="EG151" s="230">
        <v>98414</v>
      </c>
      <c r="EH151" s="230">
        <v>286917</v>
      </c>
      <c r="EI151" s="229">
        <v>-0.65700000000000003</v>
      </c>
      <c r="EJ151" s="229">
        <v>0.40899999999999997</v>
      </c>
      <c r="EK151" s="228">
        <v>99.62</v>
      </c>
      <c r="EL151" s="228">
        <v>28.19</v>
      </c>
      <c r="EM151" s="228">
        <v>83.94</v>
      </c>
      <c r="EN151" s="228">
        <v>67.849999999999994</v>
      </c>
      <c r="EO151" s="228">
        <v>211.74</v>
      </c>
      <c r="EP151" s="228">
        <v>218.16</v>
      </c>
      <c r="EQ151" s="228">
        <v>-6.42</v>
      </c>
      <c r="ER151" s="229">
        <v>-2.9399999999999999E-2</v>
      </c>
      <c r="ES151" s="228">
        <v>181.06</v>
      </c>
      <c r="ET151" s="228">
        <v>57.01</v>
      </c>
      <c r="EU151" s="231">
        <v>1189.3800000000001</v>
      </c>
      <c r="EV151" s="231">
        <v>17614093</v>
      </c>
      <c r="EW151" s="231">
        <v>1427.45</v>
      </c>
      <c r="EX151" s="231">
        <v>1388.22</v>
      </c>
      <c r="EY151" s="228">
        <v>39.229999999999997</v>
      </c>
      <c r="EZ151" s="229">
        <v>2.8299999999999999E-2</v>
      </c>
      <c r="FA151" s="229">
        <v>0.47270000000000001</v>
      </c>
      <c r="FB151" s="227" t="s">
        <v>691</v>
      </c>
      <c r="FC151">
        <f t="shared" si="3"/>
        <v>0</v>
      </c>
    </row>
    <row r="152" spans="1:159" ht="17.25" thickBot="1" x14ac:dyDescent="0.3">
      <c r="A152" s="226">
        <v>46146</v>
      </c>
      <c r="B152" s="227" t="s">
        <v>221</v>
      </c>
      <c r="C152" s="227" t="s">
        <v>518</v>
      </c>
      <c r="D152" s="228">
        <v>75</v>
      </c>
      <c r="E152" s="228">
        <v>22</v>
      </c>
      <c r="F152" s="231">
        <v>9628.5</v>
      </c>
      <c r="G152" s="231">
        <v>9584.5</v>
      </c>
      <c r="H152" s="228">
        <v>44</v>
      </c>
      <c r="I152" s="229">
        <v>4.5999999999999999E-3</v>
      </c>
      <c r="J152" s="231">
        <v>9730</v>
      </c>
      <c r="K152" s="231">
        <v>9726.5</v>
      </c>
      <c r="L152" s="228">
        <v>3.5</v>
      </c>
      <c r="M152" s="229">
        <v>4.0000000000000002E-4</v>
      </c>
      <c r="N152" s="231">
        <v>9628.5</v>
      </c>
      <c r="O152" s="231">
        <v>9584.5</v>
      </c>
      <c r="P152" s="228">
        <v>44</v>
      </c>
      <c r="Q152" s="229">
        <v>4.5999999999999999E-3</v>
      </c>
      <c r="R152" s="231">
        <v>9526.5</v>
      </c>
      <c r="S152" s="231">
        <v>9479.5</v>
      </c>
      <c r="T152" s="228">
        <v>47</v>
      </c>
      <c r="U152" s="229">
        <v>5.0000000000000001E-3</v>
      </c>
      <c r="V152" s="231">
        <v>9513</v>
      </c>
      <c r="W152" s="231">
        <v>9513</v>
      </c>
      <c r="X152" s="228">
        <v>0</v>
      </c>
      <c r="Y152" s="229">
        <v>0</v>
      </c>
      <c r="Z152" s="228">
        <v>-101.5</v>
      </c>
      <c r="AA152" s="228">
        <v>-142</v>
      </c>
      <c r="AB152" s="228">
        <v>40.5</v>
      </c>
      <c r="AC152" s="229">
        <v>-1.04E-2</v>
      </c>
      <c r="AD152" s="228">
        <v>-101.5</v>
      </c>
      <c r="AE152" s="228">
        <v>-142</v>
      </c>
      <c r="AF152" s="228">
        <v>40.5</v>
      </c>
      <c r="AG152" s="229">
        <v>-1.04E-2</v>
      </c>
      <c r="AH152" s="228">
        <v>-203.5</v>
      </c>
      <c r="AI152" s="228">
        <v>-247</v>
      </c>
      <c r="AJ152" s="228">
        <v>43.5</v>
      </c>
      <c r="AK152" s="229">
        <v>-2.0899999999999998E-2</v>
      </c>
      <c r="AL152" s="228">
        <v>-217</v>
      </c>
      <c r="AM152" s="228">
        <v>-213.5</v>
      </c>
      <c r="AN152" s="228">
        <v>-3.5</v>
      </c>
      <c r="AO152" s="229">
        <v>-2.23E-2</v>
      </c>
      <c r="AP152" s="231">
        <v>9647.52</v>
      </c>
      <c r="AQ152" s="231">
        <v>9535.1</v>
      </c>
      <c r="AR152" s="228">
        <v>0</v>
      </c>
      <c r="AS152" s="228">
        <v>231</v>
      </c>
      <c r="AT152" s="228">
        <v>270</v>
      </c>
      <c r="AU152" s="228">
        <v>-39</v>
      </c>
      <c r="AV152" s="229">
        <v>-0.14480000000000001</v>
      </c>
      <c r="AW152" s="228">
        <v>223</v>
      </c>
      <c r="AX152" s="228">
        <v>260</v>
      </c>
      <c r="AY152" s="228">
        <v>-38</v>
      </c>
      <c r="AZ152" s="229">
        <v>-0.14510000000000001</v>
      </c>
      <c r="BA152" s="228">
        <v>8</v>
      </c>
      <c r="BB152" s="228">
        <v>9</v>
      </c>
      <c r="BC152" s="228">
        <v>-1</v>
      </c>
      <c r="BD152" s="229">
        <v>-8.1299999999999997E-2</v>
      </c>
      <c r="BE152" s="228">
        <v>0</v>
      </c>
      <c r="BF152" s="228">
        <v>1</v>
      </c>
      <c r="BG152" s="228">
        <v>-1</v>
      </c>
      <c r="BH152" s="229">
        <v>-1</v>
      </c>
      <c r="BI152" s="228">
        <v>977</v>
      </c>
      <c r="BJ152" s="230">
        <v>1280</v>
      </c>
      <c r="BK152" s="228">
        <v>-303</v>
      </c>
      <c r="BL152" s="229">
        <v>-0.2366</v>
      </c>
      <c r="BM152" s="228">
        <v>585</v>
      </c>
      <c r="BN152" s="228">
        <v>615</v>
      </c>
      <c r="BO152" s="228">
        <v>-30</v>
      </c>
      <c r="BP152" s="229">
        <v>-4.8500000000000001E-2</v>
      </c>
      <c r="BQ152" s="230">
        <v>1793</v>
      </c>
      <c r="BR152" s="230">
        <v>2164</v>
      </c>
      <c r="BS152" s="228">
        <v>-372</v>
      </c>
      <c r="BT152" s="229">
        <v>-0.17180000000000001</v>
      </c>
      <c r="BU152" s="230">
        <v>363803</v>
      </c>
      <c r="BV152" s="230">
        <v>383615</v>
      </c>
      <c r="BW152" s="230">
        <v>-19812</v>
      </c>
      <c r="BX152" s="229">
        <v>-5.16E-2</v>
      </c>
      <c r="BY152" s="230">
        <v>1257</v>
      </c>
      <c r="BZ152" s="230">
        <v>1249</v>
      </c>
      <c r="CA152" s="228">
        <v>8</v>
      </c>
      <c r="CB152" s="229">
        <v>6.0000000000000001E-3</v>
      </c>
      <c r="CC152" s="230">
        <v>1236</v>
      </c>
      <c r="CD152" s="230">
        <v>1231</v>
      </c>
      <c r="CE152" s="228">
        <v>5</v>
      </c>
      <c r="CF152" s="229">
        <v>4.1000000000000003E-3</v>
      </c>
      <c r="CG152" s="228">
        <v>19</v>
      </c>
      <c r="CH152" s="228">
        <v>16</v>
      </c>
      <c r="CI152" s="228">
        <v>2</v>
      </c>
      <c r="CJ152" s="229">
        <v>0.14979999999999999</v>
      </c>
      <c r="CK152" s="228">
        <v>2</v>
      </c>
      <c r="CL152" s="228">
        <v>2</v>
      </c>
      <c r="CM152" s="228">
        <v>0</v>
      </c>
      <c r="CN152" s="229">
        <v>0</v>
      </c>
      <c r="CO152" s="228">
        <v>597</v>
      </c>
      <c r="CP152" s="228">
        <v>586</v>
      </c>
      <c r="CQ152" s="228">
        <v>10</v>
      </c>
      <c r="CR152" s="229">
        <v>1.77E-2</v>
      </c>
      <c r="CS152" s="228">
        <v>597</v>
      </c>
      <c r="CT152" s="228">
        <v>569</v>
      </c>
      <c r="CU152" s="228">
        <v>28</v>
      </c>
      <c r="CV152" s="229">
        <v>4.9799999999999997E-2</v>
      </c>
      <c r="CW152" s="230">
        <v>2450</v>
      </c>
      <c r="CX152" s="230">
        <v>2404</v>
      </c>
      <c r="CY152" s="228">
        <v>46</v>
      </c>
      <c r="CZ152" s="229">
        <v>1.9199999999999998E-2</v>
      </c>
      <c r="DA152" s="228">
        <v>36.53</v>
      </c>
      <c r="DB152" s="228">
        <v>36.46</v>
      </c>
      <c r="DC152" s="228">
        <v>7.0000000000000007E-2</v>
      </c>
      <c r="DD152" s="228">
        <v>7.0000000000000007E-2</v>
      </c>
      <c r="DE152" s="228">
        <v>41.35</v>
      </c>
      <c r="DF152" s="228">
        <v>41.45</v>
      </c>
      <c r="DG152" s="228">
        <v>-4.82</v>
      </c>
      <c r="DH152" s="228">
        <v>-0.1</v>
      </c>
      <c r="DI152" s="228">
        <v>35.6</v>
      </c>
      <c r="DJ152" s="228">
        <v>35.57</v>
      </c>
      <c r="DK152" s="228">
        <v>0.03</v>
      </c>
      <c r="DL152" s="228">
        <v>0.03</v>
      </c>
      <c r="DM152" s="228">
        <v>38.090000000000003</v>
      </c>
      <c r="DN152" s="228">
        <v>38.31</v>
      </c>
      <c r="DO152" s="228">
        <v>-0.22</v>
      </c>
      <c r="DP152" s="228">
        <v>-0.22</v>
      </c>
      <c r="DQ152" s="228">
        <v>1</v>
      </c>
      <c r="DR152" s="228">
        <v>0.97</v>
      </c>
      <c r="DS152" s="228">
        <v>0.03</v>
      </c>
      <c r="DT152" s="229">
        <v>3.09E-2</v>
      </c>
      <c r="DU152" s="231">
        <v>9800</v>
      </c>
      <c r="DV152" s="231">
        <v>8000</v>
      </c>
      <c r="DW152" s="228">
        <v>0.6</v>
      </c>
      <c r="DX152" s="228">
        <v>0.48</v>
      </c>
      <c r="DY152" s="228">
        <v>0.12</v>
      </c>
      <c r="DZ152" s="229">
        <v>0.25</v>
      </c>
      <c r="EA152" s="229">
        <v>1.6299999999999999E-2</v>
      </c>
      <c r="EB152" s="230">
        <v>18725</v>
      </c>
      <c r="EC152" s="229">
        <v>-1.06E-2</v>
      </c>
      <c r="ED152" s="229">
        <v>1.6299999999999999E-2</v>
      </c>
      <c r="EE152" s="228">
        <v>-112.42</v>
      </c>
      <c r="EF152" s="229">
        <v>-1.17E-2</v>
      </c>
      <c r="EG152" s="230">
        <v>189775</v>
      </c>
      <c r="EH152" s="230">
        <v>126269</v>
      </c>
      <c r="EI152" s="229">
        <v>0.50290000000000001</v>
      </c>
      <c r="EJ152" s="229">
        <v>0.52159999999999995</v>
      </c>
      <c r="EK152" s="231">
        <v>1041.3</v>
      </c>
      <c r="EL152" s="228">
        <v>573.76</v>
      </c>
      <c r="EM152" s="228">
        <v>231.08</v>
      </c>
      <c r="EN152" s="228">
        <v>92.11</v>
      </c>
      <c r="EO152" s="231">
        <v>1846.14</v>
      </c>
      <c r="EP152" s="231">
        <v>2220.2399999999998</v>
      </c>
      <c r="EQ152" s="228">
        <v>-374.1</v>
      </c>
      <c r="ER152" s="229">
        <v>-0.16850000000000001</v>
      </c>
      <c r="ES152" s="228">
        <v>596.29999999999995</v>
      </c>
      <c r="ET152" s="228">
        <v>539.32000000000005</v>
      </c>
      <c r="EU152" s="231">
        <v>1256.49</v>
      </c>
      <c r="EV152" s="231">
        <v>3594855</v>
      </c>
      <c r="EW152" s="231">
        <v>2392.11</v>
      </c>
      <c r="EX152" s="231">
        <v>2338.54</v>
      </c>
      <c r="EY152" s="228">
        <v>53.57</v>
      </c>
      <c r="EZ152" s="229">
        <v>2.29E-2</v>
      </c>
      <c r="FA152" s="229">
        <v>0.70789999999999997</v>
      </c>
      <c r="FB152" s="227" t="s">
        <v>555</v>
      </c>
      <c r="FC152">
        <f t="shared" si="3"/>
        <v>0</v>
      </c>
    </row>
    <row r="153" spans="1:159" ht="17.25" thickBot="1" x14ac:dyDescent="0.3">
      <c r="A153" s="226">
        <v>46146</v>
      </c>
      <c r="B153" s="227" t="s">
        <v>193</v>
      </c>
      <c r="C153" s="227" t="s">
        <v>586</v>
      </c>
      <c r="D153" s="228">
        <v>1400</v>
      </c>
      <c r="E153" s="228">
        <v>22</v>
      </c>
      <c r="F153" s="228">
        <v>477.9</v>
      </c>
      <c r="G153" s="228">
        <v>491.4</v>
      </c>
      <c r="H153" s="228">
        <v>-13.5</v>
      </c>
      <c r="I153" s="229">
        <v>-2.75E-2</v>
      </c>
      <c r="J153" s="228">
        <v>475.1</v>
      </c>
      <c r="K153" s="228">
        <v>490.8</v>
      </c>
      <c r="L153" s="228">
        <v>-15.7</v>
      </c>
      <c r="M153" s="229">
        <v>-3.2000000000000001E-2</v>
      </c>
      <c r="N153" s="228">
        <v>477.9</v>
      </c>
      <c r="O153" s="228">
        <v>491.4</v>
      </c>
      <c r="P153" s="228">
        <v>-13.5</v>
      </c>
      <c r="Q153" s="229">
        <v>-2.75E-2</v>
      </c>
      <c r="R153" s="228">
        <v>478</v>
      </c>
      <c r="S153" s="228">
        <v>490.9</v>
      </c>
      <c r="T153" s="228">
        <v>-12.9</v>
      </c>
      <c r="U153" s="229">
        <v>-2.63E-2</v>
      </c>
      <c r="V153" s="228">
        <v>478.9</v>
      </c>
      <c r="W153" s="228">
        <v>491.6</v>
      </c>
      <c r="X153" s="228">
        <v>-12.7</v>
      </c>
      <c r="Y153" s="229">
        <v>-2.58E-2</v>
      </c>
      <c r="Z153" s="228">
        <v>2.8</v>
      </c>
      <c r="AA153" s="228">
        <v>0.6</v>
      </c>
      <c r="AB153" s="228">
        <v>2.2000000000000002</v>
      </c>
      <c r="AC153" s="229">
        <v>5.8999999999999999E-3</v>
      </c>
      <c r="AD153" s="228">
        <v>2.8</v>
      </c>
      <c r="AE153" s="228">
        <v>0.6</v>
      </c>
      <c r="AF153" s="228">
        <v>2.2000000000000002</v>
      </c>
      <c r="AG153" s="229">
        <v>5.8999999999999999E-3</v>
      </c>
      <c r="AH153" s="228">
        <v>2.9</v>
      </c>
      <c r="AI153" s="228">
        <v>0.1</v>
      </c>
      <c r="AJ153" s="228">
        <v>2.8</v>
      </c>
      <c r="AK153" s="229">
        <v>6.1000000000000004E-3</v>
      </c>
      <c r="AL153" s="228">
        <v>3.8</v>
      </c>
      <c r="AM153" s="228">
        <v>0.8</v>
      </c>
      <c r="AN153" s="228">
        <v>3</v>
      </c>
      <c r="AO153" s="229">
        <v>8.0000000000000002E-3</v>
      </c>
      <c r="AP153" s="228">
        <v>480.28</v>
      </c>
      <c r="AQ153" s="228">
        <v>479.95</v>
      </c>
      <c r="AR153" s="228">
        <v>0</v>
      </c>
      <c r="AS153" s="228">
        <v>186</v>
      </c>
      <c r="AT153" s="228">
        <v>168</v>
      </c>
      <c r="AU153" s="228">
        <v>17</v>
      </c>
      <c r="AV153" s="229">
        <v>0.1037</v>
      </c>
      <c r="AW153" s="228">
        <v>174</v>
      </c>
      <c r="AX153" s="228">
        <v>159</v>
      </c>
      <c r="AY153" s="228">
        <v>15</v>
      </c>
      <c r="AZ153" s="229">
        <v>9.4500000000000001E-2</v>
      </c>
      <c r="BA153" s="228">
        <v>11</v>
      </c>
      <c r="BB153" s="228">
        <v>8</v>
      </c>
      <c r="BC153" s="228">
        <v>2</v>
      </c>
      <c r="BD153" s="229">
        <v>0.26400000000000001</v>
      </c>
      <c r="BE153" s="228">
        <v>1</v>
      </c>
      <c r="BF153" s="228">
        <v>1</v>
      </c>
      <c r="BG153" s="228">
        <v>0</v>
      </c>
      <c r="BH153" s="229">
        <v>0.25</v>
      </c>
      <c r="BI153" s="228">
        <v>533</v>
      </c>
      <c r="BJ153" s="228">
        <v>517</v>
      </c>
      <c r="BK153" s="228">
        <v>16</v>
      </c>
      <c r="BL153" s="229">
        <v>3.0700000000000002E-2</v>
      </c>
      <c r="BM153" s="228">
        <v>236</v>
      </c>
      <c r="BN153" s="228">
        <v>173</v>
      </c>
      <c r="BO153" s="228">
        <v>63</v>
      </c>
      <c r="BP153" s="229">
        <v>0.3634</v>
      </c>
      <c r="BQ153" s="228">
        <v>955</v>
      </c>
      <c r="BR153" s="228">
        <v>859</v>
      </c>
      <c r="BS153" s="228">
        <v>96</v>
      </c>
      <c r="BT153" s="229">
        <v>0.11219999999999999</v>
      </c>
      <c r="BU153" s="230">
        <v>7092622</v>
      </c>
      <c r="BV153" s="230">
        <v>5041634</v>
      </c>
      <c r="BW153" s="230">
        <v>2050988</v>
      </c>
      <c r="BX153" s="229">
        <v>0.40679999999999999</v>
      </c>
      <c r="BY153" s="228">
        <v>923</v>
      </c>
      <c r="BZ153" s="228">
        <v>947</v>
      </c>
      <c r="CA153" s="228">
        <v>-24</v>
      </c>
      <c r="CB153" s="229">
        <v>-2.53E-2</v>
      </c>
      <c r="CC153" s="228">
        <v>894</v>
      </c>
      <c r="CD153" s="228">
        <v>922</v>
      </c>
      <c r="CE153" s="228">
        <v>-28</v>
      </c>
      <c r="CF153" s="229">
        <v>-3.04E-2</v>
      </c>
      <c r="CG153" s="228">
        <v>28</v>
      </c>
      <c r="CH153" s="228">
        <v>24</v>
      </c>
      <c r="CI153" s="228">
        <v>3</v>
      </c>
      <c r="CJ153" s="229">
        <v>0.13769999999999999</v>
      </c>
      <c r="CK153" s="228">
        <v>2</v>
      </c>
      <c r="CL153" s="228">
        <v>1</v>
      </c>
      <c r="CM153" s="228">
        <v>1</v>
      </c>
      <c r="CN153" s="229">
        <v>0.78569999999999995</v>
      </c>
      <c r="CO153" s="228">
        <v>407</v>
      </c>
      <c r="CP153" s="228">
        <v>379</v>
      </c>
      <c r="CQ153" s="228">
        <v>28</v>
      </c>
      <c r="CR153" s="229">
        <v>7.46E-2</v>
      </c>
      <c r="CS153" s="228">
        <v>210</v>
      </c>
      <c r="CT153" s="228">
        <v>199</v>
      </c>
      <c r="CU153" s="228">
        <v>12</v>
      </c>
      <c r="CV153" s="229">
        <v>5.9700000000000003E-2</v>
      </c>
      <c r="CW153" s="230">
        <v>1540</v>
      </c>
      <c r="CX153" s="230">
        <v>1524</v>
      </c>
      <c r="CY153" s="228">
        <v>16</v>
      </c>
      <c r="CZ153" s="229">
        <v>1.06E-2</v>
      </c>
      <c r="DA153" s="228">
        <v>36.18</v>
      </c>
      <c r="DB153" s="228">
        <v>36.630000000000003</v>
      </c>
      <c r="DC153" s="228">
        <v>-0.45</v>
      </c>
      <c r="DD153" s="228">
        <v>-0.45</v>
      </c>
      <c r="DE153" s="228">
        <v>41.36</v>
      </c>
      <c r="DF153" s="228">
        <v>41.23</v>
      </c>
      <c r="DG153" s="228">
        <v>-5.18</v>
      </c>
      <c r="DH153" s="228">
        <v>0.13</v>
      </c>
      <c r="DI153" s="228">
        <v>36.770000000000003</v>
      </c>
      <c r="DJ153" s="228">
        <v>36.909999999999997</v>
      </c>
      <c r="DK153" s="228">
        <v>-0.14000000000000001</v>
      </c>
      <c r="DL153" s="228">
        <v>-0.14000000000000001</v>
      </c>
      <c r="DM153" s="228">
        <v>34.840000000000003</v>
      </c>
      <c r="DN153" s="228">
        <v>35.799999999999997</v>
      </c>
      <c r="DO153" s="228">
        <v>-0.96</v>
      </c>
      <c r="DP153" s="228">
        <v>-0.96</v>
      </c>
      <c r="DQ153" s="228">
        <v>0.52</v>
      </c>
      <c r="DR153" s="228">
        <v>0.52</v>
      </c>
      <c r="DS153" s="228">
        <v>0</v>
      </c>
      <c r="DT153" s="229">
        <v>0</v>
      </c>
      <c r="DU153" s="228">
        <v>500</v>
      </c>
      <c r="DV153" s="228">
        <v>500</v>
      </c>
      <c r="DW153" s="228">
        <v>0.44</v>
      </c>
      <c r="DX153" s="228">
        <v>0.34</v>
      </c>
      <c r="DY153" s="228">
        <v>0.1</v>
      </c>
      <c r="DZ153" s="229">
        <v>0.29409999999999997</v>
      </c>
      <c r="EA153" s="229">
        <v>3.1699999999999999E-2</v>
      </c>
      <c r="EB153" s="230">
        <v>527800</v>
      </c>
      <c r="EC153" s="229">
        <v>2.0000000000000001E-4</v>
      </c>
      <c r="ED153" s="229">
        <v>3.1699999999999999E-2</v>
      </c>
      <c r="EE153" s="228">
        <v>-0.33</v>
      </c>
      <c r="EF153" s="229">
        <v>-6.9999999999999999E-4</v>
      </c>
      <c r="EG153" s="230">
        <v>3352663</v>
      </c>
      <c r="EH153" s="230">
        <v>1724069</v>
      </c>
      <c r="EI153" s="229">
        <v>0.9446</v>
      </c>
      <c r="EJ153" s="229">
        <v>0.47270000000000001</v>
      </c>
      <c r="EK153" s="228">
        <v>572.07000000000005</v>
      </c>
      <c r="EL153" s="228">
        <v>241.13</v>
      </c>
      <c r="EM153" s="228">
        <v>186.85</v>
      </c>
      <c r="EN153" s="228">
        <v>60.49</v>
      </c>
      <c r="EO153" s="231">
        <v>1000.05</v>
      </c>
      <c r="EP153" s="228">
        <v>919.43</v>
      </c>
      <c r="EQ153" s="228">
        <v>80.62</v>
      </c>
      <c r="ER153" s="229">
        <v>8.77E-2</v>
      </c>
      <c r="ES153" s="228">
        <v>430.48</v>
      </c>
      <c r="ET153" s="228">
        <v>208.65</v>
      </c>
      <c r="EU153" s="228">
        <v>923.18</v>
      </c>
      <c r="EV153" s="231">
        <v>105756420</v>
      </c>
      <c r="EW153" s="231">
        <v>1562.3</v>
      </c>
      <c r="EX153" s="231">
        <v>1573.84</v>
      </c>
      <c r="EY153" s="228">
        <v>-11.54</v>
      </c>
      <c r="EZ153" s="229">
        <v>-7.3000000000000001E-3</v>
      </c>
      <c r="FA153" s="229">
        <v>0.30480000000000002</v>
      </c>
      <c r="FB153" s="227" t="s">
        <v>567</v>
      </c>
      <c r="FC153">
        <f t="shared" si="3"/>
        <v>0</v>
      </c>
    </row>
    <row r="154" spans="1:159" ht="17.25" thickBot="1" x14ac:dyDescent="0.3">
      <c r="A154" s="226">
        <v>46146</v>
      </c>
      <c r="B154" s="227" t="s">
        <v>193</v>
      </c>
      <c r="C154" s="227" t="s">
        <v>269</v>
      </c>
      <c r="D154" s="228">
        <v>2250</v>
      </c>
      <c r="E154" s="228">
        <v>22</v>
      </c>
      <c r="F154" s="228">
        <v>294.55</v>
      </c>
      <c r="G154" s="228">
        <v>301.05</v>
      </c>
      <c r="H154" s="228">
        <v>-6.5</v>
      </c>
      <c r="I154" s="229">
        <v>-2.1600000000000001E-2</v>
      </c>
      <c r="J154" s="228">
        <v>292.89999999999998</v>
      </c>
      <c r="K154" s="228">
        <v>299.55</v>
      </c>
      <c r="L154" s="228">
        <v>-6.65</v>
      </c>
      <c r="M154" s="229">
        <v>-2.2200000000000001E-2</v>
      </c>
      <c r="N154" s="228">
        <v>294.55</v>
      </c>
      <c r="O154" s="228">
        <v>301.05</v>
      </c>
      <c r="P154" s="228">
        <v>-6.5</v>
      </c>
      <c r="Q154" s="229">
        <v>-2.1600000000000001E-2</v>
      </c>
      <c r="R154" s="228">
        <v>296.5</v>
      </c>
      <c r="S154" s="228">
        <v>302.85000000000002</v>
      </c>
      <c r="T154" s="228">
        <v>-6.35</v>
      </c>
      <c r="U154" s="229">
        <v>-2.1000000000000001E-2</v>
      </c>
      <c r="V154" s="228">
        <v>297.55</v>
      </c>
      <c r="W154" s="228">
        <v>304.89999999999998</v>
      </c>
      <c r="X154" s="228">
        <v>-7.35</v>
      </c>
      <c r="Y154" s="229">
        <v>-2.41E-2</v>
      </c>
      <c r="Z154" s="228">
        <v>1.65</v>
      </c>
      <c r="AA154" s="228">
        <v>1.5</v>
      </c>
      <c r="AB154" s="228">
        <v>0.15</v>
      </c>
      <c r="AC154" s="229">
        <v>5.5999999999999999E-3</v>
      </c>
      <c r="AD154" s="228">
        <v>1.65</v>
      </c>
      <c r="AE154" s="228">
        <v>1.5</v>
      </c>
      <c r="AF154" s="228">
        <v>0.15</v>
      </c>
      <c r="AG154" s="229">
        <v>5.5999999999999999E-3</v>
      </c>
      <c r="AH154" s="228">
        <v>3.6</v>
      </c>
      <c r="AI154" s="228">
        <v>3.3</v>
      </c>
      <c r="AJ154" s="228">
        <v>0.3</v>
      </c>
      <c r="AK154" s="229">
        <v>1.23E-2</v>
      </c>
      <c r="AL154" s="228">
        <v>4.6500000000000004</v>
      </c>
      <c r="AM154" s="228">
        <v>5.35</v>
      </c>
      <c r="AN154" s="228">
        <v>-0.7</v>
      </c>
      <c r="AO154" s="229">
        <v>1.5900000000000001E-2</v>
      </c>
      <c r="AP154" s="228">
        <v>295.87</v>
      </c>
      <c r="AQ154" s="228">
        <v>297.52999999999997</v>
      </c>
      <c r="AR154" s="228">
        <v>0</v>
      </c>
      <c r="AS154" s="228">
        <v>294</v>
      </c>
      <c r="AT154" s="228">
        <v>401</v>
      </c>
      <c r="AU154" s="228">
        <v>-107</v>
      </c>
      <c r="AV154" s="229">
        <v>-0.26640000000000003</v>
      </c>
      <c r="AW154" s="228">
        <v>267</v>
      </c>
      <c r="AX154" s="228">
        <v>369</v>
      </c>
      <c r="AY154" s="228">
        <v>-102</v>
      </c>
      <c r="AZ154" s="229">
        <v>-0.27660000000000001</v>
      </c>
      <c r="BA154" s="228">
        <v>25</v>
      </c>
      <c r="BB154" s="228">
        <v>29</v>
      </c>
      <c r="BC154" s="228">
        <v>-5</v>
      </c>
      <c r="BD154" s="229">
        <v>-0.15279999999999999</v>
      </c>
      <c r="BE154" s="228">
        <v>3</v>
      </c>
      <c r="BF154" s="228">
        <v>3</v>
      </c>
      <c r="BG154" s="228">
        <v>0</v>
      </c>
      <c r="BH154" s="229">
        <v>-0.1163</v>
      </c>
      <c r="BI154" s="230">
        <v>1549</v>
      </c>
      <c r="BJ154" s="230">
        <v>2631</v>
      </c>
      <c r="BK154" s="230">
        <v>-1082</v>
      </c>
      <c r="BL154" s="229">
        <v>-0.41120000000000001</v>
      </c>
      <c r="BM154" s="228">
        <v>527</v>
      </c>
      <c r="BN154" s="228">
        <v>809</v>
      </c>
      <c r="BO154" s="228">
        <v>-283</v>
      </c>
      <c r="BP154" s="229">
        <v>-0.34910000000000002</v>
      </c>
      <c r="BQ154" s="230">
        <v>2370</v>
      </c>
      <c r="BR154" s="230">
        <v>3842</v>
      </c>
      <c r="BS154" s="230">
        <v>-1472</v>
      </c>
      <c r="BT154" s="229">
        <v>-0.38300000000000001</v>
      </c>
      <c r="BU154" s="230">
        <v>15760512</v>
      </c>
      <c r="BV154" s="230">
        <v>18673442</v>
      </c>
      <c r="BW154" s="230">
        <v>-2912930</v>
      </c>
      <c r="BX154" s="229">
        <v>-0.156</v>
      </c>
      <c r="BY154" s="230">
        <v>3006</v>
      </c>
      <c r="BZ154" s="230">
        <v>2998</v>
      </c>
      <c r="CA154" s="228">
        <v>8</v>
      </c>
      <c r="CB154" s="229">
        <v>2.5999999999999999E-3</v>
      </c>
      <c r="CC154" s="230">
        <v>2461</v>
      </c>
      <c r="CD154" s="230">
        <v>2464</v>
      </c>
      <c r="CE154" s="228">
        <v>-3</v>
      </c>
      <c r="CF154" s="229">
        <v>-1.2999999999999999E-3</v>
      </c>
      <c r="CG154" s="228">
        <v>541</v>
      </c>
      <c r="CH154" s="228">
        <v>531</v>
      </c>
      <c r="CI154" s="228">
        <v>10</v>
      </c>
      <c r="CJ154" s="229">
        <v>1.7999999999999999E-2</v>
      </c>
      <c r="CK154" s="228">
        <v>4</v>
      </c>
      <c r="CL154" s="228">
        <v>3</v>
      </c>
      <c r="CM154" s="228">
        <v>1</v>
      </c>
      <c r="CN154" s="229">
        <v>0.43480000000000002</v>
      </c>
      <c r="CO154" s="230">
        <v>1276</v>
      </c>
      <c r="CP154" s="230">
        <v>1098</v>
      </c>
      <c r="CQ154" s="228">
        <v>178</v>
      </c>
      <c r="CR154" s="229">
        <v>0.16189999999999999</v>
      </c>
      <c r="CS154" s="228">
        <v>519</v>
      </c>
      <c r="CT154" s="228">
        <v>568</v>
      </c>
      <c r="CU154" s="228">
        <v>-49</v>
      </c>
      <c r="CV154" s="229">
        <v>-8.5999999999999993E-2</v>
      </c>
      <c r="CW154" s="230">
        <v>4800</v>
      </c>
      <c r="CX154" s="230">
        <v>4664</v>
      </c>
      <c r="CY154" s="228">
        <v>137</v>
      </c>
      <c r="CZ154" s="229">
        <v>2.93E-2</v>
      </c>
      <c r="DA154" s="228">
        <v>26.5</v>
      </c>
      <c r="DB154" s="228">
        <v>26.15</v>
      </c>
      <c r="DC154" s="228">
        <v>0.35</v>
      </c>
      <c r="DD154" s="228">
        <v>0.35</v>
      </c>
      <c r="DE154" s="228">
        <v>31.93</v>
      </c>
      <c r="DF154" s="228">
        <v>31.86</v>
      </c>
      <c r="DG154" s="228">
        <v>-5.43</v>
      </c>
      <c r="DH154" s="228">
        <v>7.0000000000000007E-2</v>
      </c>
      <c r="DI154" s="228">
        <v>26.5</v>
      </c>
      <c r="DJ154" s="228">
        <v>25.93</v>
      </c>
      <c r="DK154" s="228">
        <v>0.56999999999999995</v>
      </c>
      <c r="DL154" s="228">
        <v>0.56999999999999995</v>
      </c>
      <c r="DM154" s="228">
        <v>26.49</v>
      </c>
      <c r="DN154" s="228">
        <v>26.87</v>
      </c>
      <c r="DO154" s="228">
        <v>-0.38</v>
      </c>
      <c r="DP154" s="228">
        <v>-0.38</v>
      </c>
      <c r="DQ154" s="228">
        <v>0.41</v>
      </c>
      <c r="DR154" s="228">
        <v>0.52</v>
      </c>
      <c r="DS154" s="228">
        <v>-0.11</v>
      </c>
      <c r="DT154" s="229">
        <v>-0.21149999999999999</v>
      </c>
      <c r="DU154" s="228">
        <v>310</v>
      </c>
      <c r="DV154" s="228">
        <v>280</v>
      </c>
      <c r="DW154" s="228">
        <v>0.34</v>
      </c>
      <c r="DX154" s="228">
        <v>0.31</v>
      </c>
      <c r="DY154" s="228">
        <v>0.03</v>
      </c>
      <c r="DZ154" s="229">
        <v>9.6799999999999997E-2</v>
      </c>
      <c r="EA154" s="229">
        <v>0.18129999999999999</v>
      </c>
      <c r="EB154" s="230">
        <v>18130500</v>
      </c>
      <c r="EC154" s="229">
        <v>6.6E-3</v>
      </c>
      <c r="ED154" s="229">
        <v>0.18129999999999999</v>
      </c>
      <c r="EE154" s="228">
        <v>1.66</v>
      </c>
      <c r="EF154" s="229">
        <v>5.5999999999999999E-3</v>
      </c>
      <c r="EG154" s="230">
        <v>9281057</v>
      </c>
      <c r="EH154" s="230">
        <v>8007096</v>
      </c>
      <c r="EI154" s="229">
        <v>0.15909999999999999</v>
      </c>
      <c r="EJ154" s="229">
        <v>0.58889999999999998</v>
      </c>
      <c r="EK154" s="231">
        <v>1643.99</v>
      </c>
      <c r="EL154" s="228">
        <v>528.66</v>
      </c>
      <c r="EM154" s="228">
        <v>295.68</v>
      </c>
      <c r="EN154" s="228">
        <v>184.47</v>
      </c>
      <c r="EO154" s="231">
        <v>2468.3200000000002</v>
      </c>
      <c r="EP154" s="231">
        <v>4081.86</v>
      </c>
      <c r="EQ154" s="231">
        <v>-1613.53</v>
      </c>
      <c r="ER154" s="229">
        <v>-0.39529999999999998</v>
      </c>
      <c r="ES154" s="231">
        <v>1333.31</v>
      </c>
      <c r="ET154" s="228">
        <v>505.53</v>
      </c>
      <c r="EU154" s="231">
        <v>3009.47</v>
      </c>
      <c r="EV154" s="231">
        <v>711370982</v>
      </c>
      <c r="EW154" s="231">
        <v>4848.3100000000004</v>
      </c>
      <c r="EX154" s="231">
        <v>4768.08</v>
      </c>
      <c r="EY154" s="228">
        <v>80.23</v>
      </c>
      <c r="EZ154" s="229">
        <v>1.6799999999999999E-2</v>
      </c>
      <c r="FA154" s="229">
        <v>0.2291</v>
      </c>
      <c r="FB154" s="227" t="s">
        <v>566</v>
      </c>
      <c r="FC154">
        <f t="shared" si="3"/>
        <v>0</v>
      </c>
    </row>
    <row r="155" spans="1:159" ht="17.25" thickBot="1" x14ac:dyDescent="0.3">
      <c r="A155" s="226">
        <v>46146</v>
      </c>
      <c r="B155" s="227" t="s">
        <v>197</v>
      </c>
      <c r="C155" s="227" t="s">
        <v>270</v>
      </c>
      <c r="D155" s="228">
        <v>15</v>
      </c>
      <c r="E155" s="228">
        <v>22</v>
      </c>
      <c r="F155" s="231">
        <v>37105</v>
      </c>
      <c r="G155" s="231">
        <v>36980</v>
      </c>
      <c r="H155" s="228">
        <v>125</v>
      </c>
      <c r="I155" s="229">
        <v>3.3999999999999998E-3</v>
      </c>
      <c r="J155" s="231">
        <v>36955</v>
      </c>
      <c r="K155" s="231">
        <v>36785</v>
      </c>
      <c r="L155" s="228">
        <v>170</v>
      </c>
      <c r="M155" s="229">
        <v>4.5999999999999999E-3</v>
      </c>
      <c r="N155" s="231">
        <v>37105</v>
      </c>
      <c r="O155" s="231">
        <v>36980</v>
      </c>
      <c r="P155" s="228">
        <v>125</v>
      </c>
      <c r="Q155" s="229">
        <v>3.3999999999999998E-3</v>
      </c>
      <c r="R155" s="231">
        <v>36980</v>
      </c>
      <c r="S155" s="231">
        <v>36930</v>
      </c>
      <c r="T155" s="228">
        <v>50</v>
      </c>
      <c r="U155" s="229">
        <v>1.4E-3</v>
      </c>
      <c r="V155" s="231">
        <v>36900</v>
      </c>
      <c r="W155" s="231">
        <v>36900</v>
      </c>
      <c r="X155" s="228">
        <v>0</v>
      </c>
      <c r="Y155" s="229">
        <v>0</v>
      </c>
      <c r="Z155" s="228">
        <v>150</v>
      </c>
      <c r="AA155" s="228">
        <v>195</v>
      </c>
      <c r="AB155" s="228">
        <v>-45</v>
      </c>
      <c r="AC155" s="229">
        <v>4.1000000000000003E-3</v>
      </c>
      <c r="AD155" s="228">
        <v>150</v>
      </c>
      <c r="AE155" s="228">
        <v>195</v>
      </c>
      <c r="AF155" s="228">
        <v>-45</v>
      </c>
      <c r="AG155" s="229">
        <v>4.1000000000000003E-3</v>
      </c>
      <c r="AH155" s="228">
        <v>25</v>
      </c>
      <c r="AI155" s="228">
        <v>145</v>
      </c>
      <c r="AJ155" s="228">
        <v>-120</v>
      </c>
      <c r="AK155" s="229">
        <v>6.9999999999999999E-4</v>
      </c>
      <c r="AL155" s="228">
        <v>-55</v>
      </c>
      <c r="AM155" s="228">
        <v>115</v>
      </c>
      <c r="AN155" s="228">
        <v>-170</v>
      </c>
      <c r="AO155" s="229">
        <v>-1.5E-3</v>
      </c>
      <c r="AP155" s="231">
        <v>37142.559999999998</v>
      </c>
      <c r="AQ155" s="231">
        <v>37064.58</v>
      </c>
      <c r="AR155" s="228">
        <v>0</v>
      </c>
      <c r="AS155" s="228">
        <v>76</v>
      </c>
      <c r="AT155" s="228">
        <v>83</v>
      </c>
      <c r="AU155" s="228">
        <v>-8</v>
      </c>
      <c r="AV155" s="229">
        <v>-9.1999999999999998E-2</v>
      </c>
      <c r="AW155" s="228">
        <v>74</v>
      </c>
      <c r="AX155" s="228">
        <v>81</v>
      </c>
      <c r="AY155" s="228">
        <v>-7</v>
      </c>
      <c r="AZ155" s="229">
        <v>-8.5300000000000001E-2</v>
      </c>
      <c r="BA155" s="228">
        <v>2</v>
      </c>
      <c r="BB155" s="228">
        <v>2</v>
      </c>
      <c r="BC155" s="228">
        <v>-1</v>
      </c>
      <c r="BD155" s="229">
        <v>-0.2195</v>
      </c>
      <c r="BE155" s="228">
        <v>0</v>
      </c>
      <c r="BF155" s="228">
        <v>0</v>
      </c>
      <c r="BG155" s="228">
        <v>0</v>
      </c>
      <c r="BH155" s="229">
        <v>-1</v>
      </c>
      <c r="BI155" s="228">
        <v>49</v>
      </c>
      <c r="BJ155" s="228">
        <v>97</v>
      </c>
      <c r="BK155" s="228">
        <v>-48</v>
      </c>
      <c r="BL155" s="229">
        <v>-0.49109999999999998</v>
      </c>
      <c r="BM155" s="228">
        <v>23</v>
      </c>
      <c r="BN155" s="228">
        <v>29</v>
      </c>
      <c r="BO155" s="228">
        <v>-5</v>
      </c>
      <c r="BP155" s="229">
        <v>-0.18090000000000001</v>
      </c>
      <c r="BQ155" s="228">
        <v>148</v>
      </c>
      <c r="BR155" s="228">
        <v>209</v>
      </c>
      <c r="BS155" s="228">
        <v>-60</v>
      </c>
      <c r="BT155" s="229">
        <v>-0.28910000000000002</v>
      </c>
      <c r="BU155" s="230">
        <v>12893</v>
      </c>
      <c r="BV155" s="230">
        <v>17240</v>
      </c>
      <c r="BW155" s="230">
        <v>-4347</v>
      </c>
      <c r="BX155" s="229">
        <v>-0.25209999999999999</v>
      </c>
      <c r="BY155" s="230">
        <v>1119</v>
      </c>
      <c r="BZ155" s="230">
        <v>1122</v>
      </c>
      <c r="CA155" s="228">
        <v>-4</v>
      </c>
      <c r="CB155" s="229">
        <v>-3.2000000000000002E-3</v>
      </c>
      <c r="CC155" s="230">
        <v>1106</v>
      </c>
      <c r="CD155" s="230">
        <v>1110</v>
      </c>
      <c r="CE155" s="228">
        <v>-4</v>
      </c>
      <c r="CF155" s="229">
        <v>-3.5000000000000001E-3</v>
      </c>
      <c r="CG155" s="228">
        <v>12</v>
      </c>
      <c r="CH155" s="228">
        <v>12</v>
      </c>
      <c r="CI155" s="228">
        <v>0</v>
      </c>
      <c r="CJ155" s="229">
        <v>1.84E-2</v>
      </c>
      <c r="CK155" s="228">
        <v>1</v>
      </c>
      <c r="CL155" s="228">
        <v>1</v>
      </c>
      <c r="CM155" s="228">
        <v>0</v>
      </c>
      <c r="CN155" s="229">
        <v>0</v>
      </c>
      <c r="CO155" s="228">
        <v>77</v>
      </c>
      <c r="CP155" s="228">
        <v>76</v>
      </c>
      <c r="CQ155" s="228">
        <v>1</v>
      </c>
      <c r="CR155" s="229">
        <v>8.8000000000000005E-3</v>
      </c>
      <c r="CS155" s="228">
        <v>50</v>
      </c>
      <c r="CT155" s="228">
        <v>43</v>
      </c>
      <c r="CU155" s="228">
        <v>7</v>
      </c>
      <c r="CV155" s="229">
        <v>0.1678</v>
      </c>
      <c r="CW155" s="230">
        <v>1246</v>
      </c>
      <c r="CX155" s="230">
        <v>1241</v>
      </c>
      <c r="CY155" s="228">
        <v>4</v>
      </c>
      <c r="CZ155" s="229">
        <v>3.3999999999999998E-3</v>
      </c>
      <c r="DA155" s="228">
        <v>33.26</v>
      </c>
      <c r="DB155" s="228">
        <v>32.4</v>
      </c>
      <c r="DC155" s="228">
        <v>0.86</v>
      </c>
      <c r="DD155" s="228">
        <v>0.86</v>
      </c>
      <c r="DE155" s="228">
        <v>28.45</v>
      </c>
      <c r="DF155" s="228">
        <v>28.52</v>
      </c>
      <c r="DG155" s="228">
        <v>4.8099999999999996</v>
      </c>
      <c r="DH155" s="228">
        <v>-7.0000000000000007E-2</v>
      </c>
      <c r="DI155" s="228">
        <v>32.979999999999997</v>
      </c>
      <c r="DJ155" s="228">
        <v>32.36</v>
      </c>
      <c r="DK155" s="228">
        <v>0.62</v>
      </c>
      <c r="DL155" s="228">
        <v>0.62</v>
      </c>
      <c r="DM155" s="228">
        <v>33.83</v>
      </c>
      <c r="DN155" s="228">
        <v>32.54</v>
      </c>
      <c r="DO155" s="228">
        <v>1.29</v>
      </c>
      <c r="DP155" s="228">
        <v>1.29</v>
      </c>
      <c r="DQ155" s="228">
        <v>0.65</v>
      </c>
      <c r="DR155" s="228">
        <v>0.56000000000000005</v>
      </c>
      <c r="DS155" s="228">
        <v>0.09</v>
      </c>
      <c r="DT155" s="229">
        <v>0.16070000000000001</v>
      </c>
      <c r="DU155" s="231">
        <v>40000</v>
      </c>
      <c r="DV155" s="231">
        <v>35000</v>
      </c>
      <c r="DW155" s="228">
        <v>0.48</v>
      </c>
      <c r="DX155" s="228">
        <v>0.3</v>
      </c>
      <c r="DY155" s="228">
        <v>0.18</v>
      </c>
      <c r="DZ155" s="229">
        <v>0.6</v>
      </c>
      <c r="EA155" s="229">
        <v>1.15E-2</v>
      </c>
      <c r="EB155" s="230">
        <v>3415</v>
      </c>
      <c r="EC155" s="229">
        <v>-3.3999999999999998E-3</v>
      </c>
      <c r="ED155" s="229">
        <v>1.15E-2</v>
      </c>
      <c r="EE155" s="228">
        <v>-77.98</v>
      </c>
      <c r="EF155" s="229">
        <v>-2.0999999999999999E-3</v>
      </c>
      <c r="EG155" s="230">
        <v>5834</v>
      </c>
      <c r="EH155" s="230">
        <v>7690</v>
      </c>
      <c r="EI155" s="229">
        <v>-0.2414</v>
      </c>
      <c r="EJ155" s="229">
        <v>0.45250000000000001</v>
      </c>
      <c r="EK155" s="228">
        <v>52.47</v>
      </c>
      <c r="EL155" s="228">
        <v>22.76</v>
      </c>
      <c r="EM155" s="228">
        <v>75.88</v>
      </c>
      <c r="EN155" s="228">
        <v>65.67</v>
      </c>
      <c r="EO155" s="228">
        <v>151.11000000000001</v>
      </c>
      <c r="EP155" s="228">
        <v>213.3</v>
      </c>
      <c r="EQ155" s="228">
        <v>-62.18</v>
      </c>
      <c r="ER155" s="229">
        <v>-0.29149999999999998</v>
      </c>
      <c r="ES155" s="228">
        <v>81.510000000000005</v>
      </c>
      <c r="ET155" s="228">
        <v>48.58</v>
      </c>
      <c r="EU155" s="231">
        <v>1118.71</v>
      </c>
      <c r="EV155" s="231">
        <v>955549</v>
      </c>
      <c r="EW155" s="231">
        <v>1248.79</v>
      </c>
      <c r="EX155" s="231">
        <v>1241.42</v>
      </c>
      <c r="EY155" s="228">
        <v>7.37</v>
      </c>
      <c r="EZ155" s="229">
        <v>5.8999999999999999E-3</v>
      </c>
      <c r="FA155" s="229">
        <v>0.3513</v>
      </c>
      <c r="FB155" s="227" t="s">
        <v>691</v>
      </c>
      <c r="FC155">
        <f t="shared" si="3"/>
        <v>0</v>
      </c>
    </row>
    <row r="156" spans="1:159" ht="17.25" thickBot="1" x14ac:dyDescent="0.3">
      <c r="A156" s="226">
        <v>46146</v>
      </c>
      <c r="B156" s="227" t="s">
        <v>168</v>
      </c>
      <c r="C156" s="227" t="s">
        <v>663</v>
      </c>
      <c r="D156" s="228">
        <v>900</v>
      </c>
      <c r="E156" s="228">
        <v>22</v>
      </c>
      <c r="F156" s="228">
        <v>458.15</v>
      </c>
      <c r="G156" s="228">
        <v>460.3</v>
      </c>
      <c r="H156" s="228">
        <v>-2.15</v>
      </c>
      <c r="I156" s="229">
        <v>-4.7000000000000002E-3</v>
      </c>
      <c r="J156" s="228">
        <v>456.25</v>
      </c>
      <c r="K156" s="228">
        <v>459.45</v>
      </c>
      <c r="L156" s="228">
        <v>-3.2</v>
      </c>
      <c r="M156" s="229">
        <v>-7.0000000000000001E-3</v>
      </c>
      <c r="N156" s="228">
        <v>458.15</v>
      </c>
      <c r="O156" s="228">
        <v>460.3</v>
      </c>
      <c r="P156" s="228">
        <v>-2.15</v>
      </c>
      <c r="Q156" s="229">
        <v>-4.7000000000000002E-3</v>
      </c>
      <c r="R156" s="228">
        <v>461.2</v>
      </c>
      <c r="S156" s="228">
        <v>463</v>
      </c>
      <c r="T156" s="228">
        <v>-1.8</v>
      </c>
      <c r="U156" s="229">
        <v>-3.8999999999999998E-3</v>
      </c>
      <c r="V156" s="228">
        <v>463</v>
      </c>
      <c r="W156" s="228">
        <v>465</v>
      </c>
      <c r="X156" s="228">
        <v>-2</v>
      </c>
      <c r="Y156" s="229">
        <v>-4.3E-3</v>
      </c>
      <c r="Z156" s="228">
        <v>1.9</v>
      </c>
      <c r="AA156" s="228">
        <v>0.85</v>
      </c>
      <c r="AB156" s="228">
        <v>1.05</v>
      </c>
      <c r="AC156" s="229">
        <v>4.1999999999999997E-3</v>
      </c>
      <c r="AD156" s="228">
        <v>1.9</v>
      </c>
      <c r="AE156" s="228">
        <v>0.85</v>
      </c>
      <c r="AF156" s="228">
        <v>1.05</v>
      </c>
      <c r="AG156" s="229">
        <v>4.1999999999999997E-3</v>
      </c>
      <c r="AH156" s="228">
        <v>4.95</v>
      </c>
      <c r="AI156" s="228">
        <v>3.55</v>
      </c>
      <c r="AJ156" s="228">
        <v>1.4</v>
      </c>
      <c r="AK156" s="229">
        <v>1.0800000000000001E-2</v>
      </c>
      <c r="AL156" s="228">
        <v>6.75</v>
      </c>
      <c r="AM156" s="228">
        <v>5.55</v>
      </c>
      <c r="AN156" s="228">
        <v>1.2</v>
      </c>
      <c r="AO156" s="229">
        <v>1.4800000000000001E-2</v>
      </c>
      <c r="AP156" s="228">
        <v>460.33</v>
      </c>
      <c r="AQ156" s="228">
        <v>462.32</v>
      </c>
      <c r="AR156" s="228">
        <v>0</v>
      </c>
      <c r="AS156" s="228">
        <v>143</v>
      </c>
      <c r="AT156" s="228">
        <v>121</v>
      </c>
      <c r="AU156" s="228">
        <v>21</v>
      </c>
      <c r="AV156" s="229">
        <v>0.1774</v>
      </c>
      <c r="AW156" s="228">
        <v>135</v>
      </c>
      <c r="AX156" s="228">
        <v>118</v>
      </c>
      <c r="AY156" s="228">
        <v>17</v>
      </c>
      <c r="AZ156" s="229">
        <v>0.14030000000000001</v>
      </c>
      <c r="BA156" s="228">
        <v>7</v>
      </c>
      <c r="BB156" s="228">
        <v>2</v>
      </c>
      <c r="BC156" s="228">
        <v>5</v>
      </c>
      <c r="BD156" s="229">
        <v>1.9</v>
      </c>
      <c r="BE156" s="228">
        <v>0</v>
      </c>
      <c r="BF156" s="228">
        <v>0</v>
      </c>
      <c r="BG156" s="228">
        <v>0</v>
      </c>
      <c r="BH156" s="229">
        <v>0.8</v>
      </c>
      <c r="BI156" s="228">
        <v>220</v>
      </c>
      <c r="BJ156" s="228">
        <v>99</v>
      </c>
      <c r="BK156" s="228">
        <v>121</v>
      </c>
      <c r="BL156" s="229">
        <v>1.2233000000000001</v>
      </c>
      <c r="BM156" s="228">
        <v>38</v>
      </c>
      <c r="BN156" s="228">
        <v>32</v>
      </c>
      <c r="BO156" s="228">
        <v>6</v>
      </c>
      <c r="BP156" s="229">
        <v>0.1716</v>
      </c>
      <c r="BQ156" s="228">
        <v>401</v>
      </c>
      <c r="BR156" s="228">
        <v>252</v>
      </c>
      <c r="BS156" s="228">
        <v>148</v>
      </c>
      <c r="BT156" s="229">
        <v>0.58750000000000002</v>
      </c>
      <c r="BU156" s="230">
        <v>2206557</v>
      </c>
      <c r="BV156" s="230">
        <v>1895822</v>
      </c>
      <c r="BW156" s="230">
        <v>310735</v>
      </c>
      <c r="BX156" s="229">
        <v>0.16389999999999999</v>
      </c>
      <c r="BY156" s="230">
        <v>1574</v>
      </c>
      <c r="BZ156" s="230">
        <v>1565</v>
      </c>
      <c r="CA156" s="228">
        <v>9</v>
      </c>
      <c r="CB156" s="229">
        <v>6.0000000000000001E-3</v>
      </c>
      <c r="CC156" s="230">
        <v>1562</v>
      </c>
      <c r="CD156" s="230">
        <v>1557</v>
      </c>
      <c r="CE156" s="228">
        <v>4</v>
      </c>
      <c r="CF156" s="229">
        <v>2.8E-3</v>
      </c>
      <c r="CG156" s="228">
        <v>12</v>
      </c>
      <c r="CH156" s="228">
        <v>7</v>
      </c>
      <c r="CI156" s="228">
        <v>5</v>
      </c>
      <c r="CJ156" s="229">
        <v>0.68930000000000002</v>
      </c>
      <c r="CK156" s="228">
        <v>0</v>
      </c>
      <c r="CL156" s="228">
        <v>0</v>
      </c>
      <c r="CM156" s="228">
        <v>0</v>
      </c>
      <c r="CN156" s="229">
        <v>0.4</v>
      </c>
      <c r="CO156" s="228">
        <v>191</v>
      </c>
      <c r="CP156" s="228">
        <v>163</v>
      </c>
      <c r="CQ156" s="228">
        <v>28</v>
      </c>
      <c r="CR156" s="229">
        <v>0.1719</v>
      </c>
      <c r="CS156" s="228">
        <v>136</v>
      </c>
      <c r="CT156" s="228">
        <v>131</v>
      </c>
      <c r="CU156" s="228">
        <v>5</v>
      </c>
      <c r="CV156" s="229">
        <v>3.8699999999999998E-2</v>
      </c>
      <c r="CW156" s="230">
        <v>1902</v>
      </c>
      <c r="CX156" s="230">
        <v>1859</v>
      </c>
      <c r="CY156" s="228">
        <v>43</v>
      </c>
      <c r="CZ156" s="229">
        <v>2.29E-2</v>
      </c>
      <c r="DA156" s="228">
        <v>31.66</v>
      </c>
      <c r="DB156" s="228">
        <v>32.06</v>
      </c>
      <c r="DC156" s="228">
        <v>-0.4</v>
      </c>
      <c r="DD156" s="228">
        <v>-0.4</v>
      </c>
      <c r="DE156" s="228">
        <v>31.79</v>
      </c>
      <c r="DF156" s="228">
        <v>31.86</v>
      </c>
      <c r="DG156" s="228">
        <v>-0.13</v>
      </c>
      <c r="DH156" s="228">
        <v>-7.0000000000000007E-2</v>
      </c>
      <c r="DI156" s="228">
        <v>31.72</v>
      </c>
      <c r="DJ156" s="228">
        <v>32.119999999999997</v>
      </c>
      <c r="DK156" s="228">
        <v>-0.4</v>
      </c>
      <c r="DL156" s="228">
        <v>-0.4</v>
      </c>
      <c r="DM156" s="228">
        <v>31.31</v>
      </c>
      <c r="DN156" s="228">
        <v>31.89</v>
      </c>
      <c r="DO156" s="228">
        <v>-0.57999999999999996</v>
      </c>
      <c r="DP156" s="228">
        <v>-0.57999999999999996</v>
      </c>
      <c r="DQ156" s="228">
        <v>0.71</v>
      </c>
      <c r="DR156" s="228">
        <v>0.8</v>
      </c>
      <c r="DS156" s="228">
        <v>-0.09</v>
      </c>
      <c r="DT156" s="229">
        <v>-0.1125</v>
      </c>
      <c r="DU156" s="228">
        <v>500</v>
      </c>
      <c r="DV156" s="228">
        <v>470</v>
      </c>
      <c r="DW156" s="228">
        <v>0.17</v>
      </c>
      <c r="DX156" s="228">
        <v>0.32</v>
      </c>
      <c r="DY156" s="228">
        <v>-0.15</v>
      </c>
      <c r="DZ156" s="229">
        <v>-0.46879999999999999</v>
      </c>
      <c r="EA156" s="229">
        <v>8.0999999999999996E-3</v>
      </c>
      <c r="EB156" s="230">
        <v>164675</v>
      </c>
      <c r="EC156" s="229">
        <v>6.7000000000000002E-3</v>
      </c>
      <c r="ED156" s="229">
        <v>8.0999999999999996E-3</v>
      </c>
      <c r="EE156" s="228">
        <v>1.99</v>
      </c>
      <c r="EF156" s="229">
        <v>4.3E-3</v>
      </c>
      <c r="EG156" s="230">
        <v>1340634</v>
      </c>
      <c r="EH156" s="230">
        <v>589813</v>
      </c>
      <c r="EI156" s="229">
        <v>1.2729999999999999</v>
      </c>
      <c r="EJ156" s="229">
        <v>0.60760000000000003</v>
      </c>
      <c r="EK156" s="228">
        <v>235.69</v>
      </c>
      <c r="EL156" s="228">
        <v>38.64</v>
      </c>
      <c r="EM156" s="228">
        <v>143.37</v>
      </c>
      <c r="EN156" s="228">
        <v>139.6</v>
      </c>
      <c r="EO156" s="228">
        <v>417.69</v>
      </c>
      <c r="EP156" s="228">
        <v>262.37</v>
      </c>
      <c r="EQ156" s="228">
        <v>155.32</v>
      </c>
      <c r="ER156" s="229">
        <v>0.59199999999999997</v>
      </c>
      <c r="ES156" s="228">
        <v>203.47</v>
      </c>
      <c r="ET156" s="228">
        <v>143.37</v>
      </c>
      <c r="EU156" s="231">
        <v>1574.44</v>
      </c>
      <c r="EV156" s="231">
        <v>51786533</v>
      </c>
      <c r="EW156" s="231">
        <v>1921.27</v>
      </c>
      <c r="EX156" s="231">
        <v>1884.9</v>
      </c>
      <c r="EY156" s="228">
        <v>36.369999999999997</v>
      </c>
      <c r="EZ156" s="229">
        <v>1.9300000000000001E-2</v>
      </c>
      <c r="FA156" s="229">
        <v>0.80159999999999998</v>
      </c>
      <c r="FB156" s="227" t="s">
        <v>566</v>
      </c>
      <c r="FC156">
        <f t="shared" si="3"/>
        <v>0</v>
      </c>
    </row>
    <row r="157" spans="1:159" ht="17.25" thickBot="1" x14ac:dyDescent="0.3">
      <c r="A157" s="226">
        <v>46146</v>
      </c>
      <c r="B157" s="227" t="s">
        <v>614</v>
      </c>
      <c r="C157" s="227" t="s">
        <v>574</v>
      </c>
      <c r="D157" s="228">
        <v>725</v>
      </c>
      <c r="E157" s="228">
        <v>22</v>
      </c>
      <c r="F157" s="231">
        <v>1119.5999999999999</v>
      </c>
      <c r="G157" s="231">
        <v>1101.5</v>
      </c>
      <c r="H157" s="228">
        <v>18.100000000000001</v>
      </c>
      <c r="I157" s="229">
        <v>1.6400000000000001E-2</v>
      </c>
      <c r="J157" s="231">
        <v>1115.8</v>
      </c>
      <c r="K157" s="231">
        <v>1095.8</v>
      </c>
      <c r="L157" s="228">
        <v>20</v>
      </c>
      <c r="M157" s="229">
        <v>1.83E-2</v>
      </c>
      <c r="N157" s="231">
        <v>1119.5999999999999</v>
      </c>
      <c r="O157" s="231">
        <v>1101.5</v>
      </c>
      <c r="P157" s="228">
        <v>18.100000000000001</v>
      </c>
      <c r="Q157" s="229">
        <v>1.6400000000000001E-2</v>
      </c>
      <c r="R157" s="231">
        <v>1126.9000000000001</v>
      </c>
      <c r="S157" s="231">
        <v>1108.55</v>
      </c>
      <c r="T157" s="228">
        <v>18.350000000000001</v>
      </c>
      <c r="U157" s="229">
        <v>1.66E-2</v>
      </c>
      <c r="V157" s="231">
        <v>1119</v>
      </c>
      <c r="W157" s="231">
        <v>1119</v>
      </c>
      <c r="X157" s="228">
        <v>0</v>
      </c>
      <c r="Y157" s="229">
        <v>0</v>
      </c>
      <c r="Z157" s="228">
        <v>3.8</v>
      </c>
      <c r="AA157" s="228">
        <v>5.7</v>
      </c>
      <c r="AB157" s="228">
        <v>-1.9</v>
      </c>
      <c r="AC157" s="229">
        <v>3.3999999999999998E-3</v>
      </c>
      <c r="AD157" s="228">
        <v>3.8</v>
      </c>
      <c r="AE157" s="228">
        <v>5.7</v>
      </c>
      <c r="AF157" s="228">
        <v>-1.9</v>
      </c>
      <c r="AG157" s="229">
        <v>3.3999999999999998E-3</v>
      </c>
      <c r="AH157" s="228">
        <v>11.1</v>
      </c>
      <c r="AI157" s="228">
        <v>12.75</v>
      </c>
      <c r="AJ157" s="228">
        <v>-1.65</v>
      </c>
      <c r="AK157" s="229">
        <v>9.9000000000000008E-3</v>
      </c>
      <c r="AL157" s="228">
        <v>3.2</v>
      </c>
      <c r="AM157" s="228">
        <v>23.2</v>
      </c>
      <c r="AN157" s="228">
        <v>-20</v>
      </c>
      <c r="AO157" s="229">
        <v>2.8999999999999998E-3</v>
      </c>
      <c r="AP157" s="231">
        <v>1116.82</v>
      </c>
      <c r="AQ157" s="231">
        <v>1124.05</v>
      </c>
      <c r="AR157" s="228">
        <v>0</v>
      </c>
      <c r="AS157" s="228">
        <v>173</v>
      </c>
      <c r="AT157" s="228">
        <v>212</v>
      </c>
      <c r="AU157" s="228">
        <v>-39</v>
      </c>
      <c r="AV157" s="229">
        <v>-0.1845</v>
      </c>
      <c r="AW157" s="228">
        <v>169</v>
      </c>
      <c r="AX157" s="228">
        <v>206</v>
      </c>
      <c r="AY157" s="228">
        <v>-37</v>
      </c>
      <c r="AZ157" s="229">
        <v>-0.1784</v>
      </c>
      <c r="BA157" s="228">
        <v>4</v>
      </c>
      <c r="BB157" s="228">
        <v>6</v>
      </c>
      <c r="BC157" s="228">
        <v>-2</v>
      </c>
      <c r="BD157" s="229">
        <v>-0.37969999999999998</v>
      </c>
      <c r="BE157" s="228">
        <v>0</v>
      </c>
      <c r="BF157" s="228">
        <v>0</v>
      </c>
      <c r="BG157" s="228">
        <v>0</v>
      </c>
      <c r="BH157" s="229">
        <v>0</v>
      </c>
      <c r="BI157" s="228">
        <v>441</v>
      </c>
      <c r="BJ157" s="228">
        <v>470</v>
      </c>
      <c r="BK157" s="228">
        <v>-29</v>
      </c>
      <c r="BL157" s="229">
        <v>-6.25E-2</v>
      </c>
      <c r="BM157" s="228">
        <v>379</v>
      </c>
      <c r="BN157" s="228">
        <v>526</v>
      </c>
      <c r="BO157" s="228">
        <v>-147</v>
      </c>
      <c r="BP157" s="229">
        <v>-0.27929999999999999</v>
      </c>
      <c r="BQ157" s="228">
        <v>993</v>
      </c>
      <c r="BR157" s="230">
        <v>1208</v>
      </c>
      <c r="BS157" s="228">
        <v>-215</v>
      </c>
      <c r="BT157" s="229">
        <v>-0.17829999999999999</v>
      </c>
      <c r="BU157" s="230">
        <v>1361937</v>
      </c>
      <c r="BV157" s="230">
        <v>2212816</v>
      </c>
      <c r="BW157" s="230">
        <v>-850879</v>
      </c>
      <c r="BX157" s="229">
        <v>-0.38450000000000001</v>
      </c>
      <c r="BY157" s="230">
        <v>1572</v>
      </c>
      <c r="BZ157" s="230">
        <v>1585</v>
      </c>
      <c r="CA157" s="228">
        <v>-13</v>
      </c>
      <c r="CB157" s="229">
        <v>-8.0999999999999996E-3</v>
      </c>
      <c r="CC157" s="230">
        <v>1540</v>
      </c>
      <c r="CD157" s="230">
        <v>1553</v>
      </c>
      <c r="CE157" s="228">
        <v>-13</v>
      </c>
      <c r="CF157" s="229">
        <v>-8.3999999999999995E-3</v>
      </c>
      <c r="CG157" s="228">
        <v>32</v>
      </c>
      <c r="CH157" s="228">
        <v>32</v>
      </c>
      <c r="CI157" s="228">
        <v>0</v>
      </c>
      <c r="CJ157" s="229">
        <v>2.5999999999999999E-3</v>
      </c>
      <c r="CK157" s="228">
        <v>0</v>
      </c>
      <c r="CL157" s="228">
        <v>0</v>
      </c>
      <c r="CM157" s="228">
        <v>0</v>
      </c>
      <c r="CN157" s="229">
        <v>0</v>
      </c>
      <c r="CO157" s="228">
        <v>583</v>
      </c>
      <c r="CP157" s="228">
        <v>518</v>
      </c>
      <c r="CQ157" s="228">
        <v>65</v>
      </c>
      <c r="CR157" s="229">
        <v>0.1249</v>
      </c>
      <c r="CS157" s="228">
        <v>590</v>
      </c>
      <c r="CT157" s="228">
        <v>572</v>
      </c>
      <c r="CU157" s="228">
        <v>17</v>
      </c>
      <c r="CV157" s="229">
        <v>3.0300000000000001E-2</v>
      </c>
      <c r="CW157" s="230">
        <v>2744</v>
      </c>
      <c r="CX157" s="230">
        <v>2675</v>
      </c>
      <c r="CY157" s="228">
        <v>69</v>
      </c>
      <c r="CZ157" s="229">
        <v>2.5899999999999999E-2</v>
      </c>
      <c r="DA157" s="228">
        <v>43.41</v>
      </c>
      <c r="DB157" s="228">
        <v>41.76</v>
      </c>
      <c r="DC157" s="228">
        <v>1.65</v>
      </c>
      <c r="DD157" s="228">
        <v>1.65</v>
      </c>
      <c r="DE157" s="228">
        <v>51.65</v>
      </c>
      <c r="DF157" s="228">
        <v>51.74</v>
      </c>
      <c r="DG157" s="228">
        <v>-8.24</v>
      </c>
      <c r="DH157" s="228">
        <v>-0.09</v>
      </c>
      <c r="DI157" s="228">
        <v>42.19</v>
      </c>
      <c r="DJ157" s="228">
        <v>41.57</v>
      </c>
      <c r="DK157" s="228">
        <v>0.62</v>
      </c>
      <c r="DL157" s="228">
        <v>0.62</v>
      </c>
      <c r="DM157" s="228">
        <v>44.82</v>
      </c>
      <c r="DN157" s="228">
        <v>41.93</v>
      </c>
      <c r="DO157" s="228">
        <v>2.89</v>
      </c>
      <c r="DP157" s="228">
        <v>2.89</v>
      </c>
      <c r="DQ157" s="228">
        <v>1.01</v>
      </c>
      <c r="DR157" s="228">
        <v>1.1100000000000001</v>
      </c>
      <c r="DS157" s="228">
        <v>-0.1</v>
      </c>
      <c r="DT157" s="229">
        <v>-9.01E-2</v>
      </c>
      <c r="DU157" s="231">
        <v>1200</v>
      </c>
      <c r="DV157" s="231">
        <v>1000</v>
      </c>
      <c r="DW157" s="228">
        <v>0.86</v>
      </c>
      <c r="DX157" s="228">
        <v>1.1200000000000001</v>
      </c>
      <c r="DY157" s="228">
        <v>-0.26</v>
      </c>
      <c r="DZ157" s="229">
        <v>-0.2321</v>
      </c>
      <c r="EA157" s="229">
        <v>2.0199999999999999E-2</v>
      </c>
      <c r="EB157" s="230">
        <v>282750</v>
      </c>
      <c r="EC157" s="229">
        <v>6.4999999999999997E-3</v>
      </c>
      <c r="ED157" s="229">
        <v>2.0199999999999999E-2</v>
      </c>
      <c r="EE157" s="228">
        <v>7.23</v>
      </c>
      <c r="EF157" s="229">
        <v>6.4999999999999997E-3</v>
      </c>
      <c r="EG157" s="230">
        <v>463957</v>
      </c>
      <c r="EH157" s="230">
        <v>895767</v>
      </c>
      <c r="EI157" s="229">
        <v>-0.48209999999999997</v>
      </c>
      <c r="EJ157" s="229">
        <v>0.3407</v>
      </c>
      <c r="EK157" s="228">
        <v>473.21</v>
      </c>
      <c r="EL157" s="228">
        <v>369.93</v>
      </c>
      <c r="EM157" s="228">
        <v>172.57</v>
      </c>
      <c r="EN157" s="228">
        <v>125.17</v>
      </c>
      <c r="EO157" s="231">
        <v>1015.71</v>
      </c>
      <c r="EP157" s="231">
        <v>1228.26</v>
      </c>
      <c r="EQ157" s="228">
        <v>-212.54</v>
      </c>
      <c r="ER157" s="229">
        <v>-0.17299999999999999</v>
      </c>
      <c r="ES157" s="228">
        <v>612.33000000000004</v>
      </c>
      <c r="ET157" s="228">
        <v>552.9</v>
      </c>
      <c r="EU157" s="231">
        <v>1572</v>
      </c>
      <c r="EV157" s="231">
        <v>95930888</v>
      </c>
      <c r="EW157" s="231">
        <v>2737.23</v>
      </c>
      <c r="EX157" s="231">
        <v>2635.92</v>
      </c>
      <c r="EY157" s="228">
        <v>101.31</v>
      </c>
      <c r="EZ157" s="229">
        <v>3.8399999999999997E-2</v>
      </c>
      <c r="FA157" s="229">
        <v>0.2555</v>
      </c>
      <c r="FB157" s="227" t="s">
        <v>691</v>
      </c>
      <c r="FC157">
        <f t="shared" si="3"/>
        <v>0</v>
      </c>
    </row>
    <row r="158" spans="1:159" ht="17.25" thickBot="1" x14ac:dyDescent="0.3">
      <c r="A158" s="226">
        <v>46146</v>
      </c>
      <c r="B158" s="227" t="s">
        <v>221</v>
      </c>
      <c r="C158" s="227" t="s">
        <v>529</v>
      </c>
      <c r="D158" s="228">
        <v>100</v>
      </c>
      <c r="E158" s="228">
        <v>22</v>
      </c>
      <c r="F158" s="231">
        <v>4808.2</v>
      </c>
      <c r="G158" s="231">
        <v>4822.2</v>
      </c>
      <c r="H158" s="228">
        <v>-14</v>
      </c>
      <c r="I158" s="229">
        <v>-2.8999999999999998E-3</v>
      </c>
      <c r="J158" s="231">
        <v>4788.1000000000004</v>
      </c>
      <c r="K158" s="231">
        <v>4800</v>
      </c>
      <c r="L158" s="228">
        <v>-11.9</v>
      </c>
      <c r="M158" s="229">
        <v>-2.5000000000000001E-3</v>
      </c>
      <c r="N158" s="231">
        <v>4808.2</v>
      </c>
      <c r="O158" s="231">
        <v>4822.2</v>
      </c>
      <c r="P158" s="228">
        <v>-14</v>
      </c>
      <c r="Q158" s="229">
        <v>-2.8999999999999998E-3</v>
      </c>
      <c r="R158" s="231">
        <v>4792</v>
      </c>
      <c r="S158" s="231">
        <v>4802.8</v>
      </c>
      <c r="T158" s="228">
        <v>-10.8</v>
      </c>
      <c r="U158" s="229">
        <v>-2.2000000000000001E-3</v>
      </c>
      <c r="V158" s="231">
        <v>4782.8999999999996</v>
      </c>
      <c r="W158" s="231">
        <v>4815</v>
      </c>
      <c r="X158" s="228">
        <v>-32.1</v>
      </c>
      <c r="Y158" s="229">
        <v>-6.7000000000000002E-3</v>
      </c>
      <c r="Z158" s="228">
        <v>20.100000000000001</v>
      </c>
      <c r="AA158" s="228">
        <v>22.2</v>
      </c>
      <c r="AB158" s="228">
        <v>-2.1</v>
      </c>
      <c r="AC158" s="229">
        <v>4.1999999999999997E-3</v>
      </c>
      <c r="AD158" s="228">
        <v>20.100000000000001</v>
      </c>
      <c r="AE158" s="228">
        <v>22.2</v>
      </c>
      <c r="AF158" s="228">
        <v>-2.1</v>
      </c>
      <c r="AG158" s="229">
        <v>4.1999999999999997E-3</v>
      </c>
      <c r="AH158" s="228">
        <v>3.9</v>
      </c>
      <c r="AI158" s="228">
        <v>2.8</v>
      </c>
      <c r="AJ158" s="228">
        <v>1.1000000000000001</v>
      </c>
      <c r="AK158" s="229">
        <v>8.0000000000000004E-4</v>
      </c>
      <c r="AL158" s="228">
        <v>-5.2</v>
      </c>
      <c r="AM158" s="228">
        <v>15</v>
      </c>
      <c r="AN158" s="228">
        <v>-20.2</v>
      </c>
      <c r="AO158" s="229">
        <v>-1.1000000000000001E-3</v>
      </c>
      <c r="AP158" s="231">
        <v>4813.6099999999997</v>
      </c>
      <c r="AQ158" s="231">
        <v>4789.63</v>
      </c>
      <c r="AR158" s="228">
        <v>0</v>
      </c>
      <c r="AS158" s="228">
        <v>197</v>
      </c>
      <c r="AT158" s="228">
        <v>210</v>
      </c>
      <c r="AU158" s="228">
        <v>-13</v>
      </c>
      <c r="AV158" s="229">
        <v>-6.3799999999999996E-2</v>
      </c>
      <c r="AW158" s="228">
        <v>191</v>
      </c>
      <c r="AX158" s="228">
        <v>204</v>
      </c>
      <c r="AY158" s="228">
        <v>-13</v>
      </c>
      <c r="AZ158" s="229">
        <v>-6.54E-2</v>
      </c>
      <c r="BA158" s="228">
        <v>5</v>
      </c>
      <c r="BB158" s="228">
        <v>6</v>
      </c>
      <c r="BC158" s="228">
        <v>0</v>
      </c>
      <c r="BD158" s="229">
        <v>-6.9599999999999995E-2</v>
      </c>
      <c r="BE158" s="228">
        <v>1</v>
      </c>
      <c r="BF158" s="228">
        <v>0</v>
      </c>
      <c r="BG158" s="228">
        <v>0</v>
      </c>
      <c r="BH158" s="229">
        <v>1</v>
      </c>
      <c r="BI158" s="228">
        <v>539</v>
      </c>
      <c r="BJ158" s="228">
        <v>455</v>
      </c>
      <c r="BK158" s="228">
        <v>84</v>
      </c>
      <c r="BL158" s="229">
        <v>0.1842</v>
      </c>
      <c r="BM158" s="228">
        <v>266</v>
      </c>
      <c r="BN158" s="228">
        <v>226</v>
      </c>
      <c r="BO158" s="228">
        <v>39</v>
      </c>
      <c r="BP158" s="229">
        <v>0.17460000000000001</v>
      </c>
      <c r="BQ158" s="230">
        <v>1001</v>
      </c>
      <c r="BR158" s="228">
        <v>891</v>
      </c>
      <c r="BS158" s="228">
        <v>110</v>
      </c>
      <c r="BT158" s="229">
        <v>0.12330000000000001</v>
      </c>
      <c r="BU158" s="230">
        <v>505834</v>
      </c>
      <c r="BV158" s="230">
        <v>590892</v>
      </c>
      <c r="BW158" s="230">
        <v>-85058</v>
      </c>
      <c r="BX158" s="229">
        <v>-0.1439</v>
      </c>
      <c r="BY158" s="230">
        <v>2002</v>
      </c>
      <c r="BZ158" s="230">
        <v>2035</v>
      </c>
      <c r="CA158" s="228">
        <v>-32</v>
      </c>
      <c r="CB158" s="229">
        <v>-1.5800000000000002E-2</v>
      </c>
      <c r="CC158" s="230">
        <v>1947</v>
      </c>
      <c r="CD158" s="230">
        <v>1981</v>
      </c>
      <c r="CE158" s="228">
        <v>-34</v>
      </c>
      <c r="CF158" s="229">
        <v>-1.7399999999999999E-2</v>
      </c>
      <c r="CG158" s="228">
        <v>53</v>
      </c>
      <c r="CH158" s="228">
        <v>52</v>
      </c>
      <c r="CI158" s="228">
        <v>2</v>
      </c>
      <c r="CJ158" s="229">
        <v>3.0700000000000002E-2</v>
      </c>
      <c r="CK158" s="228">
        <v>2</v>
      </c>
      <c r="CL158" s="228">
        <v>2</v>
      </c>
      <c r="CM158" s="228">
        <v>1</v>
      </c>
      <c r="CN158" s="229">
        <v>0.35709999999999997</v>
      </c>
      <c r="CO158" s="228">
        <v>727</v>
      </c>
      <c r="CP158" s="228">
        <v>677</v>
      </c>
      <c r="CQ158" s="228">
        <v>50</v>
      </c>
      <c r="CR158" s="229">
        <v>7.3400000000000007E-2</v>
      </c>
      <c r="CS158" s="228">
        <v>436</v>
      </c>
      <c r="CT158" s="228">
        <v>417</v>
      </c>
      <c r="CU158" s="228">
        <v>19</v>
      </c>
      <c r="CV158" s="229">
        <v>4.5999999999999999E-2</v>
      </c>
      <c r="CW158" s="230">
        <v>3165</v>
      </c>
      <c r="CX158" s="230">
        <v>3128</v>
      </c>
      <c r="CY158" s="228">
        <v>37</v>
      </c>
      <c r="CZ158" s="229">
        <v>1.17E-2</v>
      </c>
      <c r="DA158" s="228">
        <v>37.700000000000003</v>
      </c>
      <c r="DB158" s="228">
        <v>37.54</v>
      </c>
      <c r="DC158" s="228">
        <v>0.16</v>
      </c>
      <c r="DD158" s="228">
        <v>0.16</v>
      </c>
      <c r="DE158" s="228">
        <v>40.74</v>
      </c>
      <c r="DF158" s="228">
        <v>40.840000000000003</v>
      </c>
      <c r="DG158" s="228">
        <v>-3.04</v>
      </c>
      <c r="DH158" s="228">
        <v>-0.1</v>
      </c>
      <c r="DI158" s="228">
        <v>37.75</v>
      </c>
      <c r="DJ158" s="228">
        <v>37.83</v>
      </c>
      <c r="DK158" s="228">
        <v>-0.08</v>
      </c>
      <c r="DL158" s="228">
        <v>-0.08</v>
      </c>
      <c r="DM158" s="228">
        <v>37.58</v>
      </c>
      <c r="DN158" s="228">
        <v>36.950000000000003</v>
      </c>
      <c r="DO158" s="228">
        <v>0.63</v>
      </c>
      <c r="DP158" s="228">
        <v>0.63</v>
      </c>
      <c r="DQ158" s="228">
        <v>0.6</v>
      </c>
      <c r="DR158" s="228">
        <v>0.62</v>
      </c>
      <c r="DS158" s="228">
        <v>-0.02</v>
      </c>
      <c r="DT158" s="229">
        <v>-3.2300000000000002E-2</v>
      </c>
      <c r="DU158" s="231">
        <v>5500</v>
      </c>
      <c r="DV158" s="231">
        <v>5000</v>
      </c>
      <c r="DW158" s="228">
        <v>0.49</v>
      </c>
      <c r="DX158" s="228">
        <v>0.5</v>
      </c>
      <c r="DY158" s="228">
        <v>-0.01</v>
      </c>
      <c r="DZ158" s="229">
        <v>-0.02</v>
      </c>
      <c r="EA158" s="229">
        <v>2.7799999999999998E-2</v>
      </c>
      <c r="EB158" s="230">
        <v>111100</v>
      </c>
      <c r="EC158" s="229">
        <v>-3.3999999999999998E-3</v>
      </c>
      <c r="ED158" s="229">
        <v>2.7799999999999998E-2</v>
      </c>
      <c r="EE158" s="228">
        <v>-23.98</v>
      </c>
      <c r="EF158" s="229">
        <v>-5.0000000000000001E-3</v>
      </c>
      <c r="EG158" s="230">
        <v>247900</v>
      </c>
      <c r="EH158" s="230">
        <v>326959</v>
      </c>
      <c r="EI158" s="229">
        <v>-0.24179999999999999</v>
      </c>
      <c r="EJ158" s="229">
        <v>0.49009999999999998</v>
      </c>
      <c r="EK158" s="228">
        <v>582.83000000000004</v>
      </c>
      <c r="EL158" s="228">
        <v>262.37</v>
      </c>
      <c r="EM158" s="228">
        <v>197.11</v>
      </c>
      <c r="EN158" s="228">
        <v>135.52000000000001</v>
      </c>
      <c r="EO158" s="231">
        <v>1042.3</v>
      </c>
      <c r="EP158" s="228">
        <v>929.75</v>
      </c>
      <c r="EQ158" s="228">
        <v>112.55</v>
      </c>
      <c r="ER158" s="229">
        <v>0.1211</v>
      </c>
      <c r="ES158" s="228">
        <v>785.53</v>
      </c>
      <c r="ET158" s="228">
        <v>433.18</v>
      </c>
      <c r="EU158" s="231">
        <v>2002.21</v>
      </c>
      <c r="EV158" s="231">
        <v>16286398</v>
      </c>
      <c r="EW158" s="231">
        <v>3220.92</v>
      </c>
      <c r="EX158" s="231">
        <v>3187.77</v>
      </c>
      <c r="EY158" s="228">
        <v>33.15</v>
      </c>
      <c r="EZ158" s="229">
        <v>1.04E-2</v>
      </c>
      <c r="FA158" s="229">
        <v>0.4042</v>
      </c>
      <c r="FB158" s="227" t="s">
        <v>567</v>
      </c>
      <c r="FC158">
        <f t="shared" si="3"/>
        <v>0</v>
      </c>
    </row>
    <row r="159" spans="1:159" ht="17.25" thickBot="1" x14ac:dyDescent="0.3">
      <c r="A159" s="226">
        <v>46146</v>
      </c>
      <c r="B159" s="227" t="s">
        <v>193</v>
      </c>
      <c r="C159" s="227" t="s">
        <v>272</v>
      </c>
      <c r="D159" s="228">
        <v>1900</v>
      </c>
      <c r="E159" s="228">
        <v>22</v>
      </c>
      <c r="F159" s="228">
        <v>278.25</v>
      </c>
      <c r="G159" s="228">
        <v>278.52999999999997</v>
      </c>
      <c r="H159" s="228">
        <v>-0.28000000000000003</v>
      </c>
      <c r="I159" s="229">
        <v>-1E-3</v>
      </c>
      <c r="J159" s="228">
        <v>276.7</v>
      </c>
      <c r="K159" s="228">
        <v>276.76</v>
      </c>
      <c r="L159" s="228">
        <v>-0.06</v>
      </c>
      <c r="M159" s="229">
        <v>-2.0000000000000001E-4</v>
      </c>
      <c r="N159" s="228">
        <v>278.25</v>
      </c>
      <c r="O159" s="228">
        <v>278.52999999999997</v>
      </c>
      <c r="P159" s="228">
        <v>-0.28000000000000003</v>
      </c>
      <c r="Q159" s="229">
        <v>-1E-3</v>
      </c>
      <c r="R159" s="228">
        <v>277.89999999999998</v>
      </c>
      <c r="S159" s="228">
        <v>277.55</v>
      </c>
      <c r="T159" s="228">
        <v>0.35</v>
      </c>
      <c r="U159" s="229">
        <v>1.2999999999999999E-3</v>
      </c>
      <c r="V159" s="228">
        <v>276.60000000000002</v>
      </c>
      <c r="W159" s="228">
        <v>278.58</v>
      </c>
      <c r="X159" s="228">
        <v>-1.98</v>
      </c>
      <c r="Y159" s="229">
        <v>-7.1000000000000004E-3</v>
      </c>
      <c r="Z159" s="228">
        <v>1.55</v>
      </c>
      <c r="AA159" s="228">
        <v>1.77</v>
      </c>
      <c r="AB159" s="228">
        <v>-0.22</v>
      </c>
      <c r="AC159" s="229">
        <v>5.5999999999999999E-3</v>
      </c>
      <c r="AD159" s="228">
        <v>1.55</v>
      </c>
      <c r="AE159" s="228">
        <v>1.77</v>
      </c>
      <c r="AF159" s="228">
        <v>-0.22</v>
      </c>
      <c r="AG159" s="229">
        <v>5.5999999999999999E-3</v>
      </c>
      <c r="AH159" s="228">
        <v>1.2</v>
      </c>
      <c r="AI159" s="228">
        <v>0.79</v>
      </c>
      <c r="AJ159" s="228">
        <v>0.41</v>
      </c>
      <c r="AK159" s="229">
        <v>4.3E-3</v>
      </c>
      <c r="AL159" s="228">
        <v>-0.1</v>
      </c>
      <c r="AM159" s="228">
        <v>1.82</v>
      </c>
      <c r="AN159" s="228">
        <v>-1.92</v>
      </c>
      <c r="AO159" s="229">
        <v>-4.0000000000000002E-4</v>
      </c>
      <c r="AP159" s="228">
        <v>279.95</v>
      </c>
      <c r="AQ159" s="228">
        <v>278.83</v>
      </c>
      <c r="AR159" s="228">
        <v>0</v>
      </c>
      <c r="AS159" s="228">
        <v>93</v>
      </c>
      <c r="AT159" s="228">
        <v>91</v>
      </c>
      <c r="AU159" s="228">
        <v>2</v>
      </c>
      <c r="AV159" s="229">
        <v>2.4899999999999999E-2</v>
      </c>
      <c r="AW159" s="228">
        <v>90</v>
      </c>
      <c r="AX159" s="228">
        <v>89</v>
      </c>
      <c r="AY159" s="228">
        <v>1</v>
      </c>
      <c r="AZ159" s="229">
        <v>6.4999999999999997E-3</v>
      </c>
      <c r="BA159" s="228">
        <v>3</v>
      </c>
      <c r="BB159" s="228">
        <v>1</v>
      </c>
      <c r="BC159" s="228">
        <v>2</v>
      </c>
      <c r="BD159" s="229">
        <v>1.2608999999999999</v>
      </c>
      <c r="BE159" s="228">
        <v>1</v>
      </c>
      <c r="BF159" s="228">
        <v>1</v>
      </c>
      <c r="BG159" s="228">
        <v>0</v>
      </c>
      <c r="BH159" s="229">
        <v>0.3</v>
      </c>
      <c r="BI159" s="228">
        <v>261</v>
      </c>
      <c r="BJ159" s="228">
        <v>119</v>
      </c>
      <c r="BK159" s="228">
        <v>142</v>
      </c>
      <c r="BL159" s="229">
        <v>1.196</v>
      </c>
      <c r="BM159" s="228">
        <v>220</v>
      </c>
      <c r="BN159" s="228">
        <v>78</v>
      </c>
      <c r="BO159" s="228">
        <v>142</v>
      </c>
      <c r="BP159" s="229">
        <v>1.8115000000000001</v>
      </c>
      <c r="BQ159" s="228">
        <v>574</v>
      </c>
      <c r="BR159" s="228">
        <v>288</v>
      </c>
      <c r="BS159" s="228">
        <v>286</v>
      </c>
      <c r="BT159" s="229">
        <v>0.99270000000000003</v>
      </c>
      <c r="BU159" s="230">
        <v>1809433</v>
      </c>
      <c r="BV159" s="230">
        <v>3285411</v>
      </c>
      <c r="BW159" s="230">
        <v>-1475978</v>
      </c>
      <c r="BX159" s="229">
        <v>-0.44929999999999998</v>
      </c>
      <c r="BY159" s="228">
        <v>926</v>
      </c>
      <c r="BZ159" s="228">
        <v>911</v>
      </c>
      <c r="CA159" s="228">
        <v>15</v>
      </c>
      <c r="CB159" s="229">
        <v>1.6799999999999999E-2</v>
      </c>
      <c r="CC159" s="228">
        <v>916</v>
      </c>
      <c r="CD159" s="228">
        <v>902</v>
      </c>
      <c r="CE159" s="228">
        <v>14</v>
      </c>
      <c r="CF159" s="229">
        <v>1.5900000000000001E-2</v>
      </c>
      <c r="CG159" s="228">
        <v>9</v>
      </c>
      <c r="CH159" s="228">
        <v>9</v>
      </c>
      <c r="CI159" s="228">
        <v>0</v>
      </c>
      <c r="CJ159" s="229">
        <v>3.6600000000000001E-2</v>
      </c>
      <c r="CK159" s="228">
        <v>1</v>
      </c>
      <c r="CL159" s="228">
        <v>1</v>
      </c>
      <c r="CM159" s="228">
        <v>1</v>
      </c>
      <c r="CN159" s="229">
        <v>0.78569999999999995</v>
      </c>
      <c r="CO159" s="228">
        <v>220</v>
      </c>
      <c r="CP159" s="228">
        <v>169</v>
      </c>
      <c r="CQ159" s="228">
        <v>51</v>
      </c>
      <c r="CR159" s="229">
        <v>0.30030000000000001</v>
      </c>
      <c r="CS159" s="228">
        <v>258</v>
      </c>
      <c r="CT159" s="228">
        <v>196</v>
      </c>
      <c r="CU159" s="228">
        <v>62</v>
      </c>
      <c r="CV159" s="229">
        <v>0.31390000000000001</v>
      </c>
      <c r="CW159" s="230">
        <v>1404</v>
      </c>
      <c r="CX159" s="230">
        <v>1276</v>
      </c>
      <c r="CY159" s="228">
        <v>128</v>
      </c>
      <c r="CZ159" s="229">
        <v>0.1</v>
      </c>
      <c r="DA159" s="228">
        <v>37.86</v>
      </c>
      <c r="DB159" s="228">
        <v>38.130000000000003</v>
      </c>
      <c r="DC159" s="228">
        <v>-0.27</v>
      </c>
      <c r="DD159" s="228">
        <v>-0.27</v>
      </c>
      <c r="DE159" s="228">
        <v>38.450000000000003</v>
      </c>
      <c r="DF159" s="228">
        <v>38.549999999999997</v>
      </c>
      <c r="DG159" s="228">
        <v>-0.59</v>
      </c>
      <c r="DH159" s="228">
        <v>-0.1</v>
      </c>
      <c r="DI159" s="228">
        <v>37.340000000000003</v>
      </c>
      <c r="DJ159" s="228">
        <v>38.1</v>
      </c>
      <c r="DK159" s="228">
        <v>-0.76</v>
      </c>
      <c r="DL159" s="228">
        <v>-0.76</v>
      </c>
      <c r="DM159" s="228">
        <v>38.479999999999997</v>
      </c>
      <c r="DN159" s="228">
        <v>38.18</v>
      </c>
      <c r="DO159" s="228">
        <v>0.3</v>
      </c>
      <c r="DP159" s="228">
        <v>0.3</v>
      </c>
      <c r="DQ159" s="228">
        <v>1.17</v>
      </c>
      <c r="DR159" s="228">
        <v>1.1599999999999999</v>
      </c>
      <c r="DS159" s="228">
        <v>0.01</v>
      </c>
      <c r="DT159" s="229">
        <v>8.6E-3</v>
      </c>
      <c r="DU159" s="228">
        <v>300</v>
      </c>
      <c r="DV159" s="228">
        <v>280</v>
      </c>
      <c r="DW159" s="228">
        <v>0.84</v>
      </c>
      <c r="DX159" s="228">
        <v>0.66</v>
      </c>
      <c r="DY159" s="228">
        <v>0.18</v>
      </c>
      <c r="DZ159" s="229">
        <v>0.2727</v>
      </c>
      <c r="EA159" s="229">
        <v>1.11E-2</v>
      </c>
      <c r="EB159" s="230">
        <v>338200</v>
      </c>
      <c r="EC159" s="229">
        <v>-1.2999999999999999E-3</v>
      </c>
      <c r="ED159" s="229">
        <v>1.11E-2</v>
      </c>
      <c r="EE159" s="228">
        <v>-1.1200000000000001</v>
      </c>
      <c r="EF159" s="229">
        <v>-4.0000000000000001E-3</v>
      </c>
      <c r="EG159" s="230">
        <v>1090937</v>
      </c>
      <c r="EH159" s="230">
        <v>2391335</v>
      </c>
      <c r="EI159" s="229">
        <v>-0.54379999999999995</v>
      </c>
      <c r="EJ159" s="229">
        <v>0.60289999999999999</v>
      </c>
      <c r="EK159" s="228">
        <v>284.94</v>
      </c>
      <c r="EL159" s="228">
        <v>215.17</v>
      </c>
      <c r="EM159" s="228">
        <v>93.97</v>
      </c>
      <c r="EN159" s="228">
        <v>60.78</v>
      </c>
      <c r="EO159" s="228">
        <v>594.08000000000004</v>
      </c>
      <c r="EP159" s="228">
        <v>296.31</v>
      </c>
      <c r="EQ159" s="228">
        <v>297.77</v>
      </c>
      <c r="ER159" s="229">
        <v>1.0048999999999999</v>
      </c>
      <c r="ES159" s="228">
        <v>231.88</v>
      </c>
      <c r="ET159" s="228">
        <v>248.84</v>
      </c>
      <c r="EU159" s="228">
        <v>926.33</v>
      </c>
      <c r="EV159" s="231">
        <v>112500013</v>
      </c>
      <c r="EW159" s="231">
        <v>1407.05</v>
      </c>
      <c r="EX159" s="231">
        <v>1282.17</v>
      </c>
      <c r="EY159" s="228">
        <v>124.88</v>
      </c>
      <c r="EZ159" s="229">
        <v>9.74E-2</v>
      </c>
      <c r="FA159" s="229">
        <v>0.44840000000000002</v>
      </c>
      <c r="FB159" s="227" t="s">
        <v>566</v>
      </c>
      <c r="FC159">
        <f t="shared" si="3"/>
        <v>0</v>
      </c>
    </row>
    <row r="160" spans="1:159" ht="17.25" thickBot="1" x14ac:dyDescent="0.3">
      <c r="A160" s="226">
        <v>46146</v>
      </c>
      <c r="B160" s="227" t="s">
        <v>175</v>
      </c>
      <c r="C160" s="227" t="s">
        <v>273</v>
      </c>
      <c r="D160" s="228">
        <v>1300</v>
      </c>
      <c r="E160" s="228">
        <v>22</v>
      </c>
      <c r="F160" s="228">
        <v>449.7</v>
      </c>
      <c r="G160" s="228">
        <v>451.25</v>
      </c>
      <c r="H160" s="228">
        <v>-1.55</v>
      </c>
      <c r="I160" s="229">
        <v>-3.3999999999999998E-3</v>
      </c>
      <c r="J160" s="228">
        <v>448.25</v>
      </c>
      <c r="K160" s="228">
        <v>448.4</v>
      </c>
      <c r="L160" s="228">
        <v>-0.15</v>
      </c>
      <c r="M160" s="229">
        <v>-2.9999999999999997E-4</v>
      </c>
      <c r="N160" s="228">
        <v>449.7</v>
      </c>
      <c r="O160" s="228">
        <v>451.25</v>
      </c>
      <c r="P160" s="228">
        <v>-1.55</v>
      </c>
      <c r="Q160" s="229">
        <v>-3.3999999999999998E-3</v>
      </c>
      <c r="R160" s="228">
        <v>451.15</v>
      </c>
      <c r="S160" s="228">
        <v>452.55</v>
      </c>
      <c r="T160" s="228">
        <v>-1.4</v>
      </c>
      <c r="U160" s="229">
        <v>-3.0999999999999999E-3</v>
      </c>
      <c r="V160" s="228">
        <v>452.95</v>
      </c>
      <c r="W160" s="228">
        <v>454.25</v>
      </c>
      <c r="X160" s="228">
        <v>-1.3</v>
      </c>
      <c r="Y160" s="229">
        <v>-2.8999999999999998E-3</v>
      </c>
      <c r="Z160" s="228">
        <v>1.45</v>
      </c>
      <c r="AA160" s="228">
        <v>2.85</v>
      </c>
      <c r="AB160" s="228">
        <v>-1.4</v>
      </c>
      <c r="AC160" s="229">
        <v>3.2000000000000002E-3</v>
      </c>
      <c r="AD160" s="228">
        <v>1.45</v>
      </c>
      <c r="AE160" s="228">
        <v>2.85</v>
      </c>
      <c r="AF160" s="228">
        <v>-1.4</v>
      </c>
      <c r="AG160" s="229">
        <v>3.2000000000000002E-3</v>
      </c>
      <c r="AH160" s="228">
        <v>2.9</v>
      </c>
      <c r="AI160" s="228">
        <v>4.1500000000000004</v>
      </c>
      <c r="AJ160" s="228">
        <v>-1.25</v>
      </c>
      <c r="AK160" s="229">
        <v>6.4999999999999997E-3</v>
      </c>
      <c r="AL160" s="228">
        <v>4.7</v>
      </c>
      <c r="AM160" s="228">
        <v>5.85</v>
      </c>
      <c r="AN160" s="228">
        <v>-1.1499999999999999</v>
      </c>
      <c r="AO160" s="229">
        <v>1.0500000000000001E-2</v>
      </c>
      <c r="AP160" s="228">
        <v>452.97</v>
      </c>
      <c r="AQ160" s="228">
        <v>454.67</v>
      </c>
      <c r="AR160" s="228">
        <v>0</v>
      </c>
      <c r="AS160" s="228">
        <v>296</v>
      </c>
      <c r="AT160" s="228">
        <v>463</v>
      </c>
      <c r="AU160" s="228">
        <v>-167</v>
      </c>
      <c r="AV160" s="229">
        <v>-0.36049999999999999</v>
      </c>
      <c r="AW160" s="228">
        <v>284</v>
      </c>
      <c r="AX160" s="228">
        <v>443</v>
      </c>
      <c r="AY160" s="228">
        <v>-159</v>
      </c>
      <c r="AZ160" s="229">
        <v>-0.35959999999999998</v>
      </c>
      <c r="BA160" s="228">
        <v>11</v>
      </c>
      <c r="BB160" s="228">
        <v>18</v>
      </c>
      <c r="BC160" s="228">
        <v>-7</v>
      </c>
      <c r="BD160" s="229">
        <v>-0.37990000000000002</v>
      </c>
      <c r="BE160" s="228">
        <v>1</v>
      </c>
      <c r="BF160" s="228">
        <v>2</v>
      </c>
      <c r="BG160" s="228">
        <v>-1</v>
      </c>
      <c r="BH160" s="229">
        <v>-0.3871</v>
      </c>
      <c r="BI160" s="228">
        <v>638</v>
      </c>
      <c r="BJ160" s="230">
        <v>1225</v>
      </c>
      <c r="BK160" s="228">
        <v>-587</v>
      </c>
      <c r="BL160" s="229">
        <v>-0.47899999999999998</v>
      </c>
      <c r="BM160" s="228">
        <v>297</v>
      </c>
      <c r="BN160" s="228">
        <v>756</v>
      </c>
      <c r="BO160" s="228">
        <v>-458</v>
      </c>
      <c r="BP160" s="229">
        <v>-0.60640000000000005</v>
      </c>
      <c r="BQ160" s="230">
        <v>1232</v>
      </c>
      <c r="BR160" s="230">
        <v>2444</v>
      </c>
      <c r="BS160" s="230">
        <v>-1212</v>
      </c>
      <c r="BT160" s="229">
        <v>-0.49590000000000001</v>
      </c>
      <c r="BU160" s="230">
        <v>8249151</v>
      </c>
      <c r="BV160" s="230">
        <v>10143334</v>
      </c>
      <c r="BW160" s="230">
        <v>-1894183</v>
      </c>
      <c r="BX160" s="229">
        <v>-0.1867</v>
      </c>
      <c r="BY160" s="230">
        <v>2558</v>
      </c>
      <c r="BZ160" s="230">
        <v>2577</v>
      </c>
      <c r="CA160" s="228">
        <v>-18</v>
      </c>
      <c r="CB160" s="229">
        <v>-7.1000000000000004E-3</v>
      </c>
      <c r="CC160" s="230">
        <v>2490</v>
      </c>
      <c r="CD160" s="230">
        <v>2511</v>
      </c>
      <c r="CE160" s="228">
        <v>-21</v>
      </c>
      <c r="CF160" s="229">
        <v>-8.5000000000000006E-3</v>
      </c>
      <c r="CG160" s="228">
        <v>65</v>
      </c>
      <c r="CH160" s="228">
        <v>62</v>
      </c>
      <c r="CI160" s="228">
        <v>3</v>
      </c>
      <c r="CJ160" s="229">
        <v>4.7300000000000002E-2</v>
      </c>
      <c r="CK160" s="228">
        <v>4</v>
      </c>
      <c r="CL160" s="228">
        <v>4</v>
      </c>
      <c r="CM160" s="228">
        <v>0</v>
      </c>
      <c r="CN160" s="229">
        <v>1.6400000000000001E-2</v>
      </c>
      <c r="CO160" s="228">
        <v>870</v>
      </c>
      <c r="CP160" s="228">
        <v>802</v>
      </c>
      <c r="CQ160" s="228">
        <v>67</v>
      </c>
      <c r="CR160" s="229">
        <v>8.4000000000000005E-2</v>
      </c>
      <c r="CS160" s="228">
        <v>483</v>
      </c>
      <c r="CT160" s="228">
        <v>452</v>
      </c>
      <c r="CU160" s="228">
        <v>31</v>
      </c>
      <c r="CV160" s="229">
        <v>6.93E-2</v>
      </c>
      <c r="CW160" s="230">
        <v>3912</v>
      </c>
      <c r="CX160" s="230">
        <v>3831</v>
      </c>
      <c r="CY160" s="228">
        <v>80</v>
      </c>
      <c r="CZ160" s="229">
        <v>2.1000000000000001E-2</v>
      </c>
      <c r="DA160" s="228">
        <v>35.9</v>
      </c>
      <c r="DB160" s="228">
        <v>36.33</v>
      </c>
      <c r="DC160" s="228">
        <v>-0.43</v>
      </c>
      <c r="DD160" s="228">
        <v>-0.43</v>
      </c>
      <c r="DE160" s="228">
        <v>41.81</v>
      </c>
      <c r="DF160" s="228">
        <v>41.92</v>
      </c>
      <c r="DG160" s="228">
        <v>-5.91</v>
      </c>
      <c r="DH160" s="228">
        <v>-0.11</v>
      </c>
      <c r="DI160" s="228">
        <v>36.380000000000003</v>
      </c>
      <c r="DJ160" s="228">
        <v>36.92</v>
      </c>
      <c r="DK160" s="228">
        <v>-0.54</v>
      </c>
      <c r="DL160" s="228">
        <v>-0.54</v>
      </c>
      <c r="DM160" s="228">
        <v>34.86</v>
      </c>
      <c r="DN160" s="228">
        <v>35.369999999999997</v>
      </c>
      <c r="DO160" s="228">
        <v>-0.51</v>
      </c>
      <c r="DP160" s="228">
        <v>-0.51</v>
      </c>
      <c r="DQ160" s="228">
        <v>0.56000000000000005</v>
      </c>
      <c r="DR160" s="228">
        <v>0.56000000000000005</v>
      </c>
      <c r="DS160" s="228">
        <v>0</v>
      </c>
      <c r="DT160" s="229">
        <v>0</v>
      </c>
      <c r="DU160" s="228">
        <v>500</v>
      </c>
      <c r="DV160" s="228">
        <v>450</v>
      </c>
      <c r="DW160" s="228">
        <v>0.47</v>
      </c>
      <c r="DX160" s="228">
        <v>0.62</v>
      </c>
      <c r="DY160" s="228">
        <v>-0.15</v>
      </c>
      <c r="DZ160" s="229">
        <v>-0.2419</v>
      </c>
      <c r="EA160" s="229">
        <v>2.6700000000000002E-2</v>
      </c>
      <c r="EB160" s="230">
        <v>1452100</v>
      </c>
      <c r="EC160" s="229">
        <v>3.2000000000000002E-3</v>
      </c>
      <c r="ED160" s="229">
        <v>2.6700000000000002E-2</v>
      </c>
      <c r="EE160" s="228">
        <v>1.7</v>
      </c>
      <c r="EF160" s="229">
        <v>3.8E-3</v>
      </c>
      <c r="EG160" s="230">
        <v>4666663</v>
      </c>
      <c r="EH160" s="230">
        <v>5301821</v>
      </c>
      <c r="EI160" s="229">
        <v>-0.1198</v>
      </c>
      <c r="EJ160" s="229">
        <v>0.56569999999999998</v>
      </c>
      <c r="EK160" s="228">
        <v>687.69</v>
      </c>
      <c r="EL160" s="228">
        <v>300.58999999999997</v>
      </c>
      <c r="EM160" s="228">
        <v>298.14</v>
      </c>
      <c r="EN160" s="228">
        <v>173.23</v>
      </c>
      <c r="EO160" s="231">
        <v>1286.42</v>
      </c>
      <c r="EP160" s="231">
        <v>2570.69</v>
      </c>
      <c r="EQ160" s="231">
        <v>-1284.27</v>
      </c>
      <c r="ER160" s="229">
        <v>-0.49959999999999999</v>
      </c>
      <c r="ES160" s="228">
        <v>932.51</v>
      </c>
      <c r="ET160" s="228">
        <v>478.8</v>
      </c>
      <c r="EU160" s="231">
        <v>2558.4299999999998</v>
      </c>
      <c r="EV160" s="231">
        <v>217835555</v>
      </c>
      <c r="EW160" s="231">
        <v>3969.74</v>
      </c>
      <c r="EX160" s="231">
        <v>3896.67</v>
      </c>
      <c r="EY160" s="228">
        <v>73.069999999999993</v>
      </c>
      <c r="EZ160" s="229">
        <v>1.8800000000000001E-2</v>
      </c>
      <c r="FA160" s="229">
        <v>0.39929999999999999</v>
      </c>
      <c r="FB160" s="227" t="s">
        <v>567</v>
      </c>
      <c r="FC160">
        <f t="shared" si="3"/>
        <v>0</v>
      </c>
    </row>
    <row r="161" spans="1:159" ht="17.25" thickBot="1" x14ac:dyDescent="0.3">
      <c r="A161" s="226">
        <v>46146</v>
      </c>
      <c r="B161" s="227" t="s">
        <v>184</v>
      </c>
      <c r="C161" s="227" t="s">
        <v>676</v>
      </c>
      <c r="D161" s="228">
        <v>950</v>
      </c>
      <c r="E161" s="228">
        <v>22</v>
      </c>
      <c r="F161" s="228">
        <v>537.4</v>
      </c>
      <c r="G161" s="228">
        <v>536.75</v>
      </c>
      <c r="H161" s="228">
        <v>0.65</v>
      </c>
      <c r="I161" s="229">
        <v>1.1999999999999999E-3</v>
      </c>
      <c r="J161" s="228">
        <v>534.5</v>
      </c>
      <c r="K161" s="228">
        <v>534</v>
      </c>
      <c r="L161" s="228">
        <v>0.5</v>
      </c>
      <c r="M161" s="229">
        <v>8.9999999999999998E-4</v>
      </c>
      <c r="N161" s="228">
        <v>537.4</v>
      </c>
      <c r="O161" s="228">
        <v>536.75</v>
      </c>
      <c r="P161" s="228">
        <v>0.65</v>
      </c>
      <c r="Q161" s="229">
        <v>1.1999999999999999E-3</v>
      </c>
      <c r="R161" s="228">
        <v>535.20000000000005</v>
      </c>
      <c r="S161" s="228">
        <v>534.04999999999995</v>
      </c>
      <c r="T161" s="228">
        <v>1.1499999999999999</v>
      </c>
      <c r="U161" s="229">
        <v>2.2000000000000001E-3</v>
      </c>
      <c r="V161" s="228">
        <v>524.20000000000005</v>
      </c>
      <c r="W161" s="228">
        <v>531.65</v>
      </c>
      <c r="X161" s="228">
        <v>-7.45</v>
      </c>
      <c r="Y161" s="229">
        <v>-1.4E-2</v>
      </c>
      <c r="Z161" s="228">
        <v>2.9</v>
      </c>
      <c r="AA161" s="228">
        <v>2.75</v>
      </c>
      <c r="AB161" s="228">
        <v>0.15</v>
      </c>
      <c r="AC161" s="229">
        <v>5.4000000000000003E-3</v>
      </c>
      <c r="AD161" s="228">
        <v>2.9</v>
      </c>
      <c r="AE161" s="228">
        <v>2.75</v>
      </c>
      <c r="AF161" s="228">
        <v>0.15</v>
      </c>
      <c r="AG161" s="229">
        <v>5.4000000000000003E-3</v>
      </c>
      <c r="AH161" s="228">
        <v>0.7</v>
      </c>
      <c r="AI161" s="228">
        <v>0.05</v>
      </c>
      <c r="AJ161" s="228">
        <v>0.65</v>
      </c>
      <c r="AK161" s="229">
        <v>1.2999999999999999E-3</v>
      </c>
      <c r="AL161" s="228">
        <v>-10.3</v>
      </c>
      <c r="AM161" s="228">
        <v>-2.35</v>
      </c>
      <c r="AN161" s="228">
        <v>-7.95</v>
      </c>
      <c r="AO161" s="229">
        <v>-1.9300000000000001E-2</v>
      </c>
      <c r="AP161" s="228">
        <v>535.36</v>
      </c>
      <c r="AQ161" s="228">
        <v>532.13</v>
      </c>
      <c r="AR161" s="228">
        <v>0</v>
      </c>
      <c r="AS161" s="228">
        <v>85</v>
      </c>
      <c r="AT161" s="228">
        <v>215</v>
      </c>
      <c r="AU161" s="228">
        <v>-130</v>
      </c>
      <c r="AV161" s="229">
        <v>-0.60580000000000001</v>
      </c>
      <c r="AW161" s="228">
        <v>77</v>
      </c>
      <c r="AX161" s="228">
        <v>205</v>
      </c>
      <c r="AY161" s="228">
        <v>-128</v>
      </c>
      <c r="AZ161" s="229">
        <v>-0.623</v>
      </c>
      <c r="BA161" s="228">
        <v>5</v>
      </c>
      <c r="BB161" s="228">
        <v>9</v>
      </c>
      <c r="BC161" s="228">
        <v>-5</v>
      </c>
      <c r="BD161" s="229">
        <v>-0.50549999999999995</v>
      </c>
      <c r="BE161" s="228">
        <v>3</v>
      </c>
      <c r="BF161" s="228">
        <v>1</v>
      </c>
      <c r="BG161" s="228">
        <v>2</v>
      </c>
      <c r="BH161" s="229">
        <v>3.3077000000000001</v>
      </c>
      <c r="BI161" s="228">
        <v>167</v>
      </c>
      <c r="BJ161" s="228">
        <v>283</v>
      </c>
      <c r="BK161" s="228">
        <v>-116</v>
      </c>
      <c r="BL161" s="229">
        <v>-0.40939999999999999</v>
      </c>
      <c r="BM161" s="228">
        <v>81</v>
      </c>
      <c r="BN161" s="228">
        <v>246</v>
      </c>
      <c r="BO161" s="228">
        <v>-165</v>
      </c>
      <c r="BP161" s="229">
        <v>-0.66930000000000001</v>
      </c>
      <c r="BQ161" s="228">
        <v>333</v>
      </c>
      <c r="BR161" s="228">
        <v>744</v>
      </c>
      <c r="BS161" s="228">
        <v>-411</v>
      </c>
      <c r="BT161" s="229">
        <v>-0.55200000000000005</v>
      </c>
      <c r="BU161" s="230">
        <v>1298024</v>
      </c>
      <c r="BV161" s="230">
        <v>4840479</v>
      </c>
      <c r="BW161" s="230">
        <v>-3542455</v>
      </c>
      <c r="BX161" s="229">
        <v>-0.73180000000000001</v>
      </c>
      <c r="BY161" s="228">
        <v>601</v>
      </c>
      <c r="BZ161" s="228">
        <v>610</v>
      </c>
      <c r="CA161" s="228">
        <v>-9</v>
      </c>
      <c r="CB161" s="229">
        <v>-1.47E-2</v>
      </c>
      <c r="CC161" s="228">
        <v>552</v>
      </c>
      <c r="CD161" s="228">
        <v>562</v>
      </c>
      <c r="CE161" s="228">
        <v>-10</v>
      </c>
      <c r="CF161" s="229">
        <v>-1.7999999999999999E-2</v>
      </c>
      <c r="CG161" s="228">
        <v>47</v>
      </c>
      <c r="CH161" s="228">
        <v>47</v>
      </c>
      <c r="CI161" s="228">
        <v>0</v>
      </c>
      <c r="CJ161" s="229">
        <v>7.6E-3</v>
      </c>
      <c r="CK161" s="228">
        <v>2</v>
      </c>
      <c r="CL161" s="228">
        <v>1</v>
      </c>
      <c r="CM161" s="228">
        <v>1</v>
      </c>
      <c r="CN161" s="229">
        <v>0.625</v>
      </c>
      <c r="CO161" s="228">
        <v>197</v>
      </c>
      <c r="CP161" s="228">
        <v>179</v>
      </c>
      <c r="CQ161" s="228">
        <v>18</v>
      </c>
      <c r="CR161" s="229">
        <v>9.7900000000000001E-2</v>
      </c>
      <c r="CS161" s="228">
        <v>188</v>
      </c>
      <c r="CT161" s="228">
        <v>175</v>
      </c>
      <c r="CU161" s="228">
        <v>13</v>
      </c>
      <c r="CV161" s="229">
        <v>7.6799999999999993E-2</v>
      </c>
      <c r="CW161" s="228">
        <v>986</v>
      </c>
      <c r="CX161" s="228">
        <v>964</v>
      </c>
      <c r="CY161" s="228">
        <v>22</v>
      </c>
      <c r="CZ161" s="229">
        <v>2.2800000000000001E-2</v>
      </c>
      <c r="DA161" s="228">
        <v>54.22</v>
      </c>
      <c r="DB161" s="228">
        <v>53.16</v>
      </c>
      <c r="DC161" s="228">
        <v>1.06</v>
      </c>
      <c r="DD161" s="228">
        <v>1.06</v>
      </c>
      <c r="DE161" s="228">
        <v>67.03</v>
      </c>
      <c r="DF161" s="228">
        <v>67.2</v>
      </c>
      <c r="DG161" s="228">
        <v>-12.81</v>
      </c>
      <c r="DH161" s="228">
        <v>-0.17</v>
      </c>
      <c r="DI161" s="228">
        <v>53.71</v>
      </c>
      <c r="DJ161" s="228">
        <v>53.12</v>
      </c>
      <c r="DK161" s="228">
        <v>0.59</v>
      </c>
      <c r="DL161" s="228">
        <v>0.59</v>
      </c>
      <c r="DM161" s="228">
        <v>55.27</v>
      </c>
      <c r="DN161" s="228">
        <v>53.21</v>
      </c>
      <c r="DO161" s="228">
        <v>2.06</v>
      </c>
      <c r="DP161" s="228">
        <v>2.06</v>
      </c>
      <c r="DQ161" s="228">
        <v>0.96</v>
      </c>
      <c r="DR161" s="228">
        <v>0.97</v>
      </c>
      <c r="DS161" s="228">
        <v>-0.01</v>
      </c>
      <c r="DT161" s="229">
        <v>-1.03E-2</v>
      </c>
      <c r="DU161" s="228">
        <v>600</v>
      </c>
      <c r="DV161" s="228">
        <v>500</v>
      </c>
      <c r="DW161" s="228">
        <v>0.49</v>
      </c>
      <c r="DX161" s="228">
        <v>0.87</v>
      </c>
      <c r="DY161" s="228">
        <v>-0.38</v>
      </c>
      <c r="DZ161" s="229">
        <v>-0.43680000000000002</v>
      </c>
      <c r="EA161" s="229">
        <v>8.2199999999999995E-2</v>
      </c>
      <c r="EB161" s="230">
        <v>898700</v>
      </c>
      <c r="EC161" s="229">
        <v>-4.1000000000000003E-3</v>
      </c>
      <c r="ED161" s="229">
        <v>8.2199999999999995E-2</v>
      </c>
      <c r="EE161" s="228">
        <v>-3.23</v>
      </c>
      <c r="EF161" s="229">
        <v>-6.0000000000000001E-3</v>
      </c>
      <c r="EG161" s="230">
        <v>321643</v>
      </c>
      <c r="EH161" s="230">
        <v>2066255</v>
      </c>
      <c r="EI161" s="229">
        <v>-0.84430000000000005</v>
      </c>
      <c r="EJ161" s="229">
        <v>0.24779999999999999</v>
      </c>
      <c r="EK161" s="228">
        <v>184.31</v>
      </c>
      <c r="EL161" s="228">
        <v>79.78</v>
      </c>
      <c r="EM161" s="228">
        <v>84.27</v>
      </c>
      <c r="EN161" s="228">
        <v>71.53</v>
      </c>
      <c r="EO161" s="228">
        <v>348.36</v>
      </c>
      <c r="EP161" s="228">
        <v>761.41</v>
      </c>
      <c r="EQ161" s="228">
        <v>-413.05</v>
      </c>
      <c r="ER161" s="229">
        <v>-0.54249999999999998</v>
      </c>
      <c r="ES161" s="228">
        <v>212.63</v>
      </c>
      <c r="ET161" s="228">
        <v>175.88</v>
      </c>
      <c r="EU161" s="228">
        <v>600.91</v>
      </c>
      <c r="EV161" s="231">
        <v>24101986</v>
      </c>
      <c r="EW161" s="228">
        <v>989.42</v>
      </c>
      <c r="EX161" s="228">
        <v>967.43</v>
      </c>
      <c r="EY161" s="228">
        <v>21.99</v>
      </c>
      <c r="EZ161" s="229">
        <v>2.2700000000000001E-2</v>
      </c>
      <c r="FA161" s="229">
        <v>0.76160000000000005</v>
      </c>
      <c r="FB161" s="227" t="s">
        <v>691</v>
      </c>
      <c r="FC161">
        <f t="shared" si="3"/>
        <v>0</v>
      </c>
    </row>
    <row r="162" spans="1:159" ht="17.25" thickBot="1" x14ac:dyDescent="0.3">
      <c r="A162" s="226">
        <v>46146</v>
      </c>
      <c r="B162" s="227" t="s">
        <v>206</v>
      </c>
      <c r="C162" s="227" t="s">
        <v>644</v>
      </c>
      <c r="D162" s="228">
        <v>350</v>
      </c>
      <c r="E162" s="228">
        <v>22</v>
      </c>
      <c r="F162" s="231">
        <v>1797.9</v>
      </c>
      <c r="G162" s="231">
        <v>1771</v>
      </c>
      <c r="H162" s="228">
        <v>26.9</v>
      </c>
      <c r="I162" s="229">
        <v>1.52E-2</v>
      </c>
      <c r="J162" s="231">
        <v>1787.4</v>
      </c>
      <c r="K162" s="231">
        <v>1765</v>
      </c>
      <c r="L162" s="228">
        <v>22.4</v>
      </c>
      <c r="M162" s="229">
        <v>1.2699999999999999E-2</v>
      </c>
      <c r="N162" s="231">
        <v>1797.9</v>
      </c>
      <c r="O162" s="231">
        <v>1771</v>
      </c>
      <c r="P162" s="228">
        <v>26.9</v>
      </c>
      <c r="Q162" s="229">
        <v>1.52E-2</v>
      </c>
      <c r="R162" s="231">
        <v>1800.2</v>
      </c>
      <c r="S162" s="231">
        <v>1777.8</v>
      </c>
      <c r="T162" s="228">
        <v>22.4</v>
      </c>
      <c r="U162" s="229">
        <v>1.26E-2</v>
      </c>
      <c r="V162" s="228">
        <v>0</v>
      </c>
      <c r="W162" s="228">
        <v>0</v>
      </c>
      <c r="X162" s="228">
        <v>0</v>
      </c>
      <c r="Y162" s="229">
        <v>0</v>
      </c>
      <c r="Z162" s="228">
        <v>10.5</v>
      </c>
      <c r="AA162" s="228">
        <v>6</v>
      </c>
      <c r="AB162" s="228">
        <v>4.5</v>
      </c>
      <c r="AC162" s="229">
        <v>5.8999999999999999E-3</v>
      </c>
      <c r="AD162" s="228">
        <v>10.5</v>
      </c>
      <c r="AE162" s="228">
        <v>6</v>
      </c>
      <c r="AF162" s="228">
        <v>4.5</v>
      </c>
      <c r="AG162" s="229">
        <v>5.8999999999999999E-3</v>
      </c>
      <c r="AH162" s="228">
        <v>12.8</v>
      </c>
      <c r="AI162" s="228">
        <v>12.8</v>
      </c>
      <c r="AJ162" s="228">
        <v>0</v>
      </c>
      <c r="AK162" s="229">
        <v>7.1999999999999998E-3</v>
      </c>
      <c r="AL162" s="228">
        <v>0</v>
      </c>
      <c r="AM162" s="228">
        <v>0</v>
      </c>
      <c r="AN162" s="228">
        <v>0</v>
      </c>
      <c r="AO162" s="229">
        <v>0</v>
      </c>
      <c r="AP162" s="231">
        <v>1800.41</v>
      </c>
      <c r="AQ162" s="231">
        <v>1797.86</v>
      </c>
      <c r="AR162" s="228">
        <v>0</v>
      </c>
      <c r="AS162" s="228">
        <v>72</v>
      </c>
      <c r="AT162" s="228">
        <v>133</v>
      </c>
      <c r="AU162" s="228">
        <v>-61</v>
      </c>
      <c r="AV162" s="229">
        <v>-0.46060000000000001</v>
      </c>
      <c r="AW162" s="228">
        <v>71</v>
      </c>
      <c r="AX162" s="228">
        <v>131</v>
      </c>
      <c r="AY162" s="228">
        <v>-60</v>
      </c>
      <c r="AZ162" s="229">
        <v>-0.45669999999999999</v>
      </c>
      <c r="BA162" s="228">
        <v>1</v>
      </c>
      <c r="BB162" s="228">
        <v>2</v>
      </c>
      <c r="BC162" s="228">
        <v>-1</v>
      </c>
      <c r="BD162" s="229">
        <v>-0.73329999999999995</v>
      </c>
      <c r="BE162" s="228">
        <v>0</v>
      </c>
      <c r="BF162" s="228">
        <v>0</v>
      </c>
      <c r="BG162" s="228">
        <v>0</v>
      </c>
      <c r="BH162" s="229">
        <v>0</v>
      </c>
      <c r="BI162" s="228">
        <v>176</v>
      </c>
      <c r="BJ162" s="228">
        <v>254</v>
      </c>
      <c r="BK162" s="228">
        <v>-77</v>
      </c>
      <c r="BL162" s="229">
        <v>-0.30530000000000002</v>
      </c>
      <c r="BM162" s="228">
        <v>76</v>
      </c>
      <c r="BN162" s="228">
        <v>278</v>
      </c>
      <c r="BO162" s="228">
        <v>-202</v>
      </c>
      <c r="BP162" s="229">
        <v>-0.72550000000000003</v>
      </c>
      <c r="BQ162" s="228">
        <v>324</v>
      </c>
      <c r="BR162" s="228">
        <v>665</v>
      </c>
      <c r="BS162" s="228">
        <v>-340</v>
      </c>
      <c r="BT162" s="229">
        <v>-0.51200000000000001</v>
      </c>
      <c r="BU162" s="230">
        <v>415258</v>
      </c>
      <c r="BV162" s="230">
        <v>577448</v>
      </c>
      <c r="BW162" s="230">
        <v>-162190</v>
      </c>
      <c r="BX162" s="229">
        <v>-0.28089999999999998</v>
      </c>
      <c r="BY162" s="228">
        <v>725</v>
      </c>
      <c r="BZ162" s="228">
        <v>714</v>
      </c>
      <c r="CA162" s="228">
        <v>10</v>
      </c>
      <c r="CB162" s="229">
        <v>1.44E-2</v>
      </c>
      <c r="CC162" s="228">
        <v>659</v>
      </c>
      <c r="CD162" s="228">
        <v>649</v>
      </c>
      <c r="CE162" s="228">
        <v>10</v>
      </c>
      <c r="CF162" s="229">
        <v>1.5699999999999999E-2</v>
      </c>
      <c r="CG162" s="228">
        <v>65</v>
      </c>
      <c r="CH162" s="228">
        <v>65</v>
      </c>
      <c r="CI162" s="228">
        <v>0</v>
      </c>
      <c r="CJ162" s="229">
        <v>1.9E-3</v>
      </c>
      <c r="CK162" s="228">
        <v>0</v>
      </c>
      <c r="CL162" s="228">
        <v>0</v>
      </c>
      <c r="CM162" s="228">
        <v>0</v>
      </c>
      <c r="CN162" s="229">
        <v>0</v>
      </c>
      <c r="CO162" s="228">
        <v>164</v>
      </c>
      <c r="CP162" s="228">
        <v>165</v>
      </c>
      <c r="CQ162" s="228">
        <v>-1</v>
      </c>
      <c r="CR162" s="229">
        <v>-4.8999999999999998E-3</v>
      </c>
      <c r="CS162" s="228">
        <v>123</v>
      </c>
      <c r="CT162" s="228">
        <v>121</v>
      </c>
      <c r="CU162" s="228">
        <v>2</v>
      </c>
      <c r="CV162" s="229">
        <v>1.4E-2</v>
      </c>
      <c r="CW162" s="230">
        <v>1012</v>
      </c>
      <c r="CX162" s="230">
        <v>1001</v>
      </c>
      <c r="CY162" s="228">
        <v>11</v>
      </c>
      <c r="CZ162" s="229">
        <v>1.12E-2</v>
      </c>
      <c r="DA162" s="228">
        <v>31.29</v>
      </c>
      <c r="DB162" s="228">
        <v>31.66</v>
      </c>
      <c r="DC162" s="228">
        <v>-0.37</v>
      </c>
      <c r="DD162" s="228">
        <v>-0.37</v>
      </c>
      <c r="DE162" s="228">
        <v>39.54</v>
      </c>
      <c r="DF162" s="228">
        <v>39.6</v>
      </c>
      <c r="DG162" s="228">
        <v>-8.25</v>
      </c>
      <c r="DH162" s="228">
        <v>-0.06</v>
      </c>
      <c r="DI162" s="228">
        <v>30.62</v>
      </c>
      <c r="DJ162" s="228">
        <v>30.81</v>
      </c>
      <c r="DK162" s="228">
        <v>-0.19</v>
      </c>
      <c r="DL162" s="228">
        <v>-0.19</v>
      </c>
      <c r="DM162" s="228">
        <v>32.840000000000003</v>
      </c>
      <c r="DN162" s="228">
        <v>32.43</v>
      </c>
      <c r="DO162" s="228">
        <v>0.41</v>
      </c>
      <c r="DP162" s="228">
        <v>0.41</v>
      </c>
      <c r="DQ162" s="228">
        <v>0.75</v>
      </c>
      <c r="DR162" s="228">
        <v>0.73</v>
      </c>
      <c r="DS162" s="228">
        <v>0.02</v>
      </c>
      <c r="DT162" s="229">
        <v>2.7400000000000001E-2</v>
      </c>
      <c r="DU162" s="231">
        <v>1800</v>
      </c>
      <c r="DV162" s="231">
        <v>1800</v>
      </c>
      <c r="DW162" s="228">
        <v>0.43</v>
      </c>
      <c r="DX162" s="228">
        <v>1.0900000000000001</v>
      </c>
      <c r="DY162" s="228">
        <v>-0.66</v>
      </c>
      <c r="DZ162" s="229">
        <v>-0.60550000000000004</v>
      </c>
      <c r="EA162" s="229">
        <v>9.0200000000000002E-2</v>
      </c>
      <c r="EB162" s="230">
        <v>362950</v>
      </c>
      <c r="EC162" s="229">
        <v>1.2999999999999999E-3</v>
      </c>
      <c r="ED162" s="229">
        <v>9.0200000000000002E-2</v>
      </c>
      <c r="EE162" s="228">
        <v>-2.5499999999999998</v>
      </c>
      <c r="EF162" s="229">
        <v>-1.4E-3</v>
      </c>
      <c r="EG162" s="230">
        <v>236494</v>
      </c>
      <c r="EH162" s="230">
        <v>269132</v>
      </c>
      <c r="EI162" s="229">
        <v>-0.12130000000000001</v>
      </c>
      <c r="EJ162" s="229">
        <v>0.56950000000000001</v>
      </c>
      <c r="EK162" s="228">
        <v>185.86</v>
      </c>
      <c r="EL162" s="228">
        <v>74.83</v>
      </c>
      <c r="EM162" s="228">
        <v>72.02</v>
      </c>
      <c r="EN162" s="228">
        <v>46.77</v>
      </c>
      <c r="EO162" s="228">
        <v>332.72</v>
      </c>
      <c r="EP162" s="228">
        <v>667.6</v>
      </c>
      <c r="EQ162" s="228">
        <v>-334.88</v>
      </c>
      <c r="ER162" s="229">
        <v>-0.50160000000000005</v>
      </c>
      <c r="ES162" s="228">
        <v>169.58</v>
      </c>
      <c r="ET162" s="228">
        <v>118.32</v>
      </c>
      <c r="EU162" s="228">
        <v>724.75</v>
      </c>
      <c r="EV162" s="231">
        <v>21502901</v>
      </c>
      <c r="EW162" s="231">
        <v>1012.65</v>
      </c>
      <c r="EX162" s="228">
        <v>990.66</v>
      </c>
      <c r="EY162" s="228">
        <v>21.99</v>
      </c>
      <c r="EZ162" s="229">
        <v>2.2200000000000001E-2</v>
      </c>
      <c r="FA162" s="229">
        <v>0.26179999999999998</v>
      </c>
      <c r="FB162" s="227" t="s">
        <v>555</v>
      </c>
      <c r="FC162">
        <f t="shared" si="3"/>
        <v>0</v>
      </c>
    </row>
    <row r="163" spans="1:159" ht="17.25" thickBot="1" x14ac:dyDescent="0.3">
      <c r="A163" s="226">
        <v>46146</v>
      </c>
      <c r="B163" s="227" t="s">
        <v>168</v>
      </c>
      <c r="C163" s="227" t="s">
        <v>274</v>
      </c>
      <c r="D163" s="228">
        <v>500</v>
      </c>
      <c r="E163" s="228">
        <v>22</v>
      </c>
      <c r="F163" s="231">
        <v>1372.3</v>
      </c>
      <c r="G163" s="231">
        <v>1385.3</v>
      </c>
      <c r="H163" s="228">
        <v>-13</v>
      </c>
      <c r="I163" s="229">
        <v>-9.4000000000000004E-3</v>
      </c>
      <c r="J163" s="231">
        <v>1364.6</v>
      </c>
      <c r="K163" s="231">
        <v>1375.7</v>
      </c>
      <c r="L163" s="228">
        <v>-11.1</v>
      </c>
      <c r="M163" s="229">
        <v>-8.0999999999999996E-3</v>
      </c>
      <c r="N163" s="231">
        <v>1372.3</v>
      </c>
      <c r="O163" s="231">
        <v>1385.3</v>
      </c>
      <c r="P163" s="228">
        <v>-13</v>
      </c>
      <c r="Q163" s="229">
        <v>-9.4000000000000004E-3</v>
      </c>
      <c r="R163" s="231">
        <v>1379.6</v>
      </c>
      <c r="S163" s="231">
        <v>1392.3</v>
      </c>
      <c r="T163" s="228">
        <v>-12.7</v>
      </c>
      <c r="U163" s="229">
        <v>-9.1000000000000004E-3</v>
      </c>
      <c r="V163" s="231">
        <v>1380.2</v>
      </c>
      <c r="W163" s="231">
        <v>1393.2</v>
      </c>
      <c r="X163" s="228">
        <v>-13</v>
      </c>
      <c r="Y163" s="229">
        <v>-9.2999999999999992E-3</v>
      </c>
      <c r="Z163" s="228">
        <v>7.7</v>
      </c>
      <c r="AA163" s="228">
        <v>9.6</v>
      </c>
      <c r="AB163" s="228">
        <v>-1.9</v>
      </c>
      <c r="AC163" s="229">
        <v>5.5999999999999999E-3</v>
      </c>
      <c r="AD163" s="228">
        <v>7.7</v>
      </c>
      <c r="AE163" s="228">
        <v>9.6</v>
      </c>
      <c r="AF163" s="228">
        <v>-1.9</v>
      </c>
      <c r="AG163" s="229">
        <v>5.5999999999999999E-3</v>
      </c>
      <c r="AH163" s="228">
        <v>15</v>
      </c>
      <c r="AI163" s="228">
        <v>16.600000000000001</v>
      </c>
      <c r="AJ163" s="228">
        <v>-1.6</v>
      </c>
      <c r="AK163" s="229">
        <v>1.0999999999999999E-2</v>
      </c>
      <c r="AL163" s="228">
        <v>15.6</v>
      </c>
      <c r="AM163" s="228">
        <v>17.5</v>
      </c>
      <c r="AN163" s="228">
        <v>-1.9</v>
      </c>
      <c r="AO163" s="229">
        <v>1.14E-2</v>
      </c>
      <c r="AP163" s="231">
        <v>1382.71</v>
      </c>
      <c r="AQ163" s="231">
        <v>1387.52</v>
      </c>
      <c r="AR163" s="228">
        <v>0</v>
      </c>
      <c r="AS163" s="228">
        <v>144</v>
      </c>
      <c r="AT163" s="228">
        <v>176</v>
      </c>
      <c r="AU163" s="228">
        <v>-32</v>
      </c>
      <c r="AV163" s="229">
        <v>-0.1797</v>
      </c>
      <c r="AW163" s="228">
        <v>141</v>
      </c>
      <c r="AX163" s="228">
        <v>171</v>
      </c>
      <c r="AY163" s="228">
        <v>-30</v>
      </c>
      <c r="AZ163" s="229">
        <v>-0.1739</v>
      </c>
      <c r="BA163" s="228">
        <v>2</v>
      </c>
      <c r="BB163" s="228">
        <v>4</v>
      </c>
      <c r="BC163" s="228">
        <v>-1</v>
      </c>
      <c r="BD163" s="229">
        <v>-0.37740000000000001</v>
      </c>
      <c r="BE163" s="228">
        <v>1</v>
      </c>
      <c r="BF163" s="228">
        <v>1</v>
      </c>
      <c r="BG163" s="228">
        <v>0</v>
      </c>
      <c r="BH163" s="229">
        <v>-0.4118</v>
      </c>
      <c r="BI163" s="228">
        <v>148</v>
      </c>
      <c r="BJ163" s="228">
        <v>98</v>
      </c>
      <c r="BK163" s="228">
        <v>50</v>
      </c>
      <c r="BL163" s="229">
        <v>0.51400000000000001</v>
      </c>
      <c r="BM163" s="228">
        <v>75</v>
      </c>
      <c r="BN163" s="228">
        <v>66</v>
      </c>
      <c r="BO163" s="228">
        <v>9</v>
      </c>
      <c r="BP163" s="229">
        <v>0.1409</v>
      </c>
      <c r="BQ163" s="228">
        <v>367</v>
      </c>
      <c r="BR163" s="228">
        <v>339</v>
      </c>
      <c r="BS163" s="228">
        <v>28</v>
      </c>
      <c r="BT163" s="229">
        <v>8.2400000000000001E-2</v>
      </c>
      <c r="BU163" s="230">
        <v>664300</v>
      </c>
      <c r="BV163" s="230">
        <v>1361012</v>
      </c>
      <c r="BW163" s="230">
        <v>-696712</v>
      </c>
      <c r="BX163" s="229">
        <v>-0.51190000000000002</v>
      </c>
      <c r="BY163" s="228">
        <v>988</v>
      </c>
      <c r="BZ163" s="228">
        <v>976</v>
      </c>
      <c r="CA163" s="228">
        <v>12</v>
      </c>
      <c r="CB163" s="229">
        <v>1.1900000000000001E-2</v>
      </c>
      <c r="CC163" s="228">
        <v>978</v>
      </c>
      <c r="CD163" s="228">
        <v>967</v>
      </c>
      <c r="CE163" s="228">
        <v>10</v>
      </c>
      <c r="CF163" s="229">
        <v>1.09E-2</v>
      </c>
      <c r="CG163" s="228">
        <v>8</v>
      </c>
      <c r="CH163" s="228">
        <v>7</v>
      </c>
      <c r="CI163" s="228">
        <v>1</v>
      </c>
      <c r="CJ163" s="229">
        <v>9.5200000000000007E-2</v>
      </c>
      <c r="CK163" s="228">
        <v>2</v>
      </c>
      <c r="CL163" s="228">
        <v>2</v>
      </c>
      <c r="CM163" s="228">
        <v>0</v>
      </c>
      <c r="CN163" s="229">
        <v>0.23080000000000001</v>
      </c>
      <c r="CO163" s="228">
        <v>138</v>
      </c>
      <c r="CP163" s="228">
        <v>101</v>
      </c>
      <c r="CQ163" s="228">
        <v>37</v>
      </c>
      <c r="CR163" s="229">
        <v>0.36330000000000001</v>
      </c>
      <c r="CS163" s="228">
        <v>90</v>
      </c>
      <c r="CT163" s="228">
        <v>70</v>
      </c>
      <c r="CU163" s="228">
        <v>20</v>
      </c>
      <c r="CV163" s="229">
        <v>0.2838</v>
      </c>
      <c r="CW163" s="230">
        <v>1215</v>
      </c>
      <c r="CX163" s="230">
        <v>1147</v>
      </c>
      <c r="CY163" s="228">
        <v>68</v>
      </c>
      <c r="CZ163" s="229">
        <v>5.9400000000000001E-2</v>
      </c>
      <c r="DA163" s="228">
        <v>29.17</v>
      </c>
      <c r="DB163" s="228">
        <v>28.28</v>
      </c>
      <c r="DC163" s="228">
        <v>0.89</v>
      </c>
      <c r="DD163" s="228">
        <v>0.89</v>
      </c>
      <c r="DE163" s="228">
        <v>25.81</v>
      </c>
      <c r="DF163" s="228">
        <v>25.84</v>
      </c>
      <c r="DG163" s="228">
        <v>3.36</v>
      </c>
      <c r="DH163" s="228">
        <v>-0.03</v>
      </c>
      <c r="DI163" s="228">
        <v>29.2</v>
      </c>
      <c r="DJ163" s="228">
        <v>28.37</v>
      </c>
      <c r="DK163" s="228">
        <v>0.83</v>
      </c>
      <c r="DL163" s="228">
        <v>0.83</v>
      </c>
      <c r="DM163" s="228">
        <v>29.12</v>
      </c>
      <c r="DN163" s="228">
        <v>28.16</v>
      </c>
      <c r="DO163" s="228">
        <v>0.96</v>
      </c>
      <c r="DP163" s="228">
        <v>0.96</v>
      </c>
      <c r="DQ163" s="228">
        <v>0.65</v>
      </c>
      <c r="DR163" s="228">
        <v>0.7</v>
      </c>
      <c r="DS163" s="228">
        <v>-0.05</v>
      </c>
      <c r="DT163" s="229">
        <v>-7.1400000000000005E-2</v>
      </c>
      <c r="DU163" s="231">
        <v>1500</v>
      </c>
      <c r="DV163" s="231">
        <v>1400</v>
      </c>
      <c r="DW163" s="228">
        <v>0.51</v>
      </c>
      <c r="DX163" s="228">
        <v>0.67</v>
      </c>
      <c r="DY163" s="228">
        <v>-0.16</v>
      </c>
      <c r="DZ163" s="229">
        <v>-0.23880000000000001</v>
      </c>
      <c r="EA163" s="229">
        <v>1.0200000000000001E-2</v>
      </c>
      <c r="EB163" s="230">
        <v>65500</v>
      </c>
      <c r="EC163" s="229">
        <v>5.3E-3</v>
      </c>
      <c r="ED163" s="229">
        <v>1.0200000000000001E-2</v>
      </c>
      <c r="EE163" s="228">
        <v>4.8099999999999996</v>
      </c>
      <c r="EF163" s="229">
        <v>3.5000000000000001E-3</v>
      </c>
      <c r="EG163" s="230">
        <v>405181</v>
      </c>
      <c r="EH163" s="230">
        <v>895974</v>
      </c>
      <c r="EI163" s="229">
        <v>-0.54779999999999995</v>
      </c>
      <c r="EJ163" s="229">
        <v>0.6099</v>
      </c>
      <c r="EK163" s="228">
        <v>157.44999999999999</v>
      </c>
      <c r="EL163" s="228">
        <v>74.61</v>
      </c>
      <c r="EM163" s="228">
        <v>145.19999999999999</v>
      </c>
      <c r="EN163" s="228">
        <v>38.01</v>
      </c>
      <c r="EO163" s="228">
        <v>377.25</v>
      </c>
      <c r="EP163" s="228">
        <v>345.97</v>
      </c>
      <c r="EQ163" s="228">
        <v>31.28</v>
      </c>
      <c r="ER163" s="229">
        <v>9.0399999999999994E-2</v>
      </c>
      <c r="ES163" s="228">
        <v>145.63</v>
      </c>
      <c r="ET163" s="228">
        <v>88.74</v>
      </c>
      <c r="EU163" s="228">
        <v>987.84</v>
      </c>
      <c r="EV163" s="231">
        <v>31214205</v>
      </c>
      <c r="EW163" s="231">
        <v>1222.21</v>
      </c>
      <c r="EX163" s="231">
        <v>1162.1500000000001</v>
      </c>
      <c r="EY163" s="228">
        <v>60.06</v>
      </c>
      <c r="EZ163" s="229">
        <v>5.1700000000000003E-2</v>
      </c>
      <c r="FA163" s="229">
        <v>0.28370000000000001</v>
      </c>
      <c r="FB163" s="227" t="s">
        <v>566</v>
      </c>
      <c r="FC163">
        <f t="shared" si="3"/>
        <v>0</v>
      </c>
    </row>
    <row r="164" spans="1:159" ht="17.25" thickBot="1" x14ac:dyDescent="0.3">
      <c r="A164" s="226">
        <v>46146</v>
      </c>
      <c r="B164" s="227" t="s">
        <v>498</v>
      </c>
      <c r="C164" s="227" t="s">
        <v>483</v>
      </c>
      <c r="D164" s="228">
        <v>175</v>
      </c>
      <c r="E164" s="228">
        <v>22</v>
      </c>
      <c r="F164" s="231">
        <v>3064.9</v>
      </c>
      <c r="G164" s="231">
        <v>3074.1</v>
      </c>
      <c r="H164" s="228">
        <v>-9.1999999999999993</v>
      </c>
      <c r="I164" s="229">
        <v>-3.0000000000000001E-3</v>
      </c>
      <c r="J164" s="231">
        <v>3047.5</v>
      </c>
      <c r="K164" s="231">
        <v>3054.8</v>
      </c>
      <c r="L164" s="228">
        <v>-7.3</v>
      </c>
      <c r="M164" s="229">
        <v>-2.3999999999999998E-3</v>
      </c>
      <c r="N164" s="231">
        <v>3064.9</v>
      </c>
      <c r="O164" s="231">
        <v>3074.1</v>
      </c>
      <c r="P164" s="228">
        <v>-9.1999999999999993</v>
      </c>
      <c r="Q164" s="229">
        <v>-3.0000000000000001E-3</v>
      </c>
      <c r="R164" s="231">
        <v>3051.2</v>
      </c>
      <c r="S164" s="231">
        <v>3052.2</v>
      </c>
      <c r="T164" s="228">
        <v>-1</v>
      </c>
      <c r="U164" s="229">
        <v>-2.9999999999999997E-4</v>
      </c>
      <c r="V164" s="231">
        <v>3040.3</v>
      </c>
      <c r="W164" s="231">
        <v>3039.9</v>
      </c>
      <c r="X164" s="228">
        <v>0.4</v>
      </c>
      <c r="Y164" s="229">
        <v>1E-4</v>
      </c>
      <c r="Z164" s="228">
        <v>17.399999999999999</v>
      </c>
      <c r="AA164" s="228">
        <v>19.3</v>
      </c>
      <c r="AB164" s="228">
        <v>-1.9</v>
      </c>
      <c r="AC164" s="229">
        <v>5.7000000000000002E-3</v>
      </c>
      <c r="AD164" s="228">
        <v>17.399999999999999</v>
      </c>
      <c r="AE164" s="228">
        <v>19.3</v>
      </c>
      <c r="AF164" s="228">
        <v>-1.9</v>
      </c>
      <c r="AG164" s="229">
        <v>5.7000000000000002E-3</v>
      </c>
      <c r="AH164" s="228">
        <v>3.7</v>
      </c>
      <c r="AI164" s="228">
        <v>-2.6</v>
      </c>
      <c r="AJ164" s="228">
        <v>6.3</v>
      </c>
      <c r="AK164" s="229">
        <v>1.1999999999999999E-3</v>
      </c>
      <c r="AL164" s="228">
        <v>-7.2</v>
      </c>
      <c r="AM164" s="228">
        <v>-14.9</v>
      </c>
      <c r="AN164" s="228">
        <v>7.7</v>
      </c>
      <c r="AO164" s="229">
        <v>-2.3999999999999998E-3</v>
      </c>
      <c r="AP164" s="231">
        <v>3082.77</v>
      </c>
      <c r="AQ164" s="231">
        <v>3076.64</v>
      </c>
      <c r="AR164" s="228">
        <v>0</v>
      </c>
      <c r="AS164" s="228">
        <v>93</v>
      </c>
      <c r="AT164" s="228">
        <v>77</v>
      </c>
      <c r="AU164" s="228">
        <v>16</v>
      </c>
      <c r="AV164" s="229">
        <v>0.2072</v>
      </c>
      <c r="AW164" s="228">
        <v>90</v>
      </c>
      <c r="AX164" s="228">
        <v>73</v>
      </c>
      <c r="AY164" s="228">
        <v>17</v>
      </c>
      <c r="AZ164" s="229">
        <v>0.23930000000000001</v>
      </c>
      <c r="BA164" s="228">
        <v>3</v>
      </c>
      <c r="BB164" s="228">
        <v>3</v>
      </c>
      <c r="BC164" s="228">
        <v>-1</v>
      </c>
      <c r="BD164" s="229">
        <v>-0.2031</v>
      </c>
      <c r="BE164" s="228">
        <v>0</v>
      </c>
      <c r="BF164" s="228">
        <v>1</v>
      </c>
      <c r="BG164" s="228">
        <v>-1</v>
      </c>
      <c r="BH164" s="229">
        <v>-0.875</v>
      </c>
      <c r="BI164" s="228">
        <v>226</v>
      </c>
      <c r="BJ164" s="228">
        <v>315</v>
      </c>
      <c r="BK164" s="228">
        <v>-88</v>
      </c>
      <c r="BL164" s="229">
        <v>-0.28029999999999999</v>
      </c>
      <c r="BM164" s="228">
        <v>55</v>
      </c>
      <c r="BN164" s="228">
        <v>69</v>
      </c>
      <c r="BO164" s="228">
        <v>-14</v>
      </c>
      <c r="BP164" s="229">
        <v>-0.20530000000000001</v>
      </c>
      <c r="BQ164" s="228">
        <v>374</v>
      </c>
      <c r="BR164" s="228">
        <v>460</v>
      </c>
      <c r="BS164" s="228">
        <v>-86</v>
      </c>
      <c r="BT164" s="229">
        <v>-0.18740000000000001</v>
      </c>
      <c r="BU164" s="230">
        <v>214112</v>
      </c>
      <c r="BV164" s="230">
        <v>210195</v>
      </c>
      <c r="BW164" s="230">
        <v>3917</v>
      </c>
      <c r="BX164" s="229">
        <v>1.8599999999999998E-2</v>
      </c>
      <c r="BY164" s="228">
        <v>836</v>
      </c>
      <c r="BZ164" s="228">
        <v>832</v>
      </c>
      <c r="CA164" s="228">
        <v>4</v>
      </c>
      <c r="CB164" s="229">
        <v>4.7000000000000002E-3</v>
      </c>
      <c r="CC164" s="228">
        <v>819</v>
      </c>
      <c r="CD164" s="228">
        <v>816</v>
      </c>
      <c r="CE164" s="228">
        <v>3</v>
      </c>
      <c r="CF164" s="229">
        <v>3.3999999999999998E-3</v>
      </c>
      <c r="CG164" s="228">
        <v>16</v>
      </c>
      <c r="CH164" s="228">
        <v>15</v>
      </c>
      <c r="CI164" s="228">
        <v>1</v>
      </c>
      <c r="CJ164" s="229">
        <v>6.83E-2</v>
      </c>
      <c r="CK164" s="228">
        <v>1</v>
      </c>
      <c r="CL164" s="228">
        <v>1</v>
      </c>
      <c r="CM164" s="228">
        <v>0</v>
      </c>
      <c r="CN164" s="229">
        <v>0.1</v>
      </c>
      <c r="CO164" s="228">
        <v>271</v>
      </c>
      <c r="CP164" s="228">
        <v>253</v>
      </c>
      <c r="CQ164" s="228">
        <v>18</v>
      </c>
      <c r="CR164" s="229">
        <v>6.9400000000000003E-2</v>
      </c>
      <c r="CS164" s="228">
        <v>157</v>
      </c>
      <c r="CT164" s="228">
        <v>141</v>
      </c>
      <c r="CU164" s="228">
        <v>16</v>
      </c>
      <c r="CV164" s="229">
        <v>0.1108</v>
      </c>
      <c r="CW164" s="230">
        <v>1264</v>
      </c>
      <c r="CX164" s="230">
        <v>1227</v>
      </c>
      <c r="CY164" s="228">
        <v>37</v>
      </c>
      <c r="CZ164" s="229">
        <v>3.0300000000000001E-2</v>
      </c>
      <c r="DA164" s="228">
        <v>35.72</v>
      </c>
      <c r="DB164" s="228">
        <v>36.520000000000003</v>
      </c>
      <c r="DC164" s="228">
        <v>-0.8</v>
      </c>
      <c r="DD164" s="228">
        <v>-0.8</v>
      </c>
      <c r="DE164" s="228">
        <v>31.24</v>
      </c>
      <c r="DF164" s="228">
        <v>31.32</v>
      </c>
      <c r="DG164" s="228">
        <v>4.4800000000000004</v>
      </c>
      <c r="DH164" s="228">
        <v>-0.08</v>
      </c>
      <c r="DI164" s="228">
        <v>35.729999999999997</v>
      </c>
      <c r="DJ164" s="228">
        <v>36.81</v>
      </c>
      <c r="DK164" s="228">
        <v>-1.08</v>
      </c>
      <c r="DL164" s="228">
        <v>-1.08</v>
      </c>
      <c r="DM164" s="228">
        <v>35.700000000000003</v>
      </c>
      <c r="DN164" s="228">
        <v>35.17</v>
      </c>
      <c r="DO164" s="228">
        <v>0.53</v>
      </c>
      <c r="DP164" s="228">
        <v>0.53</v>
      </c>
      <c r="DQ164" s="228">
        <v>0.57999999999999996</v>
      </c>
      <c r="DR164" s="228">
        <v>0.56000000000000005</v>
      </c>
      <c r="DS164" s="228">
        <v>0.02</v>
      </c>
      <c r="DT164" s="229">
        <v>3.5700000000000003E-2</v>
      </c>
      <c r="DU164" s="231">
        <v>3480</v>
      </c>
      <c r="DV164" s="231">
        <v>3000</v>
      </c>
      <c r="DW164" s="228">
        <v>0.24</v>
      </c>
      <c r="DX164" s="228">
        <v>0.22</v>
      </c>
      <c r="DY164" s="228">
        <v>0.02</v>
      </c>
      <c r="DZ164" s="229">
        <v>9.0899999999999995E-2</v>
      </c>
      <c r="EA164" s="229">
        <v>2.0500000000000001E-2</v>
      </c>
      <c r="EB164" s="230">
        <v>52150</v>
      </c>
      <c r="EC164" s="229">
        <v>-4.4999999999999997E-3</v>
      </c>
      <c r="ED164" s="229">
        <v>2.0500000000000001E-2</v>
      </c>
      <c r="EE164" s="228">
        <v>-6.13</v>
      </c>
      <c r="EF164" s="229">
        <v>-2E-3</v>
      </c>
      <c r="EG164" s="230">
        <v>126486</v>
      </c>
      <c r="EH164" s="230">
        <v>121691</v>
      </c>
      <c r="EI164" s="229">
        <v>3.9399999999999998E-2</v>
      </c>
      <c r="EJ164" s="229">
        <v>0.5907</v>
      </c>
      <c r="EK164" s="228">
        <v>247.69</v>
      </c>
      <c r="EL164" s="228">
        <v>53.49</v>
      </c>
      <c r="EM164" s="228">
        <v>93.65</v>
      </c>
      <c r="EN164" s="228">
        <v>76.73</v>
      </c>
      <c r="EO164" s="228">
        <v>394.82</v>
      </c>
      <c r="EP164" s="228">
        <v>493.08</v>
      </c>
      <c r="EQ164" s="228">
        <v>-98.26</v>
      </c>
      <c r="ER164" s="229">
        <v>-0.1993</v>
      </c>
      <c r="ES164" s="228">
        <v>288.77</v>
      </c>
      <c r="ET164" s="228">
        <v>150.72</v>
      </c>
      <c r="EU164" s="228">
        <v>835.89</v>
      </c>
      <c r="EV164" s="231">
        <v>8178275</v>
      </c>
      <c r="EW164" s="231">
        <v>1275.3699999999999</v>
      </c>
      <c r="EX164" s="231">
        <v>1241.0899999999999</v>
      </c>
      <c r="EY164" s="228">
        <v>34.28</v>
      </c>
      <c r="EZ164" s="229">
        <v>2.76E-2</v>
      </c>
      <c r="FA164" s="229">
        <v>0.50429999999999997</v>
      </c>
      <c r="FB164" s="227" t="s">
        <v>566</v>
      </c>
      <c r="FC164">
        <f t="shared" si="3"/>
        <v>0</v>
      </c>
    </row>
    <row r="165" spans="1:159" ht="17.25" thickBot="1" x14ac:dyDescent="0.3">
      <c r="A165" s="226">
        <v>46146</v>
      </c>
      <c r="B165" s="227" t="s">
        <v>172</v>
      </c>
      <c r="C165" s="227" t="s">
        <v>275</v>
      </c>
      <c r="D165" s="228">
        <v>8000</v>
      </c>
      <c r="E165" s="228">
        <v>22</v>
      </c>
      <c r="F165" s="228">
        <v>109.2</v>
      </c>
      <c r="G165" s="228">
        <v>109.73</v>
      </c>
      <c r="H165" s="228">
        <v>-0.53</v>
      </c>
      <c r="I165" s="229">
        <v>-4.7999999999999996E-3</v>
      </c>
      <c r="J165" s="228">
        <v>108.68</v>
      </c>
      <c r="K165" s="228">
        <v>109.36</v>
      </c>
      <c r="L165" s="228">
        <v>-0.68</v>
      </c>
      <c r="M165" s="229">
        <v>-6.1999999999999998E-3</v>
      </c>
      <c r="N165" s="228">
        <v>109.2</v>
      </c>
      <c r="O165" s="228">
        <v>109.73</v>
      </c>
      <c r="P165" s="228">
        <v>-0.53</v>
      </c>
      <c r="Q165" s="229">
        <v>-4.7999999999999996E-3</v>
      </c>
      <c r="R165" s="228">
        <v>109.94</v>
      </c>
      <c r="S165" s="228">
        <v>110.51</v>
      </c>
      <c r="T165" s="228">
        <v>-0.56999999999999995</v>
      </c>
      <c r="U165" s="229">
        <v>-5.1999999999999998E-3</v>
      </c>
      <c r="V165" s="228">
        <v>110.49</v>
      </c>
      <c r="W165" s="228">
        <v>111.06</v>
      </c>
      <c r="X165" s="228">
        <v>-0.56999999999999995</v>
      </c>
      <c r="Y165" s="229">
        <v>-5.1000000000000004E-3</v>
      </c>
      <c r="Z165" s="228">
        <v>0.52</v>
      </c>
      <c r="AA165" s="228">
        <v>0.37</v>
      </c>
      <c r="AB165" s="228">
        <v>0.15</v>
      </c>
      <c r="AC165" s="229">
        <v>4.7999999999999996E-3</v>
      </c>
      <c r="AD165" s="228">
        <v>0.52</v>
      </c>
      <c r="AE165" s="228">
        <v>0.37</v>
      </c>
      <c r="AF165" s="228">
        <v>0.15</v>
      </c>
      <c r="AG165" s="229">
        <v>4.7999999999999996E-3</v>
      </c>
      <c r="AH165" s="228">
        <v>1.26</v>
      </c>
      <c r="AI165" s="228">
        <v>1.1499999999999999</v>
      </c>
      <c r="AJ165" s="228">
        <v>0.11</v>
      </c>
      <c r="AK165" s="229">
        <v>1.1599999999999999E-2</v>
      </c>
      <c r="AL165" s="228">
        <v>1.81</v>
      </c>
      <c r="AM165" s="228">
        <v>1.7</v>
      </c>
      <c r="AN165" s="228">
        <v>0.11</v>
      </c>
      <c r="AO165" s="229">
        <v>1.67E-2</v>
      </c>
      <c r="AP165" s="228">
        <v>110.02</v>
      </c>
      <c r="AQ165" s="228">
        <v>111.07</v>
      </c>
      <c r="AR165" s="228">
        <v>0</v>
      </c>
      <c r="AS165" s="228">
        <v>420</v>
      </c>
      <c r="AT165" s="228">
        <v>426</v>
      </c>
      <c r="AU165" s="228">
        <v>-6</v>
      </c>
      <c r="AV165" s="229">
        <v>-1.44E-2</v>
      </c>
      <c r="AW165" s="228">
        <v>385</v>
      </c>
      <c r="AX165" s="228">
        <v>390</v>
      </c>
      <c r="AY165" s="228">
        <v>-5</v>
      </c>
      <c r="AZ165" s="229">
        <v>-1.26E-2</v>
      </c>
      <c r="BA165" s="228">
        <v>30</v>
      </c>
      <c r="BB165" s="228">
        <v>31</v>
      </c>
      <c r="BC165" s="228">
        <v>-1</v>
      </c>
      <c r="BD165" s="229">
        <v>-3.3799999999999997E-2</v>
      </c>
      <c r="BE165" s="228">
        <v>5</v>
      </c>
      <c r="BF165" s="228">
        <v>5</v>
      </c>
      <c r="BG165" s="228">
        <v>0</v>
      </c>
      <c r="BH165" s="229">
        <v>-3.6400000000000002E-2</v>
      </c>
      <c r="BI165" s="228">
        <v>665</v>
      </c>
      <c r="BJ165" s="228">
        <v>817</v>
      </c>
      <c r="BK165" s="228">
        <v>-152</v>
      </c>
      <c r="BL165" s="229">
        <v>-0.1855</v>
      </c>
      <c r="BM165" s="228">
        <v>423</v>
      </c>
      <c r="BN165" s="228">
        <v>520</v>
      </c>
      <c r="BO165" s="228">
        <v>-97</v>
      </c>
      <c r="BP165" s="229">
        <v>-0.18709999999999999</v>
      </c>
      <c r="BQ165" s="230">
        <v>1507</v>
      </c>
      <c r="BR165" s="230">
        <v>1762</v>
      </c>
      <c r="BS165" s="228">
        <v>-255</v>
      </c>
      <c r="BT165" s="229">
        <v>-0.14460000000000001</v>
      </c>
      <c r="BU165" s="230">
        <v>17243272</v>
      </c>
      <c r="BV165" s="230">
        <v>16818211</v>
      </c>
      <c r="BW165" s="230">
        <v>425061</v>
      </c>
      <c r="BX165" s="229">
        <v>2.53E-2</v>
      </c>
      <c r="BY165" s="230">
        <v>3012</v>
      </c>
      <c r="BZ165" s="230">
        <v>2965</v>
      </c>
      <c r="CA165" s="228">
        <v>47</v>
      </c>
      <c r="CB165" s="229">
        <v>1.6E-2</v>
      </c>
      <c r="CC165" s="230">
        <v>2789</v>
      </c>
      <c r="CD165" s="230">
        <v>2763</v>
      </c>
      <c r="CE165" s="228">
        <v>27</v>
      </c>
      <c r="CF165" s="229">
        <v>9.7000000000000003E-3</v>
      </c>
      <c r="CG165" s="228">
        <v>214</v>
      </c>
      <c r="CH165" s="228">
        <v>197</v>
      </c>
      <c r="CI165" s="228">
        <v>17</v>
      </c>
      <c r="CJ165" s="229">
        <v>8.6499999999999994E-2</v>
      </c>
      <c r="CK165" s="228">
        <v>9</v>
      </c>
      <c r="CL165" s="228">
        <v>5</v>
      </c>
      <c r="CM165" s="228">
        <v>3</v>
      </c>
      <c r="CN165" s="229">
        <v>0.68969999999999998</v>
      </c>
      <c r="CO165" s="228">
        <v>771</v>
      </c>
      <c r="CP165" s="228">
        <v>687</v>
      </c>
      <c r="CQ165" s="228">
        <v>84</v>
      </c>
      <c r="CR165" s="229">
        <v>0.12280000000000001</v>
      </c>
      <c r="CS165" s="228">
        <v>629</v>
      </c>
      <c r="CT165" s="228">
        <v>571</v>
      </c>
      <c r="CU165" s="228">
        <v>58</v>
      </c>
      <c r="CV165" s="229">
        <v>0.1023</v>
      </c>
      <c r="CW165" s="230">
        <v>4412</v>
      </c>
      <c r="CX165" s="230">
        <v>4222</v>
      </c>
      <c r="CY165" s="228">
        <v>190</v>
      </c>
      <c r="CZ165" s="229">
        <v>4.4999999999999998E-2</v>
      </c>
      <c r="DA165" s="228">
        <v>39.6</v>
      </c>
      <c r="DB165" s="228">
        <v>37.409999999999997</v>
      </c>
      <c r="DC165" s="228">
        <v>2.19</v>
      </c>
      <c r="DD165" s="228">
        <v>2.19</v>
      </c>
      <c r="DE165" s="228">
        <v>37.369999999999997</v>
      </c>
      <c r="DF165" s="228">
        <v>37.450000000000003</v>
      </c>
      <c r="DG165" s="228">
        <v>2.23</v>
      </c>
      <c r="DH165" s="228">
        <v>-0.08</v>
      </c>
      <c r="DI165" s="228">
        <v>39.299999999999997</v>
      </c>
      <c r="DJ165" s="228">
        <v>36.979999999999997</v>
      </c>
      <c r="DK165" s="228">
        <v>2.3199999999999998</v>
      </c>
      <c r="DL165" s="228">
        <v>2.3199999999999998</v>
      </c>
      <c r="DM165" s="228">
        <v>40.090000000000003</v>
      </c>
      <c r="DN165" s="228">
        <v>38.1</v>
      </c>
      <c r="DO165" s="228">
        <v>1.99</v>
      </c>
      <c r="DP165" s="228">
        <v>1.99</v>
      </c>
      <c r="DQ165" s="228">
        <v>0.82</v>
      </c>
      <c r="DR165" s="228">
        <v>0.83</v>
      </c>
      <c r="DS165" s="228">
        <v>-0.01</v>
      </c>
      <c r="DT165" s="229">
        <v>-1.2E-2</v>
      </c>
      <c r="DU165" s="228">
        <v>120</v>
      </c>
      <c r="DV165" s="228">
        <v>110</v>
      </c>
      <c r="DW165" s="228">
        <v>0.64</v>
      </c>
      <c r="DX165" s="228">
        <v>0.64</v>
      </c>
      <c r="DY165" s="228">
        <v>0</v>
      </c>
      <c r="DZ165" s="229">
        <v>0</v>
      </c>
      <c r="EA165" s="229">
        <v>7.3899999999999993E-2</v>
      </c>
      <c r="EB165" s="230">
        <v>18496000</v>
      </c>
      <c r="EC165" s="229">
        <v>6.7999999999999996E-3</v>
      </c>
      <c r="ED165" s="229">
        <v>7.3899999999999993E-2</v>
      </c>
      <c r="EE165" s="228">
        <v>1.05</v>
      </c>
      <c r="EF165" s="229">
        <v>9.4999999999999998E-3</v>
      </c>
      <c r="EG165" s="230">
        <v>6704860</v>
      </c>
      <c r="EH165" s="230">
        <v>6291200</v>
      </c>
      <c r="EI165" s="229">
        <v>6.5799999999999997E-2</v>
      </c>
      <c r="EJ165" s="229">
        <v>0.38879999999999998</v>
      </c>
      <c r="EK165" s="228">
        <v>719.06</v>
      </c>
      <c r="EL165" s="228">
        <v>419.28</v>
      </c>
      <c r="EM165" s="228">
        <v>423.02</v>
      </c>
      <c r="EN165" s="228">
        <v>109.81</v>
      </c>
      <c r="EO165" s="231">
        <v>1561.35</v>
      </c>
      <c r="EP165" s="231">
        <v>1827.77</v>
      </c>
      <c r="EQ165" s="228">
        <v>-266.41000000000003</v>
      </c>
      <c r="ER165" s="229">
        <v>-0.14580000000000001</v>
      </c>
      <c r="ES165" s="228">
        <v>832.42</v>
      </c>
      <c r="ET165" s="228">
        <v>631.05999999999995</v>
      </c>
      <c r="EU165" s="231">
        <v>3013.55</v>
      </c>
      <c r="EV165" s="231">
        <v>515822637</v>
      </c>
      <c r="EW165" s="231">
        <v>4477.03</v>
      </c>
      <c r="EX165" s="231">
        <v>4298.8900000000003</v>
      </c>
      <c r="EY165" s="228">
        <v>178.14</v>
      </c>
      <c r="EZ165" s="229">
        <v>4.1399999999999999E-2</v>
      </c>
      <c r="FA165" s="229">
        <v>0.78320000000000001</v>
      </c>
      <c r="FB165" s="227" t="s">
        <v>566</v>
      </c>
      <c r="FC165">
        <f t="shared" si="3"/>
        <v>0</v>
      </c>
    </row>
    <row r="166" spans="1:159" ht="17.25" thickBot="1" x14ac:dyDescent="0.3">
      <c r="A166" s="226">
        <v>46146</v>
      </c>
      <c r="B166" s="227" t="s">
        <v>175</v>
      </c>
      <c r="C166" s="227" t="s">
        <v>667</v>
      </c>
      <c r="D166" s="228">
        <v>650</v>
      </c>
      <c r="E166" s="228">
        <v>22</v>
      </c>
      <c r="F166" s="231">
        <v>1047.8</v>
      </c>
      <c r="G166" s="231">
        <v>1051.05</v>
      </c>
      <c r="H166" s="228">
        <v>-3.25</v>
      </c>
      <c r="I166" s="229">
        <v>-3.0999999999999999E-3</v>
      </c>
      <c r="J166" s="231">
        <v>1042.2</v>
      </c>
      <c r="K166" s="231">
        <v>1045.6500000000001</v>
      </c>
      <c r="L166" s="228">
        <v>-3.45</v>
      </c>
      <c r="M166" s="229">
        <v>-3.3E-3</v>
      </c>
      <c r="N166" s="231">
        <v>1047.8</v>
      </c>
      <c r="O166" s="231">
        <v>1051.05</v>
      </c>
      <c r="P166" s="228">
        <v>-3.25</v>
      </c>
      <c r="Q166" s="229">
        <v>-3.0999999999999999E-3</v>
      </c>
      <c r="R166" s="231">
        <v>1052</v>
      </c>
      <c r="S166" s="231">
        <v>1055.5999999999999</v>
      </c>
      <c r="T166" s="228">
        <v>-3.6</v>
      </c>
      <c r="U166" s="229">
        <v>-3.3999999999999998E-3</v>
      </c>
      <c r="V166" s="231">
        <v>1058</v>
      </c>
      <c r="W166" s="231">
        <v>1058</v>
      </c>
      <c r="X166" s="228">
        <v>0</v>
      </c>
      <c r="Y166" s="229">
        <v>0</v>
      </c>
      <c r="Z166" s="228">
        <v>5.6</v>
      </c>
      <c r="AA166" s="228">
        <v>5.4</v>
      </c>
      <c r="AB166" s="228">
        <v>0.2</v>
      </c>
      <c r="AC166" s="229">
        <v>5.4000000000000003E-3</v>
      </c>
      <c r="AD166" s="228">
        <v>5.6</v>
      </c>
      <c r="AE166" s="228">
        <v>5.4</v>
      </c>
      <c r="AF166" s="228">
        <v>0.2</v>
      </c>
      <c r="AG166" s="229">
        <v>5.4000000000000003E-3</v>
      </c>
      <c r="AH166" s="228">
        <v>9.8000000000000007</v>
      </c>
      <c r="AI166" s="228">
        <v>9.9499999999999993</v>
      </c>
      <c r="AJ166" s="228">
        <v>-0.15</v>
      </c>
      <c r="AK166" s="229">
        <v>9.4000000000000004E-3</v>
      </c>
      <c r="AL166" s="228">
        <v>15.8</v>
      </c>
      <c r="AM166" s="228">
        <v>12.35</v>
      </c>
      <c r="AN166" s="228">
        <v>3.45</v>
      </c>
      <c r="AO166" s="229">
        <v>1.52E-2</v>
      </c>
      <c r="AP166" s="231">
        <v>1051.29</v>
      </c>
      <c r="AQ166" s="231">
        <v>1058.46</v>
      </c>
      <c r="AR166" s="228">
        <v>0</v>
      </c>
      <c r="AS166" s="228">
        <v>90</v>
      </c>
      <c r="AT166" s="228">
        <v>179</v>
      </c>
      <c r="AU166" s="228">
        <v>-89</v>
      </c>
      <c r="AV166" s="229">
        <v>-0.49809999999999999</v>
      </c>
      <c r="AW166" s="228">
        <v>88</v>
      </c>
      <c r="AX166" s="228">
        <v>175</v>
      </c>
      <c r="AY166" s="228">
        <v>-87</v>
      </c>
      <c r="AZ166" s="229">
        <v>-0.49569999999999997</v>
      </c>
      <c r="BA166" s="228">
        <v>2</v>
      </c>
      <c r="BB166" s="228">
        <v>4</v>
      </c>
      <c r="BC166" s="228">
        <v>-2</v>
      </c>
      <c r="BD166" s="229">
        <v>-0.57889999999999997</v>
      </c>
      <c r="BE166" s="228">
        <v>0</v>
      </c>
      <c r="BF166" s="228">
        <v>0</v>
      </c>
      <c r="BG166" s="228">
        <v>0</v>
      </c>
      <c r="BH166" s="229">
        <v>-1</v>
      </c>
      <c r="BI166" s="228">
        <v>114</v>
      </c>
      <c r="BJ166" s="228">
        <v>142</v>
      </c>
      <c r="BK166" s="228">
        <v>-28</v>
      </c>
      <c r="BL166" s="229">
        <v>-0.19600000000000001</v>
      </c>
      <c r="BM166" s="228">
        <v>63</v>
      </c>
      <c r="BN166" s="228">
        <v>115</v>
      </c>
      <c r="BO166" s="228">
        <v>-52</v>
      </c>
      <c r="BP166" s="229">
        <v>-0.45329999999999998</v>
      </c>
      <c r="BQ166" s="228">
        <v>267</v>
      </c>
      <c r="BR166" s="228">
        <v>436</v>
      </c>
      <c r="BS166" s="228">
        <v>-169</v>
      </c>
      <c r="BT166" s="229">
        <v>-0.3881</v>
      </c>
      <c r="BU166" s="230">
        <v>447266</v>
      </c>
      <c r="BV166" s="230">
        <v>1562450</v>
      </c>
      <c r="BW166" s="230">
        <v>-1115184</v>
      </c>
      <c r="BX166" s="229">
        <v>-0.7137</v>
      </c>
      <c r="BY166" s="230">
        <v>1124</v>
      </c>
      <c r="BZ166" s="230">
        <v>1133</v>
      </c>
      <c r="CA166" s="228">
        <v>-9</v>
      </c>
      <c r="CB166" s="229">
        <v>-8.3999999999999995E-3</v>
      </c>
      <c r="CC166" s="230">
        <v>1118</v>
      </c>
      <c r="CD166" s="230">
        <v>1128</v>
      </c>
      <c r="CE166" s="228">
        <v>-10</v>
      </c>
      <c r="CF166" s="229">
        <v>-8.8000000000000005E-3</v>
      </c>
      <c r="CG166" s="228">
        <v>6</v>
      </c>
      <c r="CH166" s="228">
        <v>5</v>
      </c>
      <c r="CI166" s="228">
        <v>0</v>
      </c>
      <c r="CJ166" s="229">
        <v>7.6899999999999996E-2</v>
      </c>
      <c r="CK166" s="228">
        <v>0</v>
      </c>
      <c r="CL166" s="228">
        <v>0</v>
      </c>
      <c r="CM166" s="228">
        <v>0</v>
      </c>
      <c r="CN166" s="229">
        <v>0</v>
      </c>
      <c r="CO166" s="228">
        <v>172</v>
      </c>
      <c r="CP166" s="228">
        <v>156</v>
      </c>
      <c r="CQ166" s="228">
        <v>16</v>
      </c>
      <c r="CR166" s="229">
        <v>0.1041</v>
      </c>
      <c r="CS166" s="228">
        <v>135</v>
      </c>
      <c r="CT166" s="228">
        <v>121</v>
      </c>
      <c r="CU166" s="228">
        <v>14</v>
      </c>
      <c r="CV166" s="229">
        <v>0.11559999999999999</v>
      </c>
      <c r="CW166" s="230">
        <v>1431</v>
      </c>
      <c r="CX166" s="230">
        <v>1410</v>
      </c>
      <c r="CY166" s="228">
        <v>21</v>
      </c>
      <c r="CZ166" s="229">
        <v>1.47E-2</v>
      </c>
      <c r="DA166" s="228">
        <v>33.99</v>
      </c>
      <c r="DB166" s="228">
        <v>33.65</v>
      </c>
      <c r="DC166" s="228">
        <v>0.34</v>
      </c>
      <c r="DD166" s="228">
        <v>0.34</v>
      </c>
      <c r="DE166" s="228">
        <v>47.49</v>
      </c>
      <c r="DF166" s="228">
        <v>47.61</v>
      </c>
      <c r="DG166" s="228">
        <v>-13.5</v>
      </c>
      <c r="DH166" s="228">
        <v>-0.12</v>
      </c>
      <c r="DI166" s="228">
        <v>33.020000000000003</v>
      </c>
      <c r="DJ166" s="228">
        <v>32.89</v>
      </c>
      <c r="DK166" s="228">
        <v>0.13</v>
      </c>
      <c r="DL166" s="228">
        <v>0.13</v>
      </c>
      <c r="DM166" s="228">
        <v>35.74</v>
      </c>
      <c r="DN166" s="228">
        <v>34.58</v>
      </c>
      <c r="DO166" s="228">
        <v>1.1599999999999999</v>
      </c>
      <c r="DP166" s="228">
        <v>1.1599999999999999</v>
      </c>
      <c r="DQ166" s="228">
        <v>0.78</v>
      </c>
      <c r="DR166" s="228">
        <v>0.78</v>
      </c>
      <c r="DS166" s="228">
        <v>0</v>
      </c>
      <c r="DT166" s="229">
        <v>0</v>
      </c>
      <c r="DU166" s="231">
        <v>1100</v>
      </c>
      <c r="DV166" s="231">
        <v>1000</v>
      </c>
      <c r="DW166" s="228">
        <v>0.55000000000000004</v>
      </c>
      <c r="DX166" s="228">
        <v>0.81</v>
      </c>
      <c r="DY166" s="228">
        <v>-0.26</v>
      </c>
      <c r="DZ166" s="229">
        <v>-0.32100000000000001</v>
      </c>
      <c r="EA166" s="229">
        <v>5.1999999999999998E-3</v>
      </c>
      <c r="EB166" s="230">
        <v>51350</v>
      </c>
      <c r="EC166" s="229">
        <v>4.0000000000000001E-3</v>
      </c>
      <c r="ED166" s="229">
        <v>5.1999999999999998E-3</v>
      </c>
      <c r="EE166" s="228">
        <v>7.17</v>
      </c>
      <c r="EF166" s="229">
        <v>6.7999999999999996E-3</v>
      </c>
      <c r="EG166" s="230">
        <v>222234</v>
      </c>
      <c r="EH166" s="230">
        <v>771140</v>
      </c>
      <c r="EI166" s="229">
        <v>-0.71179999999999999</v>
      </c>
      <c r="EJ166" s="229">
        <v>0.49690000000000001</v>
      </c>
      <c r="EK166" s="228">
        <v>120.99</v>
      </c>
      <c r="EL166" s="228">
        <v>61.97</v>
      </c>
      <c r="EM166" s="228">
        <v>90.28</v>
      </c>
      <c r="EN166" s="228">
        <v>54.65</v>
      </c>
      <c r="EO166" s="228">
        <v>273.24</v>
      </c>
      <c r="EP166" s="228">
        <v>441.33</v>
      </c>
      <c r="EQ166" s="228">
        <v>-168.09</v>
      </c>
      <c r="ER166" s="229">
        <v>-0.38090000000000002</v>
      </c>
      <c r="ES166" s="228">
        <v>175.45</v>
      </c>
      <c r="ET166" s="228">
        <v>126.95</v>
      </c>
      <c r="EU166" s="231">
        <v>1123.8599999999999</v>
      </c>
      <c r="EV166" s="231">
        <v>28118603</v>
      </c>
      <c r="EW166" s="231">
        <v>1426.26</v>
      </c>
      <c r="EX166" s="231">
        <v>1408.47</v>
      </c>
      <c r="EY166" s="228">
        <v>17.79</v>
      </c>
      <c r="EZ166" s="229">
        <v>1.26E-2</v>
      </c>
      <c r="FA166" s="229">
        <v>0.48559999999999998</v>
      </c>
      <c r="FB166" s="227" t="s">
        <v>567</v>
      </c>
      <c r="FC166">
        <f t="shared" si="3"/>
        <v>0</v>
      </c>
    </row>
    <row r="167" spans="1:159" ht="17.25" thickBot="1" x14ac:dyDescent="0.3">
      <c r="A167" s="226">
        <v>46146</v>
      </c>
      <c r="B167" s="227" t="s">
        <v>614</v>
      </c>
      <c r="C167" s="227" t="s">
        <v>572</v>
      </c>
      <c r="D167" s="228">
        <v>350</v>
      </c>
      <c r="E167" s="228">
        <v>22</v>
      </c>
      <c r="F167" s="231">
        <v>1676.8</v>
      </c>
      <c r="G167" s="231">
        <v>1671</v>
      </c>
      <c r="H167" s="228">
        <v>5.8</v>
      </c>
      <c r="I167" s="229">
        <v>3.5000000000000001E-3</v>
      </c>
      <c r="J167" s="231">
        <v>1670.8</v>
      </c>
      <c r="K167" s="231">
        <v>1666.2</v>
      </c>
      <c r="L167" s="228">
        <v>4.5999999999999996</v>
      </c>
      <c r="M167" s="229">
        <v>2.8E-3</v>
      </c>
      <c r="N167" s="231">
        <v>1676.8</v>
      </c>
      <c r="O167" s="231">
        <v>1671</v>
      </c>
      <c r="P167" s="228">
        <v>5.8</v>
      </c>
      <c r="Q167" s="229">
        <v>3.5000000000000001E-3</v>
      </c>
      <c r="R167" s="231">
        <v>1687.2</v>
      </c>
      <c r="S167" s="231">
        <v>1680</v>
      </c>
      <c r="T167" s="228">
        <v>7.2</v>
      </c>
      <c r="U167" s="229">
        <v>4.3E-3</v>
      </c>
      <c r="V167" s="231">
        <v>1685</v>
      </c>
      <c r="W167" s="231">
        <v>1687.4</v>
      </c>
      <c r="X167" s="228">
        <v>-2.4</v>
      </c>
      <c r="Y167" s="229">
        <v>-1.4E-3</v>
      </c>
      <c r="Z167" s="228">
        <v>6</v>
      </c>
      <c r="AA167" s="228">
        <v>4.8</v>
      </c>
      <c r="AB167" s="228">
        <v>1.2</v>
      </c>
      <c r="AC167" s="229">
        <v>3.5999999999999999E-3</v>
      </c>
      <c r="AD167" s="228">
        <v>6</v>
      </c>
      <c r="AE167" s="228">
        <v>4.8</v>
      </c>
      <c r="AF167" s="228">
        <v>1.2</v>
      </c>
      <c r="AG167" s="229">
        <v>3.5999999999999999E-3</v>
      </c>
      <c r="AH167" s="228">
        <v>16.399999999999999</v>
      </c>
      <c r="AI167" s="228">
        <v>13.8</v>
      </c>
      <c r="AJ167" s="228">
        <v>2.6</v>
      </c>
      <c r="AK167" s="229">
        <v>9.7999999999999997E-3</v>
      </c>
      <c r="AL167" s="228">
        <v>14.2</v>
      </c>
      <c r="AM167" s="228">
        <v>21.2</v>
      </c>
      <c r="AN167" s="228">
        <v>-7</v>
      </c>
      <c r="AO167" s="229">
        <v>8.5000000000000006E-3</v>
      </c>
      <c r="AP167" s="231">
        <v>1668.1</v>
      </c>
      <c r="AQ167" s="231">
        <v>1677.81</v>
      </c>
      <c r="AR167" s="228">
        <v>0</v>
      </c>
      <c r="AS167" s="228">
        <v>104</v>
      </c>
      <c r="AT167" s="228">
        <v>108</v>
      </c>
      <c r="AU167" s="228">
        <v>-4</v>
      </c>
      <c r="AV167" s="229">
        <v>-3.5900000000000001E-2</v>
      </c>
      <c r="AW167" s="228">
        <v>102</v>
      </c>
      <c r="AX167" s="228">
        <v>104</v>
      </c>
      <c r="AY167" s="228">
        <v>-2</v>
      </c>
      <c r="AZ167" s="229">
        <v>-1.9099999999999999E-2</v>
      </c>
      <c r="BA167" s="228">
        <v>2</v>
      </c>
      <c r="BB167" s="228">
        <v>4</v>
      </c>
      <c r="BC167" s="228">
        <v>-2</v>
      </c>
      <c r="BD167" s="229">
        <v>-0.5</v>
      </c>
      <c r="BE167" s="228">
        <v>0</v>
      </c>
      <c r="BF167" s="228">
        <v>0</v>
      </c>
      <c r="BG167" s="228">
        <v>0</v>
      </c>
      <c r="BH167" s="229">
        <v>-0.66669999999999996</v>
      </c>
      <c r="BI167" s="228">
        <v>168</v>
      </c>
      <c r="BJ167" s="228">
        <v>123</v>
      </c>
      <c r="BK167" s="228">
        <v>45</v>
      </c>
      <c r="BL167" s="229">
        <v>0.36749999999999999</v>
      </c>
      <c r="BM167" s="228">
        <v>69</v>
      </c>
      <c r="BN167" s="228">
        <v>87</v>
      </c>
      <c r="BO167" s="228">
        <v>-18</v>
      </c>
      <c r="BP167" s="229">
        <v>-0.2082</v>
      </c>
      <c r="BQ167" s="228">
        <v>341</v>
      </c>
      <c r="BR167" s="228">
        <v>318</v>
      </c>
      <c r="BS167" s="228">
        <v>23</v>
      </c>
      <c r="BT167" s="229">
        <v>7.2900000000000006E-2</v>
      </c>
      <c r="BU167" s="230">
        <v>711522</v>
      </c>
      <c r="BV167" s="230">
        <v>750568</v>
      </c>
      <c r="BW167" s="230">
        <v>-39046</v>
      </c>
      <c r="BX167" s="229">
        <v>-5.1999999999999998E-2</v>
      </c>
      <c r="BY167" s="230">
        <v>1370</v>
      </c>
      <c r="BZ167" s="230">
        <v>1377</v>
      </c>
      <c r="CA167" s="228">
        <v>-7</v>
      </c>
      <c r="CB167" s="229">
        <v>-4.8999999999999998E-3</v>
      </c>
      <c r="CC167" s="230">
        <v>1342</v>
      </c>
      <c r="CD167" s="230">
        <v>1349</v>
      </c>
      <c r="CE167" s="228">
        <v>-7</v>
      </c>
      <c r="CF167" s="229">
        <v>-5.4999999999999997E-3</v>
      </c>
      <c r="CG167" s="228">
        <v>28</v>
      </c>
      <c r="CH167" s="228">
        <v>28</v>
      </c>
      <c r="CI167" s="228">
        <v>1</v>
      </c>
      <c r="CJ167" s="229">
        <v>2.12E-2</v>
      </c>
      <c r="CK167" s="228">
        <v>0</v>
      </c>
      <c r="CL167" s="228">
        <v>0</v>
      </c>
      <c r="CM167" s="228">
        <v>0</v>
      </c>
      <c r="CN167" s="229">
        <v>0.33329999999999999</v>
      </c>
      <c r="CO167" s="228">
        <v>162</v>
      </c>
      <c r="CP167" s="228">
        <v>131</v>
      </c>
      <c r="CQ167" s="228">
        <v>31</v>
      </c>
      <c r="CR167" s="229">
        <v>0.23680000000000001</v>
      </c>
      <c r="CS167" s="228">
        <v>106</v>
      </c>
      <c r="CT167" s="228">
        <v>96</v>
      </c>
      <c r="CU167" s="228">
        <v>10</v>
      </c>
      <c r="CV167" s="229">
        <v>0.1024</v>
      </c>
      <c r="CW167" s="230">
        <v>1639</v>
      </c>
      <c r="CX167" s="230">
        <v>1604</v>
      </c>
      <c r="CY167" s="228">
        <v>34</v>
      </c>
      <c r="CZ167" s="229">
        <v>2.1299999999999999E-2</v>
      </c>
      <c r="DA167" s="228">
        <v>43.54</v>
      </c>
      <c r="DB167" s="228">
        <v>42.17</v>
      </c>
      <c r="DC167" s="228">
        <v>1.37</v>
      </c>
      <c r="DD167" s="228">
        <v>1.37</v>
      </c>
      <c r="DE167" s="228">
        <v>45.12</v>
      </c>
      <c r="DF167" s="228">
        <v>45.23</v>
      </c>
      <c r="DG167" s="228">
        <v>-1.58</v>
      </c>
      <c r="DH167" s="228">
        <v>-0.11</v>
      </c>
      <c r="DI167" s="228">
        <v>42.98</v>
      </c>
      <c r="DJ167" s="228">
        <v>42.02</v>
      </c>
      <c r="DK167" s="228">
        <v>0.96</v>
      </c>
      <c r="DL167" s="228">
        <v>0.96</v>
      </c>
      <c r="DM167" s="228">
        <v>44.9</v>
      </c>
      <c r="DN167" s="228">
        <v>42.39</v>
      </c>
      <c r="DO167" s="228">
        <v>2.5099999999999998</v>
      </c>
      <c r="DP167" s="228">
        <v>2.5099999999999998</v>
      </c>
      <c r="DQ167" s="228">
        <v>0.65</v>
      </c>
      <c r="DR167" s="228">
        <v>0.73</v>
      </c>
      <c r="DS167" s="228">
        <v>-0.08</v>
      </c>
      <c r="DT167" s="229">
        <v>-0.1096</v>
      </c>
      <c r="DU167" s="231">
        <v>1700</v>
      </c>
      <c r="DV167" s="231">
        <v>1660</v>
      </c>
      <c r="DW167" s="228">
        <v>0.41</v>
      </c>
      <c r="DX167" s="228">
        <v>0.71</v>
      </c>
      <c r="DY167" s="228">
        <v>-0.3</v>
      </c>
      <c r="DZ167" s="229">
        <v>-0.42249999999999999</v>
      </c>
      <c r="EA167" s="229">
        <v>2.0799999999999999E-2</v>
      </c>
      <c r="EB167" s="230">
        <v>166250</v>
      </c>
      <c r="EC167" s="229">
        <v>6.1999999999999998E-3</v>
      </c>
      <c r="ED167" s="229">
        <v>2.0799999999999999E-2</v>
      </c>
      <c r="EE167" s="228">
        <v>9.7100000000000009</v>
      </c>
      <c r="EF167" s="229">
        <v>5.7999999999999996E-3</v>
      </c>
      <c r="EG167" s="230">
        <v>321081</v>
      </c>
      <c r="EH167" s="230">
        <v>334317</v>
      </c>
      <c r="EI167" s="229">
        <v>-3.9600000000000003E-2</v>
      </c>
      <c r="EJ167" s="229">
        <v>0.45129999999999998</v>
      </c>
      <c r="EK167" s="228">
        <v>178.29</v>
      </c>
      <c r="EL167" s="228">
        <v>70.38</v>
      </c>
      <c r="EM167" s="228">
        <v>103.52</v>
      </c>
      <c r="EN167" s="228">
        <v>64.36</v>
      </c>
      <c r="EO167" s="228">
        <v>352.19</v>
      </c>
      <c r="EP167" s="228">
        <v>326.77999999999997</v>
      </c>
      <c r="EQ167" s="228">
        <v>25.41</v>
      </c>
      <c r="ER167" s="229">
        <v>7.7799999999999994E-2</v>
      </c>
      <c r="ES167" s="228">
        <v>167.33</v>
      </c>
      <c r="ET167" s="228">
        <v>103.32</v>
      </c>
      <c r="EU167" s="231">
        <v>1370.25</v>
      </c>
      <c r="EV167" s="231">
        <v>69300607</v>
      </c>
      <c r="EW167" s="231">
        <v>1640.9</v>
      </c>
      <c r="EX167" s="231">
        <v>1600.81</v>
      </c>
      <c r="EY167" s="228">
        <v>40.090000000000003</v>
      </c>
      <c r="EZ167" s="229">
        <v>2.5000000000000001E-2</v>
      </c>
      <c r="FA167" s="229">
        <v>0.14099999999999999</v>
      </c>
      <c r="FB167" s="227" t="s">
        <v>691</v>
      </c>
      <c r="FC167">
        <f t="shared" si="3"/>
        <v>0</v>
      </c>
    </row>
    <row r="168" spans="1:159" ht="17.25" thickBot="1" x14ac:dyDescent="0.3">
      <c r="A168" s="226">
        <v>46146</v>
      </c>
      <c r="B168" s="227" t="s">
        <v>184</v>
      </c>
      <c r="C168" s="227" t="s">
        <v>519</v>
      </c>
      <c r="D168" s="228">
        <v>125</v>
      </c>
      <c r="E168" s="228">
        <v>22</v>
      </c>
      <c r="F168" s="231">
        <v>8391.5</v>
      </c>
      <c r="G168" s="231">
        <v>8159.5</v>
      </c>
      <c r="H168" s="228">
        <v>232</v>
      </c>
      <c r="I168" s="229">
        <v>2.8400000000000002E-2</v>
      </c>
      <c r="J168" s="231">
        <v>8344.5</v>
      </c>
      <c r="K168" s="231">
        <v>8110.5</v>
      </c>
      <c r="L168" s="228">
        <v>234</v>
      </c>
      <c r="M168" s="229">
        <v>2.8899999999999999E-2</v>
      </c>
      <c r="N168" s="231">
        <v>8391.5</v>
      </c>
      <c r="O168" s="231">
        <v>8159.5</v>
      </c>
      <c r="P168" s="228">
        <v>232</v>
      </c>
      <c r="Q168" s="229">
        <v>2.8400000000000002E-2</v>
      </c>
      <c r="R168" s="231">
        <v>8393.5</v>
      </c>
      <c r="S168" s="231">
        <v>8145</v>
      </c>
      <c r="T168" s="228">
        <v>248.5</v>
      </c>
      <c r="U168" s="229">
        <v>3.0499999999999999E-2</v>
      </c>
      <c r="V168" s="231">
        <v>8390.5</v>
      </c>
      <c r="W168" s="231">
        <v>8176</v>
      </c>
      <c r="X168" s="228">
        <v>214.5</v>
      </c>
      <c r="Y168" s="229">
        <v>2.6200000000000001E-2</v>
      </c>
      <c r="Z168" s="228">
        <v>47</v>
      </c>
      <c r="AA168" s="228">
        <v>49</v>
      </c>
      <c r="AB168" s="228">
        <v>-2</v>
      </c>
      <c r="AC168" s="229">
        <v>5.5999999999999999E-3</v>
      </c>
      <c r="AD168" s="228">
        <v>47</v>
      </c>
      <c r="AE168" s="228">
        <v>49</v>
      </c>
      <c r="AF168" s="228">
        <v>-2</v>
      </c>
      <c r="AG168" s="229">
        <v>5.5999999999999999E-3</v>
      </c>
      <c r="AH168" s="228">
        <v>49</v>
      </c>
      <c r="AI168" s="228">
        <v>34.5</v>
      </c>
      <c r="AJ168" s="228">
        <v>14.5</v>
      </c>
      <c r="AK168" s="229">
        <v>5.8999999999999999E-3</v>
      </c>
      <c r="AL168" s="228">
        <v>46</v>
      </c>
      <c r="AM168" s="228">
        <v>65.5</v>
      </c>
      <c r="AN168" s="228">
        <v>-19.5</v>
      </c>
      <c r="AO168" s="229">
        <v>5.4999999999999997E-3</v>
      </c>
      <c r="AP168" s="231">
        <v>8295.9</v>
      </c>
      <c r="AQ168" s="231">
        <v>8314.5400000000009</v>
      </c>
      <c r="AR168" s="228">
        <v>0</v>
      </c>
      <c r="AS168" s="228">
        <v>516</v>
      </c>
      <c r="AT168" s="228">
        <v>465</v>
      </c>
      <c r="AU168" s="228">
        <v>52</v>
      </c>
      <c r="AV168" s="229">
        <v>0.1115</v>
      </c>
      <c r="AW168" s="228">
        <v>500</v>
      </c>
      <c r="AX168" s="228">
        <v>447</v>
      </c>
      <c r="AY168" s="228">
        <v>53</v>
      </c>
      <c r="AZ168" s="229">
        <v>0.1181</v>
      </c>
      <c r="BA168" s="228">
        <v>16</v>
      </c>
      <c r="BB168" s="228">
        <v>16</v>
      </c>
      <c r="BC168" s="228">
        <v>0</v>
      </c>
      <c r="BD168" s="229">
        <v>0</v>
      </c>
      <c r="BE168" s="228">
        <v>1</v>
      </c>
      <c r="BF168" s="228">
        <v>2</v>
      </c>
      <c r="BG168" s="228">
        <v>-1</v>
      </c>
      <c r="BH168" s="229">
        <v>-0.47370000000000001</v>
      </c>
      <c r="BI168" s="230">
        <v>1293</v>
      </c>
      <c r="BJ168" s="228">
        <v>497</v>
      </c>
      <c r="BK168" s="228">
        <v>796</v>
      </c>
      <c r="BL168" s="229">
        <v>1.6013999999999999</v>
      </c>
      <c r="BM168" s="230">
        <v>1570</v>
      </c>
      <c r="BN168" s="228">
        <v>398</v>
      </c>
      <c r="BO168" s="230">
        <v>1172</v>
      </c>
      <c r="BP168" s="229">
        <v>2.9413</v>
      </c>
      <c r="BQ168" s="230">
        <v>3380</v>
      </c>
      <c r="BR168" s="230">
        <v>1360</v>
      </c>
      <c r="BS168" s="230">
        <v>2020</v>
      </c>
      <c r="BT168" s="229">
        <v>1.4850000000000001</v>
      </c>
      <c r="BU168" s="230">
        <v>461642</v>
      </c>
      <c r="BV168" s="230">
        <v>423460</v>
      </c>
      <c r="BW168" s="230">
        <v>38182</v>
      </c>
      <c r="BX168" s="229">
        <v>9.0200000000000002E-2</v>
      </c>
      <c r="BY168" s="230">
        <v>1614</v>
      </c>
      <c r="BZ168" s="230">
        <v>1549</v>
      </c>
      <c r="CA168" s="228">
        <v>65</v>
      </c>
      <c r="CB168" s="229">
        <v>4.1599999999999998E-2</v>
      </c>
      <c r="CC168" s="230">
        <v>1589</v>
      </c>
      <c r="CD168" s="230">
        <v>1527</v>
      </c>
      <c r="CE168" s="228">
        <v>63</v>
      </c>
      <c r="CF168" s="229">
        <v>4.1000000000000002E-2</v>
      </c>
      <c r="CG168" s="228">
        <v>23</v>
      </c>
      <c r="CH168" s="228">
        <v>21</v>
      </c>
      <c r="CI168" s="228">
        <v>2</v>
      </c>
      <c r="CJ168" s="229">
        <v>0.10100000000000001</v>
      </c>
      <c r="CK168" s="228">
        <v>2</v>
      </c>
      <c r="CL168" s="228">
        <v>2</v>
      </c>
      <c r="CM168" s="228">
        <v>0</v>
      </c>
      <c r="CN168" s="229">
        <v>-0.1176</v>
      </c>
      <c r="CO168" s="228">
        <v>700</v>
      </c>
      <c r="CP168" s="228">
        <v>558</v>
      </c>
      <c r="CQ168" s="228">
        <v>143</v>
      </c>
      <c r="CR168" s="229">
        <v>0.25609999999999999</v>
      </c>
      <c r="CS168" s="228">
        <v>978</v>
      </c>
      <c r="CT168" s="228">
        <v>806</v>
      </c>
      <c r="CU168" s="228">
        <v>172</v>
      </c>
      <c r="CV168" s="229">
        <v>0.21290000000000001</v>
      </c>
      <c r="CW168" s="230">
        <v>3292</v>
      </c>
      <c r="CX168" s="230">
        <v>2913</v>
      </c>
      <c r="CY168" s="228">
        <v>379</v>
      </c>
      <c r="CZ168" s="229">
        <v>0.13009999999999999</v>
      </c>
      <c r="DA168" s="228">
        <v>42.74</v>
      </c>
      <c r="DB168" s="228">
        <v>38.200000000000003</v>
      </c>
      <c r="DC168" s="228">
        <v>4.54</v>
      </c>
      <c r="DD168" s="228">
        <v>4.54</v>
      </c>
      <c r="DE168" s="228">
        <v>41.28</v>
      </c>
      <c r="DF168" s="228">
        <v>41.2</v>
      </c>
      <c r="DG168" s="228">
        <v>1.46</v>
      </c>
      <c r="DH168" s="228">
        <v>0.08</v>
      </c>
      <c r="DI168" s="228">
        <v>37.770000000000003</v>
      </c>
      <c r="DJ168" s="228">
        <v>36.21</v>
      </c>
      <c r="DK168" s="228">
        <v>1.56</v>
      </c>
      <c r="DL168" s="228">
        <v>1.56</v>
      </c>
      <c r="DM168" s="228">
        <v>46.82</v>
      </c>
      <c r="DN168" s="228">
        <v>40.68</v>
      </c>
      <c r="DO168" s="228">
        <v>6.14</v>
      </c>
      <c r="DP168" s="228">
        <v>6.14</v>
      </c>
      <c r="DQ168" s="228">
        <v>1.4</v>
      </c>
      <c r="DR168" s="228">
        <v>1.45</v>
      </c>
      <c r="DS168" s="228">
        <v>-0.05</v>
      </c>
      <c r="DT168" s="229">
        <v>-3.4500000000000003E-2</v>
      </c>
      <c r="DU168" s="231">
        <v>9000</v>
      </c>
      <c r="DV168" s="231">
        <v>7500</v>
      </c>
      <c r="DW168" s="228">
        <v>1.21</v>
      </c>
      <c r="DX168" s="228">
        <v>0.8</v>
      </c>
      <c r="DY168" s="228">
        <v>0.41</v>
      </c>
      <c r="DZ168" s="229">
        <v>0.51249999999999996</v>
      </c>
      <c r="EA168" s="229">
        <v>1.5100000000000001E-2</v>
      </c>
      <c r="EB168" s="230">
        <v>26875</v>
      </c>
      <c r="EC168" s="229">
        <v>2.0000000000000001E-4</v>
      </c>
      <c r="ED168" s="229">
        <v>1.5100000000000001E-2</v>
      </c>
      <c r="EE168" s="228">
        <v>18.64</v>
      </c>
      <c r="EF168" s="229">
        <v>2.2000000000000001E-3</v>
      </c>
      <c r="EG168" s="230">
        <v>232007</v>
      </c>
      <c r="EH168" s="230">
        <v>255536</v>
      </c>
      <c r="EI168" s="229">
        <v>-9.2100000000000001E-2</v>
      </c>
      <c r="EJ168" s="229">
        <v>0.50260000000000005</v>
      </c>
      <c r="EK168" s="231">
        <v>1359.93</v>
      </c>
      <c r="EL168" s="231">
        <v>1408.96</v>
      </c>
      <c r="EM168" s="228">
        <v>510.55</v>
      </c>
      <c r="EN168" s="228">
        <v>71.489999999999995</v>
      </c>
      <c r="EO168" s="231">
        <v>3279.45</v>
      </c>
      <c r="EP168" s="231">
        <v>1340.34</v>
      </c>
      <c r="EQ168" s="231">
        <v>1939.11</v>
      </c>
      <c r="ER168" s="229">
        <v>1.4467000000000001</v>
      </c>
      <c r="ES168" s="228">
        <v>708.84</v>
      </c>
      <c r="ET168" s="228">
        <v>876.3</v>
      </c>
      <c r="EU168" s="231">
        <v>1613.9</v>
      </c>
      <c r="EV168" s="231">
        <v>8693344</v>
      </c>
      <c r="EW168" s="231">
        <v>3199.04</v>
      </c>
      <c r="EX168" s="231">
        <v>2774.88</v>
      </c>
      <c r="EY168" s="228">
        <v>424.16</v>
      </c>
      <c r="EZ168" s="229">
        <v>0.15290000000000001</v>
      </c>
      <c r="FA168" s="229">
        <v>0.45119999999999999</v>
      </c>
      <c r="FB168" s="227" t="s">
        <v>555</v>
      </c>
      <c r="FC168">
        <f t="shared" si="3"/>
        <v>0</v>
      </c>
    </row>
    <row r="169" spans="1:159" ht="17.25" thickBot="1" x14ac:dyDescent="0.3">
      <c r="A169" s="226">
        <v>46146</v>
      </c>
      <c r="B169" s="227" t="s">
        <v>161</v>
      </c>
      <c r="C169" s="227" t="s">
        <v>276</v>
      </c>
      <c r="D169" s="228">
        <v>1900</v>
      </c>
      <c r="E169" s="228">
        <v>22</v>
      </c>
      <c r="F169" s="228">
        <v>320.10000000000002</v>
      </c>
      <c r="G169" s="228">
        <v>319.14999999999998</v>
      </c>
      <c r="H169" s="228">
        <v>0.95</v>
      </c>
      <c r="I169" s="229">
        <v>3.0000000000000001E-3</v>
      </c>
      <c r="J169" s="228">
        <v>319.05</v>
      </c>
      <c r="K169" s="228">
        <v>318.35000000000002</v>
      </c>
      <c r="L169" s="228">
        <v>0.7</v>
      </c>
      <c r="M169" s="229">
        <v>2.2000000000000001E-3</v>
      </c>
      <c r="N169" s="228">
        <v>320.10000000000002</v>
      </c>
      <c r="O169" s="228">
        <v>319.14999999999998</v>
      </c>
      <c r="P169" s="228">
        <v>0.95</v>
      </c>
      <c r="Q169" s="229">
        <v>3.0000000000000001E-3</v>
      </c>
      <c r="R169" s="228">
        <v>322.39999999999998</v>
      </c>
      <c r="S169" s="228">
        <v>321.3</v>
      </c>
      <c r="T169" s="228">
        <v>1.1000000000000001</v>
      </c>
      <c r="U169" s="229">
        <v>3.3999999999999998E-3</v>
      </c>
      <c r="V169" s="228">
        <v>323.2</v>
      </c>
      <c r="W169" s="228">
        <v>323.2</v>
      </c>
      <c r="X169" s="228">
        <v>0</v>
      </c>
      <c r="Y169" s="229">
        <v>0</v>
      </c>
      <c r="Z169" s="228">
        <v>1.05</v>
      </c>
      <c r="AA169" s="228">
        <v>0.8</v>
      </c>
      <c r="AB169" s="228">
        <v>0.25</v>
      </c>
      <c r="AC169" s="229">
        <v>3.3E-3</v>
      </c>
      <c r="AD169" s="228">
        <v>1.05</v>
      </c>
      <c r="AE169" s="228">
        <v>0.8</v>
      </c>
      <c r="AF169" s="228">
        <v>0.25</v>
      </c>
      <c r="AG169" s="229">
        <v>3.3E-3</v>
      </c>
      <c r="AH169" s="228">
        <v>3.35</v>
      </c>
      <c r="AI169" s="228">
        <v>2.95</v>
      </c>
      <c r="AJ169" s="228">
        <v>0.4</v>
      </c>
      <c r="AK169" s="229">
        <v>1.0500000000000001E-2</v>
      </c>
      <c r="AL169" s="228">
        <v>4.1500000000000004</v>
      </c>
      <c r="AM169" s="228">
        <v>4.8499999999999996</v>
      </c>
      <c r="AN169" s="228">
        <v>-0.7</v>
      </c>
      <c r="AO169" s="229">
        <v>1.2999999999999999E-2</v>
      </c>
      <c r="AP169" s="228">
        <v>321.08</v>
      </c>
      <c r="AQ169" s="228">
        <v>322.89999999999998</v>
      </c>
      <c r="AR169" s="228">
        <v>0</v>
      </c>
      <c r="AS169" s="228">
        <v>227</v>
      </c>
      <c r="AT169" s="228">
        <v>279</v>
      </c>
      <c r="AU169" s="228">
        <v>-51</v>
      </c>
      <c r="AV169" s="229">
        <v>-0.1842</v>
      </c>
      <c r="AW169" s="228">
        <v>211</v>
      </c>
      <c r="AX169" s="228">
        <v>267</v>
      </c>
      <c r="AY169" s="228">
        <v>-56</v>
      </c>
      <c r="AZ169" s="229">
        <v>-0.2109</v>
      </c>
      <c r="BA169" s="228">
        <v>15</v>
      </c>
      <c r="BB169" s="228">
        <v>10</v>
      </c>
      <c r="BC169" s="228">
        <v>6</v>
      </c>
      <c r="BD169" s="229">
        <v>0.60129999999999995</v>
      </c>
      <c r="BE169" s="228">
        <v>1</v>
      </c>
      <c r="BF169" s="228">
        <v>2</v>
      </c>
      <c r="BG169" s="228">
        <v>-1</v>
      </c>
      <c r="BH169" s="229">
        <v>-0.42859999999999998</v>
      </c>
      <c r="BI169" s="228">
        <v>696</v>
      </c>
      <c r="BJ169" s="228">
        <v>659</v>
      </c>
      <c r="BK169" s="228">
        <v>37</v>
      </c>
      <c r="BL169" s="229">
        <v>5.6300000000000003E-2</v>
      </c>
      <c r="BM169" s="228">
        <v>332</v>
      </c>
      <c r="BN169" s="228">
        <v>323</v>
      </c>
      <c r="BO169" s="228">
        <v>9</v>
      </c>
      <c r="BP169" s="229">
        <v>2.9399999999999999E-2</v>
      </c>
      <c r="BQ169" s="230">
        <v>1255</v>
      </c>
      <c r="BR169" s="230">
        <v>1260</v>
      </c>
      <c r="BS169" s="228">
        <v>-5</v>
      </c>
      <c r="BT169" s="229">
        <v>-3.8E-3</v>
      </c>
      <c r="BU169" s="230">
        <v>7657796</v>
      </c>
      <c r="BV169" s="230">
        <v>10028580</v>
      </c>
      <c r="BW169" s="230">
        <v>-2370784</v>
      </c>
      <c r="BX169" s="229">
        <v>-0.2364</v>
      </c>
      <c r="BY169" s="230">
        <v>2583</v>
      </c>
      <c r="BZ169" s="230">
        <v>2561</v>
      </c>
      <c r="CA169" s="228">
        <v>22</v>
      </c>
      <c r="CB169" s="229">
        <v>8.6999999999999994E-3</v>
      </c>
      <c r="CC169" s="230">
        <v>2196</v>
      </c>
      <c r="CD169" s="230">
        <v>2183</v>
      </c>
      <c r="CE169" s="228">
        <v>13</v>
      </c>
      <c r="CF169" s="229">
        <v>5.7999999999999996E-3</v>
      </c>
      <c r="CG169" s="228">
        <v>385</v>
      </c>
      <c r="CH169" s="228">
        <v>375</v>
      </c>
      <c r="CI169" s="228">
        <v>9</v>
      </c>
      <c r="CJ169" s="229">
        <v>2.5000000000000001E-2</v>
      </c>
      <c r="CK169" s="228">
        <v>2</v>
      </c>
      <c r="CL169" s="228">
        <v>2</v>
      </c>
      <c r="CM169" s="228">
        <v>0</v>
      </c>
      <c r="CN169" s="229">
        <v>0.125</v>
      </c>
      <c r="CO169" s="228">
        <v>608</v>
      </c>
      <c r="CP169" s="228">
        <v>520</v>
      </c>
      <c r="CQ169" s="228">
        <v>88</v>
      </c>
      <c r="CR169" s="229">
        <v>0.16969999999999999</v>
      </c>
      <c r="CS169" s="228">
        <v>395</v>
      </c>
      <c r="CT169" s="228">
        <v>363</v>
      </c>
      <c r="CU169" s="228">
        <v>32</v>
      </c>
      <c r="CV169" s="229">
        <v>8.8400000000000006E-2</v>
      </c>
      <c r="CW169" s="230">
        <v>3586</v>
      </c>
      <c r="CX169" s="230">
        <v>3444</v>
      </c>
      <c r="CY169" s="228">
        <v>143</v>
      </c>
      <c r="CZ169" s="229">
        <v>4.1399999999999999E-2</v>
      </c>
      <c r="DA169" s="228">
        <v>26.14</v>
      </c>
      <c r="DB169" s="228">
        <v>26.7</v>
      </c>
      <c r="DC169" s="228">
        <v>-0.56000000000000005</v>
      </c>
      <c r="DD169" s="228">
        <v>-0.56000000000000005</v>
      </c>
      <c r="DE169" s="228">
        <v>28.44</v>
      </c>
      <c r="DF169" s="228">
        <v>28.51</v>
      </c>
      <c r="DG169" s="228">
        <v>-2.2999999999999998</v>
      </c>
      <c r="DH169" s="228">
        <v>-7.0000000000000007E-2</v>
      </c>
      <c r="DI169" s="228">
        <v>26.07</v>
      </c>
      <c r="DJ169" s="228">
        <v>26.89</v>
      </c>
      <c r="DK169" s="228">
        <v>-0.82</v>
      </c>
      <c r="DL169" s="228">
        <v>-0.82</v>
      </c>
      <c r="DM169" s="228">
        <v>26.29</v>
      </c>
      <c r="DN169" s="228">
        <v>26.32</v>
      </c>
      <c r="DO169" s="228">
        <v>-0.03</v>
      </c>
      <c r="DP169" s="228">
        <v>-0.03</v>
      </c>
      <c r="DQ169" s="228">
        <v>0.65</v>
      </c>
      <c r="DR169" s="228">
        <v>0.7</v>
      </c>
      <c r="DS169" s="228">
        <v>-0.05</v>
      </c>
      <c r="DT169" s="229">
        <v>-7.1400000000000005E-2</v>
      </c>
      <c r="DU169" s="228">
        <v>320</v>
      </c>
      <c r="DV169" s="228">
        <v>320</v>
      </c>
      <c r="DW169" s="228">
        <v>0.48</v>
      </c>
      <c r="DX169" s="228">
        <v>0.49</v>
      </c>
      <c r="DY169" s="228">
        <v>-0.01</v>
      </c>
      <c r="DZ169" s="229">
        <v>-2.0400000000000001E-2</v>
      </c>
      <c r="EA169" s="229">
        <v>0.14979999999999999</v>
      </c>
      <c r="EB169" s="230">
        <v>11783800</v>
      </c>
      <c r="EC169" s="229">
        <v>7.1999999999999998E-3</v>
      </c>
      <c r="ED169" s="229">
        <v>0.14979999999999999</v>
      </c>
      <c r="EE169" s="228">
        <v>1.82</v>
      </c>
      <c r="EF169" s="229">
        <v>5.7000000000000002E-3</v>
      </c>
      <c r="EG169" s="230">
        <v>4185458</v>
      </c>
      <c r="EH169" s="230">
        <v>5898180</v>
      </c>
      <c r="EI169" s="229">
        <v>-0.29039999999999999</v>
      </c>
      <c r="EJ169" s="229">
        <v>0.54659999999999997</v>
      </c>
      <c r="EK169" s="228">
        <v>728.03</v>
      </c>
      <c r="EL169" s="228">
        <v>329.9</v>
      </c>
      <c r="EM169" s="228">
        <v>228.07</v>
      </c>
      <c r="EN169" s="228">
        <v>124.29</v>
      </c>
      <c r="EO169" s="231">
        <v>1286.01</v>
      </c>
      <c r="EP169" s="231">
        <v>1289.6400000000001</v>
      </c>
      <c r="EQ169" s="228">
        <v>-3.63</v>
      </c>
      <c r="ER169" s="229">
        <v>-2.8E-3</v>
      </c>
      <c r="ES169" s="228">
        <v>626.74</v>
      </c>
      <c r="ET169" s="228">
        <v>381.87</v>
      </c>
      <c r="EU169" s="231">
        <v>2585.59</v>
      </c>
      <c r="EV169" s="231">
        <v>660840864</v>
      </c>
      <c r="EW169" s="231">
        <v>3594.19</v>
      </c>
      <c r="EX169" s="231">
        <v>3440.1</v>
      </c>
      <c r="EY169" s="228">
        <v>154.09</v>
      </c>
      <c r="EZ169" s="229">
        <v>4.48E-2</v>
      </c>
      <c r="FA169" s="229">
        <v>0.16950000000000001</v>
      </c>
      <c r="FB169" s="227" t="s">
        <v>555</v>
      </c>
      <c r="FC169">
        <f t="shared" si="3"/>
        <v>0</v>
      </c>
    </row>
    <row r="170" spans="1:159" ht="17.25" thickBot="1" x14ac:dyDescent="0.3">
      <c r="A170" s="226">
        <v>46146</v>
      </c>
      <c r="B170" s="227" t="s">
        <v>184</v>
      </c>
      <c r="C170" s="227" t="s">
        <v>683</v>
      </c>
      <c r="D170" s="228">
        <v>25</v>
      </c>
      <c r="E170" s="228">
        <v>22</v>
      </c>
      <c r="F170" s="231">
        <v>33890</v>
      </c>
      <c r="G170" s="231">
        <v>33725</v>
      </c>
      <c r="H170" s="228">
        <v>165</v>
      </c>
      <c r="I170" s="229">
        <v>4.8999999999999998E-3</v>
      </c>
      <c r="J170" s="231">
        <v>33730</v>
      </c>
      <c r="K170" s="231">
        <v>33550</v>
      </c>
      <c r="L170" s="228">
        <v>180</v>
      </c>
      <c r="M170" s="229">
        <v>5.4000000000000003E-3</v>
      </c>
      <c r="N170" s="231">
        <v>33890</v>
      </c>
      <c r="O170" s="231">
        <v>33725</v>
      </c>
      <c r="P170" s="228">
        <v>165</v>
      </c>
      <c r="Q170" s="229">
        <v>4.8999999999999998E-3</v>
      </c>
      <c r="R170" s="231">
        <v>33995</v>
      </c>
      <c r="S170" s="231">
        <v>33780</v>
      </c>
      <c r="T170" s="228">
        <v>215</v>
      </c>
      <c r="U170" s="229">
        <v>6.4000000000000003E-3</v>
      </c>
      <c r="V170" s="231">
        <v>34050</v>
      </c>
      <c r="W170" s="231">
        <v>33805</v>
      </c>
      <c r="X170" s="228">
        <v>245</v>
      </c>
      <c r="Y170" s="229">
        <v>7.1999999999999998E-3</v>
      </c>
      <c r="Z170" s="228">
        <v>160</v>
      </c>
      <c r="AA170" s="228">
        <v>175</v>
      </c>
      <c r="AB170" s="228">
        <v>-15</v>
      </c>
      <c r="AC170" s="229">
        <v>4.7000000000000002E-3</v>
      </c>
      <c r="AD170" s="228">
        <v>160</v>
      </c>
      <c r="AE170" s="228">
        <v>175</v>
      </c>
      <c r="AF170" s="228">
        <v>-15</v>
      </c>
      <c r="AG170" s="229">
        <v>4.7000000000000002E-3</v>
      </c>
      <c r="AH170" s="228">
        <v>265</v>
      </c>
      <c r="AI170" s="228">
        <v>230</v>
      </c>
      <c r="AJ170" s="228">
        <v>35</v>
      </c>
      <c r="AK170" s="229">
        <v>7.9000000000000008E-3</v>
      </c>
      <c r="AL170" s="228">
        <v>320</v>
      </c>
      <c r="AM170" s="228">
        <v>255</v>
      </c>
      <c r="AN170" s="228">
        <v>65</v>
      </c>
      <c r="AO170" s="229">
        <v>9.4999999999999998E-3</v>
      </c>
      <c r="AP170" s="231">
        <v>33770.85</v>
      </c>
      <c r="AQ170" s="231">
        <v>33823.050000000003</v>
      </c>
      <c r="AR170" s="228">
        <v>0</v>
      </c>
      <c r="AS170" s="228">
        <v>333</v>
      </c>
      <c r="AT170" s="228">
        <v>345</v>
      </c>
      <c r="AU170" s="228">
        <v>-12</v>
      </c>
      <c r="AV170" s="229">
        <v>-3.4200000000000001E-2</v>
      </c>
      <c r="AW170" s="228">
        <v>312</v>
      </c>
      <c r="AX170" s="228">
        <v>329</v>
      </c>
      <c r="AY170" s="228">
        <v>-16</v>
      </c>
      <c r="AZ170" s="229">
        <v>-4.9700000000000001E-2</v>
      </c>
      <c r="BA170" s="228">
        <v>18</v>
      </c>
      <c r="BB170" s="228">
        <v>13</v>
      </c>
      <c r="BC170" s="228">
        <v>5</v>
      </c>
      <c r="BD170" s="229">
        <v>0.36359999999999998</v>
      </c>
      <c r="BE170" s="228">
        <v>3</v>
      </c>
      <c r="BF170" s="228">
        <v>3</v>
      </c>
      <c r="BG170" s="228">
        <v>0</v>
      </c>
      <c r="BH170" s="229">
        <v>-5.5599999999999997E-2</v>
      </c>
      <c r="BI170" s="228">
        <v>921</v>
      </c>
      <c r="BJ170" s="228">
        <v>857</v>
      </c>
      <c r="BK170" s="228">
        <v>65</v>
      </c>
      <c r="BL170" s="229">
        <v>7.5700000000000003E-2</v>
      </c>
      <c r="BM170" s="228">
        <v>569</v>
      </c>
      <c r="BN170" s="228">
        <v>715</v>
      </c>
      <c r="BO170" s="228">
        <v>-147</v>
      </c>
      <c r="BP170" s="229">
        <v>-0.20530000000000001</v>
      </c>
      <c r="BQ170" s="230">
        <v>1823</v>
      </c>
      <c r="BR170" s="230">
        <v>1917</v>
      </c>
      <c r="BS170" s="228">
        <v>-94</v>
      </c>
      <c r="BT170" s="229">
        <v>-4.8899999999999999E-2</v>
      </c>
      <c r="BU170" s="230">
        <v>168778</v>
      </c>
      <c r="BV170" s="230">
        <v>138820</v>
      </c>
      <c r="BW170" s="230">
        <v>29958</v>
      </c>
      <c r="BX170" s="229">
        <v>0.21579999999999999</v>
      </c>
      <c r="BY170" s="230">
        <v>1326</v>
      </c>
      <c r="BZ170" s="230">
        <v>1346</v>
      </c>
      <c r="CA170" s="228">
        <v>-20</v>
      </c>
      <c r="CB170" s="229">
        <v>-1.49E-2</v>
      </c>
      <c r="CC170" s="230">
        <v>1290</v>
      </c>
      <c r="CD170" s="230">
        <v>1311</v>
      </c>
      <c r="CE170" s="228">
        <v>-22</v>
      </c>
      <c r="CF170" s="229">
        <v>-1.67E-2</v>
      </c>
      <c r="CG170" s="228">
        <v>33</v>
      </c>
      <c r="CH170" s="228">
        <v>33</v>
      </c>
      <c r="CI170" s="228">
        <v>0</v>
      </c>
      <c r="CJ170" s="229">
        <v>5.1000000000000004E-3</v>
      </c>
      <c r="CK170" s="228">
        <v>3</v>
      </c>
      <c r="CL170" s="228">
        <v>1</v>
      </c>
      <c r="CM170" s="228">
        <v>2</v>
      </c>
      <c r="CN170" s="229">
        <v>1.1765000000000001</v>
      </c>
      <c r="CO170" s="228">
        <v>799</v>
      </c>
      <c r="CP170" s="228">
        <v>707</v>
      </c>
      <c r="CQ170" s="228">
        <v>92</v>
      </c>
      <c r="CR170" s="229">
        <v>0.13070000000000001</v>
      </c>
      <c r="CS170" s="228">
        <v>673</v>
      </c>
      <c r="CT170" s="228">
        <v>615</v>
      </c>
      <c r="CU170" s="228">
        <v>58</v>
      </c>
      <c r="CV170" s="229">
        <v>9.35E-2</v>
      </c>
      <c r="CW170" s="230">
        <v>2798</v>
      </c>
      <c r="CX170" s="230">
        <v>2668</v>
      </c>
      <c r="CY170" s="228">
        <v>130</v>
      </c>
      <c r="CZ170" s="229">
        <v>4.87E-2</v>
      </c>
      <c r="DA170" s="228">
        <v>44.74</v>
      </c>
      <c r="DB170" s="228">
        <v>44.3</v>
      </c>
      <c r="DC170" s="228">
        <v>0.44</v>
      </c>
      <c r="DD170" s="228">
        <v>0.44</v>
      </c>
      <c r="DE170" s="228">
        <v>56.7</v>
      </c>
      <c r="DF170" s="228">
        <v>56.83</v>
      </c>
      <c r="DG170" s="228">
        <v>-11.96</v>
      </c>
      <c r="DH170" s="228">
        <v>-0.13</v>
      </c>
      <c r="DI170" s="228">
        <v>43.34</v>
      </c>
      <c r="DJ170" s="228">
        <v>42.37</v>
      </c>
      <c r="DK170" s="228">
        <v>0.97</v>
      </c>
      <c r="DL170" s="228">
        <v>0.97</v>
      </c>
      <c r="DM170" s="228">
        <v>47.01</v>
      </c>
      <c r="DN170" s="228">
        <v>46.61</v>
      </c>
      <c r="DO170" s="228">
        <v>0.4</v>
      </c>
      <c r="DP170" s="228">
        <v>0.4</v>
      </c>
      <c r="DQ170" s="228">
        <v>0.84</v>
      </c>
      <c r="DR170" s="228">
        <v>0.87</v>
      </c>
      <c r="DS170" s="228">
        <v>-0.03</v>
      </c>
      <c r="DT170" s="229">
        <v>-3.4500000000000003E-2</v>
      </c>
      <c r="DU170" s="231">
        <v>33000</v>
      </c>
      <c r="DV170" s="231">
        <v>30000</v>
      </c>
      <c r="DW170" s="228">
        <v>0.62</v>
      </c>
      <c r="DX170" s="228">
        <v>0.84</v>
      </c>
      <c r="DY170" s="228">
        <v>-0.22</v>
      </c>
      <c r="DZ170" s="229">
        <v>-0.26190000000000002</v>
      </c>
      <c r="EA170" s="229">
        <v>2.75E-2</v>
      </c>
      <c r="EB170" s="230">
        <v>10200</v>
      </c>
      <c r="EC170" s="229">
        <v>3.0999999999999999E-3</v>
      </c>
      <c r="ED170" s="229">
        <v>2.75E-2</v>
      </c>
      <c r="EE170" s="228">
        <v>52.2</v>
      </c>
      <c r="EF170" s="229">
        <v>1.5E-3</v>
      </c>
      <c r="EG170" s="230">
        <v>48583</v>
      </c>
      <c r="EH170" s="230">
        <v>41370</v>
      </c>
      <c r="EI170" s="229">
        <v>0.1744</v>
      </c>
      <c r="EJ170" s="229">
        <v>0.28789999999999999</v>
      </c>
      <c r="EK170" s="228">
        <v>983.19</v>
      </c>
      <c r="EL170" s="228">
        <v>530.22</v>
      </c>
      <c r="EM170" s="228">
        <v>331.93</v>
      </c>
      <c r="EN170" s="228">
        <v>47.73</v>
      </c>
      <c r="EO170" s="231">
        <v>1845.33</v>
      </c>
      <c r="EP170" s="231">
        <v>1888.22</v>
      </c>
      <c r="EQ170" s="228">
        <v>-42.89</v>
      </c>
      <c r="ER170" s="229">
        <v>-2.2700000000000001E-2</v>
      </c>
      <c r="ES170" s="228">
        <v>789.76</v>
      </c>
      <c r="ET170" s="228">
        <v>604.44000000000005</v>
      </c>
      <c r="EU170" s="231">
        <v>1326.06</v>
      </c>
      <c r="EV170" s="231">
        <v>1917916</v>
      </c>
      <c r="EW170" s="231">
        <v>2720.27</v>
      </c>
      <c r="EX170" s="231">
        <v>2580.6999999999998</v>
      </c>
      <c r="EY170" s="228">
        <v>139.57</v>
      </c>
      <c r="EZ170" s="229">
        <v>5.4100000000000002E-2</v>
      </c>
      <c r="FA170" s="229">
        <v>0.43049999999999999</v>
      </c>
      <c r="FB170" s="227" t="s">
        <v>691</v>
      </c>
      <c r="FC170">
        <f t="shared" si="3"/>
        <v>0</v>
      </c>
    </row>
    <row r="171" spans="1:159" ht="17.25" thickBot="1" x14ac:dyDescent="0.3">
      <c r="A171" s="226">
        <v>46146</v>
      </c>
      <c r="B171" s="227" t="s">
        <v>184</v>
      </c>
      <c r="C171" s="227" t="s">
        <v>686</v>
      </c>
      <c r="D171" s="228">
        <v>575</v>
      </c>
      <c r="E171" s="228">
        <v>22</v>
      </c>
      <c r="F171" s="231">
        <v>1028.8</v>
      </c>
      <c r="G171" s="231">
        <v>1005.35</v>
      </c>
      <c r="H171" s="228">
        <v>23.45</v>
      </c>
      <c r="I171" s="229">
        <v>2.3300000000000001E-2</v>
      </c>
      <c r="J171" s="231">
        <v>1035.0999999999999</v>
      </c>
      <c r="K171" s="231">
        <v>1018.15</v>
      </c>
      <c r="L171" s="228">
        <v>16.95</v>
      </c>
      <c r="M171" s="229">
        <v>1.66E-2</v>
      </c>
      <c r="N171" s="231">
        <v>1028.8</v>
      </c>
      <c r="O171" s="231">
        <v>1005.35</v>
      </c>
      <c r="P171" s="228">
        <v>23.45</v>
      </c>
      <c r="Q171" s="229">
        <v>2.3300000000000001E-2</v>
      </c>
      <c r="R171" s="231">
        <v>1016.9</v>
      </c>
      <c r="S171" s="228">
        <v>995</v>
      </c>
      <c r="T171" s="228">
        <v>21.9</v>
      </c>
      <c r="U171" s="229">
        <v>2.1999999999999999E-2</v>
      </c>
      <c r="V171" s="231">
        <v>1010.3</v>
      </c>
      <c r="W171" s="231">
        <v>1003.35</v>
      </c>
      <c r="X171" s="228">
        <v>6.95</v>
      </c>
      <c r="Y171" s="229">
        <v>6.8999999999999999E-3</v>
      </c>
      <c r="Z171" s="228">
        <v>-6.3</v>
      </c>
      <c r="AA171" s="228">
        <v>-12.8</v>
      </c>
      <c r="AB171" s="228">
        <v>6.5</v>
      </c>
      <c r="AC171" s="229">
        <v>-6.1000000000000004E-3</v>
      </c>
      <c r="AD171" s="228">
        <v>-6.3</v>
      </c>
      <c r="AE171" s="228">
        <v>-12.8</v>
      </c>
      <c r="AF171" s="228">
        <v>6.5</v>
      </c>
      <c r="AG171" s="229">
        <v>-6.1000000000000004E-3</v>
      </c>
      <c r="AH171" s="228">
        <v>-18.2</v>
      </c>
      <c r="AI171" s="228">
        <v>-23.15</v>
      </c>
      <c r="AJ171" s="228">
        <v>4.95</v>
      </c>
      <c r="AK171" s="229">
        <v>-1.7600000000000001E-2</v>
      </c>
      <c r="AL171" s="228">
        <v>-24.8</v>
      </c>
      <c r="AM171" s="228">
        <v>-14.8</v>
      </c>
      <c r="AN171" s="228">
        <v>-10</v>
      </c>
      <c r="AO171" s="229">
        <v>-2.4E-2</v>
      </c>
      <c r="AP171" s="231">
        <v>1024.27</v>
      </c>
      <c r="AQ171" s="231">
        <v>1013.32</v>
      </c>
      <c r="AR171" s="228">
        <v>0</v>
      </c>
      <c r="AS171" s="228">
        <v>110</v>
      </c>
      <c r="AT171" s="228">
        <v>276</v>
      </c>
      <c r="AU171" s="228">
        <v>-165</v>
      </c>
      <c r="AV171" s="229">
        <v>-0.6</v>
      </c>
      <c r="AW171" s="228">
        <v>107</v>
      </c>
      <c r="AX171" s="228">
        <v>244</v>
      </c>
      <c r="AY171" s="228">
        <v>-137</v>
      </c>
      <c r="AZ171" s="229">
        <v>-0.5605</v>
      </c>
      <c r="BA171" s="228">
        <v>3</v>
      </c>
      <c r="BB171" s="228">
        <v>32</v>
      </c>
      <c r="BC171" s="228">
        <v>-29</v>
      </c>
      <c r="BD171" s="229">
        <v>-0.9022</v>
      </c>
      <c r="BE171" s="228">
        <v>0</v>
      </c>
      <c r="BF171" s="228">
        <v>0</v>
      </c>
      <c r="BG171" s="228">
        <v>0</v>
      </c>
      <c r="BH171" s="229">
        <v>0</v>
      </c>
      <c r="BI171" s="228">
        <v>226</v>
      </c>
      <c r="BJ171" s="228">
        <v>253</v>
      </c>
      <c r="BK171" s="228">
        <v>-27</v>
      </c>
      <c r="BL171" s="229">
        <v>-0.10630000000000001</v>
      </c>
      <c r="BM171" s="228">
        <v>118</v>
      </c>
      <c r="BN171" s="228">
        <v>191</v>
      </c>
      <c r="BO171" s="228">
        <v>-73</v>
      </c>
      <c r="BP171" s="229">
        <v>-0.38019999999999998</v>
      </c>
      <c r="BQ171" s="228">
        <v>454</v>
      </c>
      <c r="BR171" s="228">
        <v>719</v>
      </c>
      <c r="BS171" s="228">
        <v>-265</v>
      </c>
      <c r="BT171" s="229">
        <v>-0.36820000000000003</v>
      </c>
      <c r="BU171" s="230">
        <v>839815</v>
      </c>
      <c r="BV171" s="230">
        <v>2043351</v>
      </c>
      <c r="BW171" s="230">
        <v>-1203536</v>
      </c>
      <c r="BX171" s="229">
        <v>-0.58899999999999997</v>
      </c>
      <c r="BY171" s="230">
        <v>1094</v>
      </c>
      <c r="BZ171" s="230">
        <v>1100</v>
      </c>
      <c r="CA171" s="228">
        <v>-6</v>
      </c>
      <c r="CB171" s="229">
        <v>-5.4999999999999997E-3</v>
      </c>
      <c r="CC171" s="230">
        <v>1057</v>
      </c>
      <c r="CD171" s="230">
        <v>1064</v>
      </c>
      <c r="CE171" s="228">
        <v>-7</v>
      </c>
      <c r="CF171" s="229">
        <v>-6.7999999999999996E-3</v>
      </c>
      <c r="CG171" s="228">
        <v>37</v>
      </c>
      <c r="CH171" s="228">
        <v>36</v>
      </c>
      <c r="CI171" s="228">
        <v>1</v>
      </c>
      <c r="CJ171" s="229">
        <v>0.03</v>
      </c>
      <c r="CK171" s="228">
        <v>0</v>
      </c>
      <c r="CL171" s="228">
        <v>0</v>
      </c>
      <c r="CM171" s="228">
        <v>0</v>
      </c>
      <c r="CN171" s="229">
        <v>0.5</v>
      </c>
      <c r="CO171" s="228">
        <v>140</v>
      </c>
      <c r="CP171" s="228">
        <v>137</v>
      </c>
      <c r="CQ171" s="228">
        <v>3</v>
      </c>
      <c r="CR171" s="229">
        <v>2.4199999999999999E-2</v>
      </c>
      <c r="CS171" s="228">
        <v>149</v>
      </c>
      <c r="CT171" s="228">
        <v>122</v>
      </c>
      <c r="CU171" s="228">
        <v>27</v>
      </c>
      <c r="CV171" s="229">
        <v>0.22109999999999999</v>
      </c>
      <c r="CW171" s="230">
        <v>1382</v>
      </c>
      <c r="CX171" s="230">
        <v>1358</v>
      </c>
      <c r="CY171" s="228">
        <v>24</v>
      </c>
      <c r="CZ171" s="229">
        <v>1.78E-2</v>
      </c>
      <c r="DA171" s="228">
        <v>42.04</v>
      </c>
      <c r="DB171" s="228">
        <v>42.16</v>
      </c>
      <c r="DC171" s="228">
        <v>-0.12</v>
      </c>
      <c r="DD171" s="228">
        <v>-0.12</v>
      </c>
      <c r="DE171" s="228">
        <v>48.06</v>
      </c>
      <c r="DF171" s="228">
        <v>48.08</v>
      </c>
      <c r="DG171" s="228">
        <v>-6.02</v>
      </c>
      <c r="DH171" s="228">
        <v>-0.02</v>
      </c>
      <c r="DI171" s="228">
        <v>41.84</v>
      </c>
      <c r="DJ171" s="228">
        <v>42</v>
      </c>
      <c r="DK171" s="228">
        <v>-0.16</v>
      </c>
      <c r="DL171" s="228">
        <v>-0.16</v>
      </c>
      <c r="DM171" s="228">
        <v>42.41</v>
      </c>
      <c r="DN171" s="228">
        <v>42.37</v>
      </c>
      <c r="DO171" s="228">
        <v>0.04</v>
      </c>
      <c r="DP171" s="228">
        <v>0.04</v>
      </c>
      <c r="DQ171" s="228">
        <v>1.06</v>
      </c>
      <c r="DR171" s="228">
        <v>0.89</v>
      </c>
      <c r="DS171" s="228">
        <v>0.17</v>
      </c>
      <c r="DT171" s="229">
        <v>0.191</v>
      </c>
      <c r="DU171" s="231">
        <v>1060</v>
      </c>
      <c r="DV171" s="228">
        <v>900</v>
      </c>
      <c r="DW171" s="228">
        <v>0.52</v>
      </c>
      <c r="DX171" s="228">
        <v>0.75</v>
      </c>
      <c r="DY171" s="228">
        <v>-0.23</v>
      </c>
      <c r="DZ171" s="229">
        <v>-0.30669999999999997</v>
      </c>
      <c r="EA171" s="229">
        <v>3.3700000000000001E-2</v>
      </c>
      <c r="EB171" s="230">
        <v>346875</v>
      </c>
      <c r="EC171" s="229">
        <v>-1.1599999999999999E-2</v>
      </c>
      <c r="ED171" s="229">
        <v>3.3700000000000001E-2</v>
      </c>
      <c r="EE171" s="228">
        <v>-10.95</v>
      </c>
      <c r="EF171" s="229">
        <v>-1.0699999999999999E-2</v>
      </c>
      <c r="EG171" s="230">
        <v>280023</v>
      </c>
      <c r="EH171" s="230">
        <v>677323</v>
      </c>
      <c r="EI171" s="229">
        <v>-0.58660000000000001</v>
      </c>
      <c r="EJ171" s="229">
        <v>0.33339999999999997</v>
      </c>
      <c r="EK171" s="228">
        <v>238.79</v>
      </c>
      <c r="EL171" s="228">
        <v>115.61</v>
      </c>
      <c r="EM171" s="228">
        <v>109.82</v>
      </c>
      <c r="EN171" s="228">
        <v>95.2</v>
      </c>
      <c r="EO171" s="228">
        <v>464.22</v>
      </c>
      <c r="EP171" s="228">
        <v>713.14</v>
      </c>
      <c r="EQ171" s="228">
        <v>-248.92</v>
      </c>
      <c r="ER171" s="229">
        <v>-0.34910000000000002</v>
      </c>
      <c r="ES171" s="228">
        <v>144.53</v>
      </c>
      <c r="ET171" s="228">
        <v>138.54</v>
      </c>
      <c r="EU171" s="231">
        <v>1093.27</v>
      </c>
      <c r="EV171" s="231">
        <v>23961540</v>
      </c>
      <c r="EW171" s="231">
        <v>1376.33</v>
      </c>
      <c r="EX171" s="231">
        <v>1328.23</v>
      </c>
      <c r="EY171" s="228">
        <v>48.1</v>
      </c>
      <c r="EZ171" s="229">
        <v>3.6200000000000003E-2</v>
      </c>
      <c r="FA171" s="229">
        <v>0.56079999999999997</v>
      </c>
      <c r="FB171" s="227" t="s">
        <v>691</v>
      </c>
      <c r="FC171">
        <f t="shared" si="3"/>
        <v>0</v>
      </c>
    </row>
    <row r="172" spans="1:159" ht="17.25" thickBot="1" x14ac:dyDescent="0.3">
      <c r="A172" s="226">
        <v>46146</v>
      </c>
      <c r="B172" s="227" t="s">
        <v>206</v>
      </c>
      <c r="C172" s="227" t="s">
        <v>604</v>
      </c>
      <c r="D172" s="228">
        <v>450</v>
      </c>
      <c r="E172" s="228">
        <v>22</v>
      </c>
      <c r="F172" s="231">
        <v>1458.6</v>
      </c>
      <c r="G172" s="231">
        <v>1423.2</v>
      </c>
      <c r="H172" s="228">
        <v>35.4</v>
      </c>
      <c r="I172" s="229">
        <v>2.4899999999999999E-2</v>
      </c>
      <c r="J172" s="231">
        <v>1454.4</v>
      </c>
      <c r="K172" s="231">
        <v>1414.4</v>
      </c>
      <c r="L172" s="228">
        <v>40</v>
      </c>
      <c r="M172" s="229">
        <v>2.8299999999999999E-2</v>
      </c>
      <c r="N172" s="231">
        <v>1458.6</v>
      </c>
      <c r="O172" s="231">
        <v>1423.2</v>
      </c>
      <c r="P172" s="228">
        <v>35.4</v>
      </c>
      <c r="Q172" s="229">
        <v>2.4899999999999999E-2</v>
      </c>
      <c r="R172" s="231">
        <v>1468.2</v>
      </c>
      <c r="S172" s="231">
        <v>1431.7</v>
      </c>
      <c r="T172" s="228">
        <v>36.5</v>
      </c>
      <c r="U172" s="229">
        <v>2.5499999999999998E-2</v>
      </c>
      <c r="V172" s="231">
        <v>1435</v>
      </c>
      <c r="W172" s="231">
        <v>1435</v>
      </c>
      <c r="X172" s="228">
        <v>0</v>
      </c>
      <c r="Y172" s="229">
        <v>0</v>
      </c>
      <c r="Z172" s="228">
        <v>4.2</v>
      </c>
      <c r="AA172" s="228">
        <v>8.8000000000000007</v>
      </c>
      <c r="AB172" s="228">
        <v>-4.5999999999999996</v>
      </c>
      <c r="AC172" s="229">
        <v>2.8999999999999998E-3</v>
      </c>
      <c r="AD172" s="228">
        <v>4.2</v>
      </c>
      <c r="AE172" s="228">
        <v>8.8000000000000007</v>
      </c>
      <c r="AF172" s="228">
        <v>-4.5999999999999996</v>
      </c>
      <c r="AG172" s="229">
        <v>2.8999999999999998E-3</v>
      </c>
      <c r="AH172" s="228">
        <v>13.8</v>
      </c>
      <c r="AI172" s="228">
        <v>17.3</v>
      </c>
      <c r="AJ172" s="228">
        <v>-3.5</v>
      </c>
      <c r="AK172" s="229">
        <v>9.4999999999999998E-3</v>
      </c>
      <c r="AL172" s="228">
        <v>-19.399999999999999</v>
      </c>
      <c r="AM172" s="228">
        <v>20.6</v>
      </c>
      <c r="AN172" s="228">
        <v>-40</v>
      </c>
      <c r="AO172" s="229">
        <v>-1.3299999999999999E-2</v>
      </c>
      <c r="AP172" s="231">
        <v>1457.55</v>
      </c>
      <c r="AQ172" s="231">
        <v>1469.96</v>
      </c>
      <c r="AR172" s="228">
        <v>0</v>
      </c>
      <c r="AS172" s="228">
        <v>116</v>
      </c>
      <c r="AT172" s="228">
        <v>82</v>
      </c>
      <c r="AU172" s="228">
        <v>34</v>
      </c>
      <c r="AV172" s="229">
        <v>0.42109999999999997</v>
      </c>
      <c r="AW172" s="228">
        <v>114</v>
      </c>
      <c r="AX172" s="228">
        <v>81</v>
      </c>
      <c r="AY172" s="228">
        <v>33</v>
      </c>
      <c r="AZ172" s="229">
        <v>0.40860000000000002</v>
      </c>
      <c r="BA172" s="228">
        <v>2</v>
      </c>
      <c r="BB172" s="228">
        <v>1</v>
      </c>
      <c r="BC172" s="228">
        <v>1</v>
      </c>
      <c r="BD172" s="229">
        <v>2.1</v>
      </c>
      <c r="BE172" s="228">
        <v>0</v>
      </c>
      <c r="BF172" s="228">
        <v>0</v>
      </c>
      <c r="BG172" s="228">
        <v>0</v>
      </c>
      <c r="BH172" s="229">
        <v>-1</v>
      </c>
      <c r="BI172" s="228">
        <v>141</v>
      </c>
      <c r="BJ172" s="228">
        <v>74</v>
      </c>
      <c r="BK172" s="228">
        <v>67</v>
      </c>
      <c r="BL172" s="229">
        <v>0.90480000000000005</v>
      </c>
      <c r="BM172" s="228">
        <v>38</v>
      </c>
      <c r="BN172" s="228">
        <v>74</v>
      </c>
      <c r="BO172" s="228">
        <v>-35</v>
      </c>
      <c r="BP172" s="229">
        <v>-0.48130000000000001</v>
      </c>
      <c r="BQ172" s="228">
        <v>295</v>
      </c>
      <c r="BR172" s="228">
        <v>229</v>
      </c>
      <c r="BS172" s="228">
        <v>66</v>
      </c>
      <c r="BT172" s="229">
        <v>0.28710000000000002</v>
      </c>
      <c r="BU172" s="230">
        <v>446529</v>
      </c>
      <c r="BV172" s="230">
        <v>317195</v>
      </c>
      <c r="BW172" s="230">
        <v>129334</v>
      </c>
      <c r="BX172" s="229">
        <v>0.40770000000000001</v>
      </c>
      <c r="BY172" s="228">
        <v>847</v>
      </c>
      <c r="BZ172" s="228">
        <v>850</v>
      </c>
      <c r="CA172" s="228">
        <v>-3</v>
      </c>
      <c r="CB172" s="229">
        <v>-3.5000000000000001E-3</v>
      </c>
      <c r="CC172" s="228">
        <v>811</v>
      </c>
      <c r="CD172" s="228">
        <v>814</v>
      </c>
      <c r="CE172" s="228">
        <v>-3</v>
      </c>
      <c r="CF172" s="229">
        <v>-3.8E-3</v>
      </c>
      <c r="CG172" s="228">
        <v>36</v>
      </c>
      <c r="CH172" s="228">
        <v>36</v>
      </c>
      <c r="CI172" s="228">
        <v>0</v>
      </c>
      <c r="CJ172" s="229">
        <v>3.7000000000000002E-3</v>
      </c>
      <c r="CK172" s="228">
        <v>0</v>
      </c>
      <c r="CL172" s="228">
        <v>0</v>
      </c>
      <c r="CM172" s="228">
        <v>0</v>
      </c>
      <c r="CN172" s="229">
        <v>0</v>
      </c>
      <c r="CO172" s="228">
        <v>123</v>
      </c>
      <c r="CP172" s="228">
        <v>92</v>
      </c>
      <c r="CQ172" s="228">
        <v>31</v>
      </c>
      <c r="CR172" s="229">
        <v>0.33979999999999999</v>
      </c>
      <c r="CS172" s="228">
        <v>107</v>
      </c>
      <c r="CT172" s="228">
        <v>105</v>
      </c>
      <c r="CU172" s="228">
        <v>2</v>
      </c>
      <c r="CV172" s="229">
        <v>1.8700000000000001E-2</v>
      </c>
      <c r="CW172" s="230">
        <v>1077</v>
      </c>
      <c r="CX172" s="230">
        <v>1047</v>
      </c>
      <c r="CY172" s="228">
        <v>30</v>
      </c>
      <c r="CZ172" s="229">
        <v>2.8799999999999999E-2</v>
      </c>
      <c r="DA172" s="228">
        <v>38.54</v>
      </c>
      <c r="DB172" s="228">
        <v>38.770000000000003</v>
      </c>
      <c r="DC172" s="228">
        <v>-0.23</v>
      </c>
      <c r="DD172" s="228">
        <v>-0.23</v>
      </c>
      <c r="DE172" s="228">
        <v>44.31</v>
      </c>
      <c r="DF172" s="228">
        <v>44.29</v>
      </c>
      <c r="DG172" s="228">
        <v>-5.77</v>
      </c>
      <c r="DH172" s="228">
        <v>0.02</v>
      </c>
      <c r="DI172" s="228">
        <v>37.93</v>
      </c>
      <c r="DJ172" s="228">
        <v>37.909999999999997</v>
      </c>
      <c r="DK172" s="228">
        <v>0.02</v>
      </c>
      <c r="DL172" s="228">
        <v>0.02</v>
      </c>
      <c r="DM172" s="228">
        <v>40.78</v>
      </c>
      <c r="DN172" s="228">
        <v>39.630000000000003</v>
      </c>
      <c r="DO172" s="228">
        <v>1.1499999999999999</v>
      </c>
      <c r="DP172" s="228">
        <v>1.1499999999999999</v>
      </c>
      <c r="DQ172" s="228">
        <v>0.87</v>
      </c>
      <c r="DR172" s="228">
        <v>1.1499999999999999</v>
      </c>
      <c r="DS172" s="228">
        <v>-0.28000000000000003</v>
      </c>
      <c r="DT172" s="229">
        <v>-0.24349999999999999</v>
      </c>
      <c r="DU172" s="231">
        <v>1600</v>
      </c>
      <c r="DV172" s="231">
        <v>1400</v>
      </c>
      <c r="DW172" s="228">
        <v>0.27</v>
      </c>
      <c r="DX172" s="228">
        <v>1</v>
      </c>
      <c r="DY172" s="228">
        <v>-0.73</v>
      </c>
      <c r="DZ172" s="229">
        <v>-0.73</v>
      </c>
      <c r="EA172" s="229">
        <v>4.2500000000000003E-2</v>
      </c>
      <c r="EB172" s="230">
        <v>245700</v>
      </c>
      <c r="EC172" s="229">
        <v>6.6E-3</v>
      </c>
      <c r="ED172" s="229">
        <v>4.2500000000000003E-2</v>
      </c>
      <c r="EE172" s="228">
        <v>12.41</v>
      </c>
      <c r="EF172" s="229">
        <v>8.5000000000000006E-3</v>
      </c>
      <c r="EG172" s="230">
        <v>146688</v>
      </c>
      <c r="EH172" s="230">
        <v>142667</v>
      </c>
      <c r="EI172" s="229">
        <v>2.8199999999999999E-2</v>
      </c>
      <c r="EJ172" s="229">
        <v>0.32850000000000001</v>
      </c>
      <c r="EK172" s="228">
        <v>149.52000000000001</v>
      </c>
      <c r="EL172" s="228">
        <v>37.229999999999997</v>
      </c>
      <c r="EM172" s="228">
        <v>115.78</v>
      </c>
      <c r="EN172" s="228">
        <v>45.92</v>
      </c>
      <c r="EO172" s="228">
        <v>302.52999999999997</v>
      </c>
      <c r="EP172" s="228">
        <v>226.48</v>
      </c>
      <c r="EQ172" s="228">
        <v>76.040000000000006</v>
      </c>
      <c r="ER172" s="229">
        <v>0.33579999999999999</v>
      </c>
      <c r="ES172" s="228">
        <v>124.92</v>
      </c>
      <c r="ET172" s="228">
        <v>100.08</v>
      </c>
      <c r="EU172" s="228">
        <v>847.22</v>
      </c>
      <c r="EV172" s="231">
        <v>25234534</v>
      </c>
      <c r="EW172" s="231">
        <v>1072.21</v>
      </c>
      <c r="EX172" s="231">
        <v>1018.8</v>
      </c>
      <c r="EY172" s="228">
        <v>53.41</v>
      </c>
      <c r="EZ172" s="229">
        <v>5.2400000000000002E-2</v>
      </c>
      <c r="FA172" s="229">
        <v>0.29260000000000003</v>
      </c>
      <c r="FB172" s="227" t="s">
        <v>691</v>
      </c>
      <c r="FC172">
        <f t="shared" si="3"/>
        <v>0</v>
      </c>
    </row>
    <row r="173" spans="1:159" ht="17.25" thickBot="1" x14ac:dyDescent="0.3">
      <c r="A173" s="226">
        <v>46146</v>
      </c>
      <c r="B173" s="227" t="s">
        <v>172</v>
      </c>
      <c r="C173" s="227" t="s">
        <v>279</v>
      </c>
      <c r="D173" s="228">
        <v>3175</v>
      </c>
      <c r="E173" s="228">
        <v>22</v>
      </c>
      <c r="F173" s="228">
        <v>332.3</v>
      </c>
      <c r="G173" s="228">
        <v>338.65</v>
      </c>
      <c r="H173" s="228">
        <v>-6.35</v>
      </c>
      <c r="I173" s="229">
        <v>-1.8800000000000001E-2</v>
      </c>
      <c r="J173" s="228">
        <v>330.2</v>
      </c>
      <c r="K173" s="228">
        <v>336.55</v>
      </c>
      <c r="L173" s="228">
        <v>-6.35</v>
      </c>
      <c r="M173" s="229">
        <v>-1.89E-2</v>
      </c>
      <c r="N173" s="228">
        <v>332.3</v>
      </c>
      <c r="O173" s="228">
        <v>338.65</v>
      </c>
      <c r="P173" s="228">
        <v>-6.35</v>
      </c>
      <c r="Q173" s="229">
        <v>-1.8800000000000001E-2</v>
      </c>
      <c r="R173" s="228">
        <v>334.65</v>
      </c>
      <c r="S173" s="228">
        <v>340.85</v>
      </c>
      <c r="T173" s="228">
        <v>-6.2</v>
      </c>
      <c r="U173" s="229">
        <v>-1.8200000000000001E-2</v>
      </c>
      <c r="V173" s="228">
        <v>341.75</v>
      </c>
      <c r="W173" s="228">
        <v>341.75</v>
      </c>
      <c r="X173" s="228">
        <v>0</v>
      </c>
      <c r="Y173" s="229">
        <v>0</v>
      </c>
      <c r="Z173" s="228">
        <v>2.1</v>
      </c>
      <c r="AA173" s="228">
        <v>2.1</v>
      </c>
      <c r="AB173" s="228">
        <v>0</v>
      </c>
      <c r="AC173" s="229">
        <v>6.4000000000000003E-3</v>
      </c>
      <c r="AD173" s="228">
        <v>2.1</v>
      </c>
      <c r="AE173" s="228">
        <v>2.1</v>
      </c>
      <c r="AF173" s="228">
        <v>0</v>
      </c>
      <c r="AG173" s="229">
        <v>6.4000000000000003E-3</v>
      </c>
      <c r="AH173" s="228">
        <v>4.45</v>
      </c>
      <c r="AI173" s="228">
        <v>4.3</v>
      </c>
      <c r="AJ173" s="228">
        <v>0.15</v>
      </c>
      <c r="AK173" s="229">
        <v>1.35E-2</v>
      </c>
      <c r="AL173" s="228">
        <v>11.55</v>
      </c>
      <c r="AM173" s="228">
        <v>5.2</v>
      </c>
      <c r="AN173" s="228">
        <v>6.35</v>
      </c>
      <c r="AO173" s="229">
        <v>3.5000000000000003E-2</v>
      </c>
      <c r="AP173" s="228">
        <v>336.89</v>
      </c>
      <c r="AQ173" s="228">
        <v>338.79</v>
      </c>
      <c r="AR173" s="228">
        <v>0</v>
      </c>
      <c r="AS173" s="228">
        <v>500</v>
      </c>
      <c r="AT173" s="228">
        <v>476</v>
      </c>
      <c r="AU173" s="228">
        <v>24</v>
      </c>
      <c r="AV173" s="229">
        <v>5.1499999999999997E-2</v>
      </c>
      <c r="AW173" s="228">
        <v>487</v>
      </c>
      <c r="AX173" s="228">
        <v>467</v>
      </c>
      <c r="AY173" s="228">
        <v>21</v>
      </c>
      <c r="AZ173" s="229">
        <v>4.4299999999999999E-2</v>
      </c>
      <c r="BA173" s="228">
        <v>12</v>
      </c>
      <c r="BB173" s="228">
        <v>9</v>
      </c>
      <c r="BC173" s="228">
        <v>4</v>
      </c>
      <c r="BD173" s="229">
        <v>0.439</v>
      </c>
      <c r="BE173" s="228">
        <v>0</v>
      </c>
      <c r="BF173" s="228">
        <v>0</v>
      </c>
      <c r="BG173" s="228">
        <v>0</v>
      </c>
      <c r="BH173" s="229">
        <v>0</v>
      </c>
      <c r="BI173" s="230">
        <v>1126</v>
      </c>
      <c r="BJ173" s="230">
        <v>1034</v>
      </c>
      <c r="BK173" s="228">
        <v>92</v>
      </c>
      <c r="BL173" s="229">
        <v>8.8700000000000001E-2</v>
      </c>
      <c r="BM173" s="228">
        <v>687</v>
      </c>
      <c r="BN173" s="228">
        <v>728</v>
      </c>
      <c r="BO173" s="228">
        <v>-41</v>
      </c>
      <c r="BP173" s="229">
        <v>-5.6399999999999999E-2</v>
      </c>
      <c r="BQ173" s="230">
        <v>2312</v>
      </c>
      <c r="BR173" s="230">
        <v>2237</v>
      </c>
      <c r="BS173" s="228">
        <v>75</v>
      </c>
      <c r="BT173" s="229">
        <v>3.3599999999999998E-2</v>
      </c>
      <c r="BU173" s="230">
        <v>7093115</v>
      </c>
      <c r="BV173" s="230">
        <v>6948144</v>
      </c>
      <c r="BW173" s="230">
        <v>144971</v>
      </c>
      <c r="BX173" s="229">
        <v>2.0899999999999998E-2</v>
      </c>
      <c r="BY173" s="230">
        <v>2182</v>
      </c>
      <c r="BZ173" s="230">
        <v>2122</v>
      </c>
      <c r="CA173" s="228">
        <v>60</v>
      </c>
      <c r="CB173" s="229">
        <v>2.81E-2</v>
      </c>
      <c r="CC173" s="230">
        <v>2166</v>
      </c>
      <c r="CD173" s="230">
        <v>2108</v>
      </c>
      <c r="CE173" s="228">
        <v>58</v>
      </c>
      <c r="CF173" s="229">
        <v>2.7400000000000001E-2</v>
      </c>
      <c r="CG173" s="228">
        <v>16</v>
      </c>
      <c r="CH173" s="228">
        <v>14</v>
      </c>
      <c r="CI173" s="228">
        <v>2</v>
      </c>
      <c r="CJ173" s="229">
        <v>0.13739999999999999</v>
      </c>
      <c r="CK173" s="228">
        <v>0</v>
      </c>
      <c r="CL173" s="228">
        <v>0</v>
      </c>
      <c r="CM173" s="228">
        <v>0</v>
      </c>
      <c r="CN173" s="229">
        <v>0.33329999999999999</v>
      </c>
      <c r="CO173" s="228">
        <v>638</v>
      </c>
      <c r="CP173" s="228">
        <v>557</v>
      </c>
      <c r="CQ173" s="228">
        <v>81</v>
      </c>
      <c r="CR173" s="229">
        <v>0.1454</v>
      </c>
      <c r="CS173" s="228">
        <v>472</v>
      </c>
      <c r="CT173" s="228">
        <v>437</v>
      </c>
      <c r="CU173" s="228">
        <v>35</v>
      </c>
      <c r="CV173" s="229">
        <v>7.9600000000000004E-2</v>
      </c>
      <c r="CW173" s="230">
        <v>3291</v>
      </c>
      <c r="CX173" s="230">
        <v>3116</v>
      </c>
      <c r="CY173" s="228">
        <v>175</v>
      </c>
      <c r="CZ173" s="229">
        <v>5.6300000000000003E-2</v>
      </c>
      <c r="DA173" s="228">
        <v>36.35</v>
      </c>
      <c r="DB173" s="228">
        <v>32.72</v>
      </c>
      <c r="DC173" s="228">
        <v>3.63</v>
      </c>
      <c r="DD173" s="228">
        <v>3.63</v>
      </c>
      <c r="DE173" s="228">
        <v>43.59</v>
      </c>
      <c r="DF173" s="228">
        <v>43.63</v>
      </c>
      <c r="DG173" s="228">
        <v>-7.24</v>
      </c>
      <c r="DH173" s="228">
        <v>-0.04</v>
      </c>
      <c r="DI173" s="228">
        <v>36.26</v>
      </c>
      <c r="DJ173" s="228">
        <v>32.869999999999997</v>
      </c>
      <c r="DK173" s="228">
        <v>3.39</v>
      </c>
      <c r="DL173" s="228">
        <v>3.39</v>
      </c>
      <c r="DM173" s="228">
        <v>36.49</v>
      </c>
      <c r="DN173" s="228">
        <v>32.5</v>
      </c>
      <c r="DO173" s="228">
        <v>3.99</v>
      </c>
      <c r="DP173" s="228">
        <v>3.99</v>
      </c>
      <c r="DQ173" s="228">
        <v>0.74</v>
      </c>
      <c r="DR173" s="228">
        <v>0.79</v>
      </c>
      <c r="DS173" s="228">
        <v>-0.05</v>
      </c>
      <c r="DT173" s="229">
        <v>-6.3299999999999995E-2</v>
      </c>
      <c r="DU173" s="228">
        <v>350</v>
      </c>
      <c r="DV173" s="228">
        <v>300</v>
      </c>
      <c r="DW173" s="228">
        <v>0.61</v>
      </c>
      <c r="DX173" s="228">
        <v>0.7</v>
      </c>
      <c r="DY173" s="228">
        <v>-0.09</v>
      </c>
      <c r="DZ173" s="229">
        <v>-0.12859999999999999</v>
      </c>
      <c r="EA173" s="229">
        <v>7.4000000000000003E-3</v>
      </c>
      <c r="EB173" s="230">
        <v>425450</v>
      </c>
      <c r="EC173" s="229">
        <v>7.1000000000000004E-3</v>
      </c>
      <c r="ED173" s="229">
        <v>7.4000000000000003E-3</v>
      </c>
      <c r="EE173" s="228">
        <v>1.9</v>
      </c>
      <c r="EF173" s="229">
        <v>5.5999999999999999E-3</v>
      </c>
      <c r="EG173" s="230">
        <v>2353108</v>
      </c>
      <c r="EH173" s="230">
        <v>2614223</v>
      </c>
      <c r="EI173" s="229">
        <v>-9.9900000000000003E-2</v>
      </c>
      <c r="EJ173" s="229">
        <v>0.33169999999999999</v>
      </c>
      <c r="EK173" s="231">
        <v>1210.97</v>
      </c>
      <c r="EL173" s="228">
        <v>675.19</v>
      </c>
      <c r="EM173" s="228">
        <v>506.97</v>
      </c>
      <c r="EN173" s="228">
        <v>139.87</v>
      </c>
      <c r="EO173" s="231">
        <v>2393.14</v>
      </c>
      <c r="EP173" s="231">
        <v>2328.71</v>
      </c>
      <c r="EQ173" s="228">
        <v>64.430000000000007</v>
      </c>
      <c r="ER173" s="229">
        <v>2.7699999999999999E-2</v>
      </c>
      <c r="ES173" s="228">
        <v>660.41</v>
      </c>
      <c r="ET173" s="228">
        <v>445.49</v>
      </c>
      <c r="EU173" s="231">
        <v>2181.87</v>
      </c>
      <c r="EV173" s="231">
        <v>92573471</v>
      </c>
      <c r="EW173" s="231">
        <v>3287.77</v>
      </c>
      <c r="EX173" s="231">
        <v>3150.68</v>
      </c>
      <c r="EY173" s="228">
        <v>137.09</v>
      </c>
      <c r="EZ173" s="229">
        <v>4.3499999999999997E-2</v>
      </c>
      <c r="FA173" s="229">
        <v>1.07</v>
      </c>
      <c r="FB173" s="227" t="s">
        <v>566</v>
      </c>
      <c r="FC173">
        <f t="shared" si="3"/>
        <v>0</v>
      </c>
    </row>
    <row r="174" spans="1:159" ht="17.25" thickBot="1" x14ac:dyDescent="0.3">
      <c r="A174" s="226">
        <v>46146</v>
      </c>
      <c r="B174" s="227" t="s">
        <v>175</v>
      </c>
      <c r="C174" s="227" t="s">
        <v>280</v>
      </c>
      <c r="D174" s="228">
        <v>1400</v>
      </c>
      <c r="E174" s="228">
        <v>22</v>
      </c>
      <c r="F174" s="228">
        <v>355.6</v>
      </c>
      <c r="G174" s="228">
        <v>355.35</v>
      </c>
      <c r="H174" s="228">
        <v>0.25</v>
      </c>
      <c r="I174" s="229">
        <v>6.9999999999999999E-4</v>
      </c>
      <c r="J174" s="228">
        <v>353.5</v>
      </c>
      <c r="K174" s="228">
        <v>354.3</v>
      </c>
      <c r="L174" s="228">
        <v>-0.8</v>
      </c>
      <c r="M174" s="229">
        <v>-2.3E-3</v>
      </c>
      <c r="N174" s="228">
        <v>355.6</v>
      </c>
      <c r="O174" s="228">
        <v>355.35</v>
      </c>
      <c r="P174" s="228">
        <v>0.25</v>
      </c>
      <c r="Q174" s="229">
        <v>6.9999999999999999E-4</v>
      </c>
      <c r="R174" s="228">
        <v>357.75</v>
      </c>
      <c r="S174" s="228">
        <v>357.75</v>
      </c>
      <c r="T174" s="228">
        <v>0</v>
      </c>
      <c r="U174" s="229">
        <v>0</v>
      </c>
      <c r="V174" s="228">
        <v>360.75</v>
      </c>
      <c r="W174" s="228">
        <v>359.8</v>
      </c>
      <c r="X174" s="228">
        <v>0.95</v>
      </c>
      <c r="Y174" s="229">
        <v>2.5999999999999999E-3</v>
      </c>
      <c r="Z174" s="228">
        <v>2.1</v>
      </c>
      <c r="AA174" s="228">
        <v>1.05</v>
      </c>
      <c r="AB174" s="228">
        <v>1.05</v>
      </c>
      <c r="AC174" s="229">
        <v>5.8999999999999999E-3</v>
      </c>
      <c r="AD174" s="228">
        <v>2.1</v>
      </c>
      <c r="AE174" s="228">
        <v>1.05</v>
      </c>
      <c r="AF174" s="228">
        <v>1.05</v>
      </c>
      <c r="AG174" s="229">
        <v>5.8999999999999999E-3</v>
      </c>
      <c r="AH174" s="228">
        <v>4.25</v>
      </c>
      <c r="AI174" s="228">
        <v>3.45</v>
      </c>
      <c r="AJ174" s="228">
        <v>0.8</v>
      </c>
      <c r="AK174" s="229">
        <v>1.2E-2</v>
      </c>
      <c r="AL174" s="228">
        <v>7.25</v>
      </c>
      <c r="AM174" s="228">
        <v>5.5</v>
      </c>
      <c r="AN174" s="228">
        <v>1.75</v>
      </c>
      <c r="AO174" s="229">
        <v>2.0500000000000001E-2</v>
      </c>
      <c r="AP174" s="228">
        <v>357.89</v>
      </c>
      <c r="AQ174" s="228">
        <v>359.97</v>
      </c>
      <c r="AR174" s="228">
        <v>0</v>
      </c>
      <c r="AS174" s="228">
        <v>176</v>
      </c>
      <c r="AT174" s="228">
        <v>324</v>
      </c>
      <c r="AU174" s="228">
        <v>-148</v>
      </c>
      <c r="AV174" s="229">
        <v>-0.4572</v>
      </c>
      <c r="AW174" s="228">
        <v>154</v>
      </c>
      <c r="AX174" s="228">
        <v>302</v>
      </c>
      <c r="AY174" s="228">
        <v>-147</v>
      </c>
      <c r="AZ174" s="229">
        <v>-0.48799999999999999</v>
      </c>
      <c r="BA174" s="228">
        <v>19</v>
      </c>
      <c r="BB174" s="228">
        <v>19</v>
      </c>
      <c r="BC174" s="228">
        <v>0</v>
      </c>
      <c r="BD174" s="229">
        <v>2.5999999999999999E-3</v>
      </c>
      <c r="BE174" s="228">
        <v>3</v>
      </c>
      <c r="BF174" s="228">
        <v>4</v>
      </c>
      <c r="BG174" s="228">
        <v>-1</v>
      </c>
      <c r="BH174" s="229">
        <v>-0.28949999999999998</v>
      </c>
      <c r="BI174" s="228">
        <v>688</v>
      </c>
      <c r="BJ174" s="230">
        <v>1294</v>
      </c>
      <c r="BK174" s="228">
        <v>-606</v>
      </c>
      <c r="BL174" s="229">
        <v>-0.46839999999999998</v>
      </c>
      <c r="BM174" s="228">
        <v>306</v>
      </c>
      <c r="BN174" s="228">
        <v>724</v>
      </c>
      <c r="BO174" s="228">
        <v>-418</v>
      </c>
      <c r="BP174" s="229">
        <v>-0.57789999999999997</v>
      </c>
      <c r="BQ174" s="230">
        <v>1170</v>
      </c>
      <c r="BR174" s="230">
        <v>2343</v>
      </c>
      <c r="BS174" s="230">
        <v>-1173</v>
      </c>
      <c r="BT174" s="229">
        <v>-0.50070000000000003</v>
      </c>
      <c r="BU174" s="230">
        <v>5326084</v>
      </c>
      <c r="BV174" s="230">
        <v>9606915</v>
      </c>
      <c r="BW174" s="230">
        <v>-4280831</v>
      </c>
      <c r="BX174" s="229">
        <v>-0.4456</v>
      </c>
      <c r="BY174" s="230">
        <v>2358</v>
      </c>
      <c r="BZ174" s="230">
        <v>2340</v>
      </c>
      <c r="CA174" s="228">
        <v>18</v>
      </c>
      <c r="CB174" s="229">
        <v>7.6E-3</v>
      </c>
      <c r="CC174" s="230">
        <v>2223</v>
      </c>
      <c r="CD174" s="230">
        <v>2211</v>
      </c>
      <c r="CE174" s="228">
        <v>12</v>
      </c>
      <c r="CF174" s="229">
        <v>5.4999999999999997E-3</v>
      </c>
      <c r="CG174" s="228">
        <v>128</v>
      </c>
      <c r="CH174" s="228">
        <v>125</v>
      </c>
      <c r="CI174" s="228">
        <v>3</v>
      </c>
      <c r="CJ174" s="229">
        <v>2.6700000000000002E-2</v>
      </c>
      <c r="CK174" s="228">
        <v>7</v>
      </c>
      <c r="CL174" s="228">
        <v>5</v>
      </c>
      <c r="CM174" s="228">
        <v>2</v>
      </c>
      <c r="CN174" s="229">
        <v>0.4824</v>
      </c>
      <c r="CO174" s="228">
        <v>951</v>
      </c>
      <c r="CP174" s="228">
        <v>877</v>
      </c>
      <c r="CQ174" s="228">
        <v>74</v>
      </c>
      <c r="CR174" s="229">
        <v>8.4900000000000003E-2</v>
      </c>
      <c r="CS174" s="228">
        <v>564</v>
      </c>
      <c r="CT174" s="228">
        <v>542</v>
      </c>
      <c r="CU174" s="228">
        <v>22</v>
      </c>
      <c r="CV174" s="229">
        <v>4.0800000000000003E-2</v>
      </c>
      <c r="CW174" s="230">
        <v>3874</v>
      </c>
      <c r="CX174" s="230">
        <v>3759</v>
      </c>
      <c r="CY174" s="228">
        <v>114</v>
      </c>
      <c r="CZ174" s="229">
        <v>3.04E-2</v>
      </c>
      <c r="DA174" s="228">
        <v>33.07</v>
      </c>
      <c r="DB174" s="228">
        <v>32.35</v>
      </c>
      <c r="DC174" s="228">
        <v>0.72</v>
      </c>
      <c r="DD174" s="228">
        <v>0.72</v>
      </c>
      <c r="DE174" s="228">
        <v>42.33</v>
      </c>
      <c r="DF174" s="228">
        <v>42.44</v>
      </c>
      <c r="DG174" s="228">
        <v>-9.26</v>
      </c>
      <c r="DH174" s="228">
        <v>-0.11</v>
      </c>
      <c r="DI174" s="228">
        <v>33.5</v>
      </c>
      <c r="DJ174" s="228">
        <v>32.93</v>
      </c>
      <c r="DK174" s="228">
        <v>0.56999999999999995</v>
      </c>
      <c r="DL174" s="228">
        <v>0.56999999999999995</v>
      </c>
      <c r="DM174" s="228">
        <v>32.08</v>
      </c>
      <c r="DN174" s="228">
        <v>31.31</v>
      </c>
      <c r="DO174" s="228">
        <v>0.77</v>
      </c>
      <c r="DP174" s="228">
        <v>0.77</v>
      </c>
      <c r="DQ174" s="228">
        <v>0.59</v>
      </c>
      <c r="DR174" s="228">
        <v>0.62</v>
      </c>
      <c r="DS174" s="228">
        <v>-0.03</v>
      </c>
      <c r="DT174" s="229">
        <v>-4.8399999999999999E-2</v>
      </c>
      <c r="DU174" s="228">
        <v>400</v>
      </c>
      <c r="DV174" s="228">
        <v>360</v>
      </c>
      <c r="DW174" s="228">
        <v>0.44</v>
      </c>
      <c r="DX174" s="228">
        <v>0.56000000000000005</v>
      </c>
      <c r="DY174" s="228">
        <v>-0.12</v>
      </c>
      <c r="DZ174" s="229">
        <v>-0.21429999999999999</v>
      </c>
      <c r="EA174" s="229">
        <v>5.74E-2</v>
      </c>
      <c r="EB174" s="230">
        <v>3645075</v>
      </c>
      <c r="EC174" s="229">
        <v>6.0000000000000001E-3</v>
      </c>
      <c r="ED174" s="229">
        <v>5.74E-2</v>
      </c>
      <c r="EE174" s="228">
        <v>2.08</v>
      </c>
      <c r="EF174" s="229">
        <v>5.7999999999999996E-3</v>
      </c>
      <c r="EG174" s="230">
        <v>2497901</v>
      </c>
      <c r="EH174" s="230">
        <v>4374703</v>
      </c>
      <c r="EI174" s="229">
        <v>-0.42899999999999999</v>
      </c>
      <c r="EJ174" s="229">
        <v>0.46899999999999997</v>
      </c>
      <c r="EK174" s="228">
        <v>744.05</v>
      </c>
      <c r="EL174" s="228">
        <v>304.35000000000002</v>
      </c>
      <c r="EM174" s="228">
        <v>177.65</v>
      </c>
      <c r="EN174" s="228">
        <v>204.67</v>
      </c>
      <c r="EO174" s="231">
        <v>1226.05</v>
      </c>
      <c r="EP174" s="231">
        <v>2454.5700000000002</v>
      </c>
      <c r="EQ174" s="231">
        <v>-1228.52</v>
      </c>
      <c r="ER174" s="229">
        <v>-0.50049999999999994</v>
      </c>
      <c r="ES174" s="231">
        <v>1033.93</v>
      </c>
      <c r="ET174" s="228">
        <v>565.80999999999995</v>
      </c>
      <c r="EU174" s="231">
        <v>2359.1799999999998</v>
      </c>
      <c r="EV174" s="231">
        <v>187084550</v>
      </c>
      <c r="EW174" s="231">
        <v>3958.93</v>
      </c>
      <c r="EX174" s="231">
        <v>3839.09</v>
      </c>
      <c r="EY174" s="228">
        <v>119.84</v>
      </c>
      <c r="EZ174" s="229">
        <v>3.1199999999999999E-2</v>
      </c>
      <c r="FA174" s="229">
        <v>0.58230000000000004</v>
      </c>
      <c r="FB174" s="227" t="s">
        <v>555</v>
      </c>
      <c r="FC174">
        <f t="shared" si="3"/>
        <v>0</v>
      </c>
    </row>
    <row r="175" spans="1:159" ht="17.25" thickBot="1" x14ac:dyDescent="0.3">
      <c r="A175" s="226">
        <v>46146</v>
      </c>
      <c r="B175" s="227" t="s">
        <v>193</v>
      </c>
      <c r="C175" s="227" t="s">
        <v>281</v>
      </c>
      <c r="D175" s="228">
        <v>500</v>
      </c>
      <c r="E175" s="228">
        <v>22</v>
      </c>
      <c r="F175" s="231">
        <v>1467</v>
      </c>
      <c r="G175" s="231">
        <v>1435.2</v>
      </c>
      <c r="H175" s="228">
        <v>31.8</v>
      </c>
      <c r="I175" s="229">
        <v>2.2200000000000001E-2</v>
      </c>
      <c r="J175" s="231">
        <v>1463.1</v>
      </c>
      <c r="K175" s="231">
        <v>1430.8</v>
      </c>
      <c r="L175" s="228">
        <v>32.299999999999997</v>
      </c>
      <c r="M175" s="229">
        <v>2.2599999999999999E-2</v>
      </c>
      <c r="N175" s="231">
        <v>1467</v>
      </c>
      <c r="O175" s="231">
        <v>1435.2</v>
      </c>
      <c r="P175" s="228">
        <v>31.8</v>
      </c>
      <c r="Q175" s="229">
        <v>2.2200000000000001E-2</v>
      </c>
      <c r="R175" s="231">
        <v>1476.3</v>
      </c>
      <c r="S175" s="231">
        <v>1444</v>
      </c>
      <c r="T175" s="228">
        <v>32.299999999999997</v>
      </c>
      <c r="U175" s="229">
        <v>2.24E-2</v>
      </c>
      <c r="V175" s="231">
        <v>1483.7</v>
      </c>
      <c r="W175" s="231">
        <v>1451.9</v>
      </c>
      <c r="X175" s="228">
        <v>31.8</v>
      </c>
      <c r="Y175" s="229">
        <v>2.1899999999999999E-2</v>
      </c>
      <c r="Z175" s="228">
        <v>3.9</v>
      </c>
      <c r="AA175" s="228">
        <v>4.4000000000000004</v>
      </c>
      <c r="AB175" s="228">
        <v>-0.5</v>
      </c>
      <c r="AC175" s="229">
        <v>2.7000000000000001E-3</v>
      </c>
      <c r="AD175" s="228">
        <v>3.9</v>
      </c>
      <c r="AE175" s="228">
        <v>4.4000000000000004</v>
      </c>
      <c r="AF175" s="228">
        <v>-0.5</v>
      </c>
      <c r="AG175" s="229">
        <v>2.7000000000000001E-3</v>
      </c>
      <c r="AH175" s="228">
        <v>13.2</v>
      </c>
      <c r="AI175" s="228">
        <v>13.2</v>
      </c>
      <c r="AJ175" s="228">
        <v>0</v>
      </c>
      <c r="AK175" s="229">
        <v>8.9999999999999993E-3</v>
      </c>
      <c r="AL175" s="228">
        <v>20.6</v>
      </c>
      <c r="AM175" s="228">
        <v>21.1</v>
      </c>
      <c r="AN175" s="228">
        <v>-0.5</v>
      </c>
      <c r="AO175" s="229">
        <v>1.41E-2</v>
      </c>
      <c r="AP175" s="231">
        <v>1457.18</v>
      </c>
      <c r="AQ175" s="231">
        <v>1465.24</v>
      </c>
      <c r="AR175" s="228">
        <v>0</v>
      </c>
      <c r="AS175" s="230">
        <v>2665</v>
      </c>
      <c r="AT175" s="230">
        <v>2528</v>
      </c>
      <c r="AU175" s="228">
        <v>137</v>
      </c>
      <c r="AV175" s="229">
        <v>5.3999999999999999E-2</v>
      </c>
      <c r="AW175" s="230">
        <v>2419</v>
      </c>
      <c r="AX175" s="230">
        <v>2340</v>
      </c>
      <c r="AY175" s="228">
        <v>79</v>
      </c>
      <c r="AZ175" s="229">
        <v>3.3799999999999997E-2</v>
      </c>
      <c r="BA175" s="228">
        <v>219</v>
      </c>
      <c r="BB175" s="228">
        <v>158</v>
      </c>
      <c r="BC175" s="228">
        <v>61</v>
      </c>
      <c r="BD175" s="229">
        <v>0.38669999999999999</v>
      </c>
      <c r="BE175" s="228">
        <v>27</v>
      </c>
      <c r="BF175" s="228">
        <v>30</v>
      </c>
      <c r="BG175" s="228">
        <v>-3</v>
      </c>
      <c r="BH175" s="229">
        <v>-0.1108</v>
      </c>
      <c r="BI175" s="230">
        <v>13906</v>
      </c>
      <c r="BJ175" s="230">
        <v>12077</v>
      </c>
      <c r="BK175" s="230">
        <v>1828</v>
      </c>
      <c r="BL175" s="229">
        <v>0.15140000000000001</v>
      </c>
      <c r="BM175" s="230">
        <v>9168</v>
      </c>
      <c r="BN175" s="230">
        <v>8177</v>
      </c>
      <c r="BO175" s="228">
        <v>991</v>
      </c>
      <c r="BP175" s="229">
        <v>0.1211</v>
      </c>
      <c r="BQ175" s="230">
        <v>25739</v>
      </c>
      <c r="BR175" s="230">
        <v>22783</v>
      </c>
      <c r="BS175" s="230">
        <v>2956</v>
      </c>
      <c r="BT175" s="229">
        <v>0.12970000000000001</v>
      </c>
      <c r="BU175" s="230">
        <v>26893422</v>
      </c>
      <c r="BV175" s="230">
        <v>35699233</v>
      </c>
      <c r="BW175" s="230">
        <v>-8805811</v>
      </c>
      <c r="BX175" s="229">
        <v>-0.2467</v>
      </c>
      <c r="BY175" s="230">
        <v>14500</v>
      </c>
      <c r="BZ175" s="230">
        <v>14780</v>
      </c>
      <c r="CA175" s="228">
        <v>-280</v>
      </c>
      <c r="CB175" s="229">
        <v>-1.9E-2</v>
      </c>
      <c r="CC175" s="230">
        <v>11696</v>
      </c>
      <c r="CD175" s="230">
        <v>12068</v>
      </c>
      <c r="CE175" s="228">
        <v>-372</v>
      </c>
      <c r="CF175" s="229">
        <v>-3.09E-2</v>
      </c>
      <c r="CG175" s="230">
        <v>2765</v>
      </c>
      <c r="CH175" s="230">
        <v>2681</v>
      </c>
      <c r="CI175" s="228">
        <v>84</v>
      </c>
      <c r="CJ175" s="229">
        <v>3.15E-2</v>
      </c>
      <c r="CK175" s="228">
        <v>39</v>
      </c>
      <c r="CL175" s="228">
        <v>31</v>
      </c>
      <c r="CM175" s="228">
        <v>8</v>
      </c>
      <c r="CN175" s="229">
        <v>0.24410000000000001</v>
      </c>
      <c r="CO175" s="230">
        <v>5981</v>
      </c>
      <c r="CP175" s="230">
        <v>5929</v>
      </c>
      <c r="CQ175" s="228">
        <v>52</v>
      </c>
      <c r="CR175" s="229">
        <v>8.8000000000000005E-3</v>
      </c>
      <c r="CS175" s="230">
        <v>5492</v>
      </c>
      <c r="CT175" s="230">
        <v>5062</v>
      </c>
      <c r="CU175" s="228">
        <v>430</v>
      </c>
      <c r="CV175" s="229">
        <v>8.4900000000000003E-2</v>
      </c>
      <c r="CW175" s="230">
        <v>25973</v>
      </c>
      <c r="CX175" s="230">
        <v>25771</v>
      </c>
      <c r="CY175" s="228">
        <v>202</v>
      </c>
      <c r="CZ175" s="229">
        <v>7.7999999999999996E-3</v>
      </c>
      <c r="DA175" s="228">
        <v>21.84</v>
      </c>
      <c r="DB175" s="228">
        <v>21.93</v>
      </c>
      <c r="DC175" s="228">
        <v>-0.09</v>
      </c>
      <c r="DD175" s="228">
        <v>-0.09</v>
      </c>
      <c r="DE175" s="228">
        <v>26.73</v>
      </c>
      <c r="DF175" s="228">
        <v>26.63</v>
      </c>
      <c r="DG175" s="228">
        <v>-4.8899999999999997</v>
      </c>
      <c r="DH175" s="228">
        <v>0.1</v>
      </c>
      <c r="DI175" s="228">
        <v>20.190000000000001</v>
      </c>
      <c r="DJ175" s="228">
        <v>20.73</v>
      </c>
      <c r="DK175" s="228">
        <v>-0.54</v>
      </c>
      <c r="DL175" s="228">
        <v>-0.54</v>
      </c>
      <c r="DM175" s="228">
        <v>24.35</v>
      </c>
      <c r="DN175" s="228">
        <v>23.7</v>
      </c>
      <c r="DO175" s="228">
        <v>0.65</v>
      </c>
      <c r="DP175" s="228">
        <v>0.65</v>
      </c>
      <c r="DQ175" s="228">
        <v>0.92</v>
      </c>
      <c r="DR175" s="228">
        <v>0.85</v>
      </c>
      <c r="DS175" s="228">
        <v>7.0000000000000007E-2</v>
      </c>
      <c r="DT175" s="229">
        <v>8.2400000000000001E-2</v>
      </c>
      <c r="DU175" s="231">
        <v>1500</v>
      </c>
      <c r="DV175" s="231">
        <v>1400</v>
      </c>
      <c r="DW175" s="228">
        <v>0.66</v>
      </c>
      <c r="DX175" s="228">
        <v>0.68</v>
      </c>
      <c r="DY175" s="228">
        <v>-0.02</v>
      </c>
      <c r="DZ175" s="229">
        <v>-2.9399999999999999E-2</v>
      </c>
      <c r="EA175" s="229">
        <v>0.19339999999999999</v>
      </c>
      <c r="EB175" s="230">
        <v>18485000</v>
      </c>
      <c r="EC175" s="229">
        <v>6.3E-3</v>
      </c>
      <c r="ED175" s="229">
        <v>0.19339999999999999</v>
      </c>
      <c r="EE175" s="228">
        <v>8.06</v>
      </c>
      <c r="EF175" s="229">
        <v>5.4999999999999997E-3</v>
      </c>
      <c r="EG175" s="230">
        <v>18837998</v>
      </c>
      <c r="EH175" s="230">
        <v>19090599</v>
      </c>
      <c r="EI175" s="229">
        <v>-1.32E-2</v>
      </c>
      <c r="EJ175" s="229">
        <v>0.70050000000000001</v>
      </c>
      <c r="EK175" s="231">
        <v>14308.91</v>
      </c>
      <c r="EL175" s="231">
        <v>8845.7800000000007</v>
      </c>
      <c r="EM175" s="231">
        <v>2648.59</v>
      </c>
      <c r="EN175" s="228">
        <v>826.01</v>
      </c>
      <c r="EO175" s="231">
        <v>25803.29</v>
      </c>
      <c r="EP175" s="231">
        <v>22422.799999999999</v>
      </c>
      <c r="EQ175" s="231">
        <v>3380.49</v>
      </c>
      <c r="ER175" s="229">
        <v>0.15079999999999999</v>
      </c>
      <c r="ES175" s="231">
        <v>5994.61</v>
      </c>
      <c r="ET175" s="231">
        <v>5130.3100000000004</v>
      </c>
      <c r="EU175" s="231">
        <v>14517.73</v>
      </c>
      <c r="EV175" s="231">
        <v>664381721</v>
      </c>
      <c r="EW175" s="231">
        <v>25642.65</v>
      </c>
      <c r="EX175" s="231">
        <v>25035.67</v>
      </c>
      <c r="EY175" s="228">
        <v>606.98</v>
      </c>
      <c r="EZ175" s="229">
        <v>2.4199999999999999E-2</v>
      </c>
      <c r="FA175" s="229">
        <v>0.26650000000000001</v>
      </c>
      <c r="FB175" s="227" t="s">
        <v>691</v>
      </c>
      <c r="FC175">
        <f t="shared" si="3"/>
        <v>0</v>
      </c>
    </row>
    <row r="176" spans="1:159" ht="17.25" thickBot="1" x14ac:dyDescent="0.3">
      <c r="A176" s="226">
        <v>46146</v>
      </c>
      <c r="B176" s="227" t="s">
        <v>215</v>
      </c>
      <c r="C176" s="227" t="s">
        <v>672</v>
      </c>
      <c r="D176" s="228">
        <v>1525</v>
      </c>
      <c r="E176" s="228">
        <v>22</v>
      </c>
      <c r="F176" s="228">
        <v>293.3</v>
      </c>
      <c r="G176" s="228">
        <v>297.16000000000003</v>
      </c>
      <c r="H176" s="228">
        <v>-3.86</v>
      </c>
      <c r="I176" s="229">
        <v>-1.2999999999999999E-2</v>
      </c>
      <c r="J176" s="228">
        <v>296.64999999999998</v>
      </c>
      <c r="K176" s="228">
        <v>297.64999999999998</v>
      </c>
      <c r="L176" s="228">
        <v>-1</v>
      </c>
      <c r="M176" s="229">
        <v>-3.3999999999999998E-3</v>
      </c>
      <c r="N176" s="228">
        <v>293.3</v>
      </c>
      <c r="O176" s="228">
        <v>297.16000000000003</v>
      </c>
      <c r="P176" s="228">
        <v>-3.86</v>
      </c>
      <c r="Q176" s="229">
        <v>-1.2999999999999999E-2</v>
      </c>
      <c r="R176" s="228">
        <v>283.10000000000002</v>
      </c>
      <c r="S176" s="228">
        <v>287.39999999999998</v>
      </c>
      <c r="T176" s="228">
        <v>-4.3</v>
      </c>
      <c r="U176" s="229">
        <v>-1.4999999999999999E-2</v>
      </c>
      <c r="V176" s="228">
        <v>278.14999999999998</v>
      </c>
      <c r="W176" s="228">
        <v>282.14</v>
      </c>
      <c r="X176" s="228">
        <v>-3.99</v>
      </c>
      <c r="Y176" s="229">
        <v>-1.41E-2</v>
      </c>
      <c r="Z176" s="228">
        <v>-3.35</v>
      </c>
      <c r="AA176" s="228">
        <v>-0.49</v>
      </c>
      <c r="AB176" s="228">
        <v>-2.86</v>
      </c>
      <c r="AC176" s="229">
        <v>-1.1299999999999999E-2</v>
      </c>
      <c r="AD176" s="228">
        <v>-3.35</v>
      </c>
      <c r="AE176" s="228">
        <v>-0.49</v>
      </c>
      <c r="AF176" s="228">
        <v>-2.86</v>
      </c>
      <c r="AG176" s="229">
        <v>-1.1299999999999999E-2</v>
      </c>
      <c r="AH176" s="228">
        <v>-13.55</v>
      </c>
      <c r="AI176" s="228">
        <v>-10.25</v>
      </c>
      <c r="AJ176" s="228">
        <v>-3.3</v>
      </c>
      <c r="AK176" s="229">
        <v>-4.5699999999999998E-2</v>
      </c>
      <c r="AL176" s="228">
        <v>-18.5</v>
      </c>
      <c r="AM176" s="228">
        <v>-15.51</v>
      </c>
      <c r="AN176" s="228">
        <v>-2.99</v>
      </c>
      <c r="AO176" s="229">
        <v>-6.2399999999999997E-2</v>
      </c>
      <c r="AP176" s="228">
        <v>295.29000000000002</v>
      </c>
      <c r="AQ176" s="228">
        <v>286.51</v>
      </c>
      <c r="AR176" s="228">
        <v>0</v>
      </c>
      <c r="AS176" s="228">
        <v>327</v>
      </c>
      <c r="AT176" s="228">
        <v>185</v>
      </c>
      <c r="AU176" s="228">
        <v>142</v>
      </c>
      <c r="AV176" s="229">
        <v>0.77029999999999998</v>
      </c>
      <c r="AW176" s="228">
        <v>240</v>
      </c>
      <c r="AX176" s="228">
        <v>136</v>
      </c>
      <c r="AY176" s="228">
        <v>104</v>
      </c>
      <c r="AZ176" s="229">
        <v>0.76390000000000002</v>
      </c>
      <c r="BA176" s="228">
        <v>73</v>
      </c>
      <c r="BB176" s="228">
        <v>36</v>
      </c>
      <c r="BC176" s="228">
        <v>38</v>
      </c>
      <c r="BD176" s="229">
        <v>1.0579000000000001</v>
      </c>
      <c r="BE176" s="228">
        <v>14</v>
      </c>
      <c r="BF176" s="228">
        <v>13</v>
      </c>
      <c r="BG176" s="228">
        <v>1</v>
      </c>
      <c r="BH176" s="229">
        <v>7.3300000000000004E-2</v>
      </c>
      <c r="BI176" s="228">
        <v>403</v>
      </c>
      <c r="BJ176" s="228">
        <v>219</v>
      </c>
      <c r="BK176" s="228">
        <v>184</v>
      </c>
      <c r="BL176" s="229">
        <v>0.84319999999999995</v>
      </c>
      <c r="BM176" s="228">
        <v>151</v>
      </c>
      <c r="BN176" s="228">
        <v>105</v>
      </c>
      <c r="BO176" s="228">
        <v>46</v>
      </c>
      <c r="BP176" s="229">
        <v>0.43969999999999998</v>
      </c>
      <c r="BQ176" s="228">
        <v>880</v>
      </c>
      <c r="BR176" s="228">
        <v>508</v>
      </c>
      <c r="BS176" s="228">
        <v>373</v>
      </c>
      <c r="BT176" s="229">
        <v>0.73360000000000003</v>
      </c>
      <c r="BU176" s="230">
        <v>5544034</v>
      </c>
      <c r="BV176" s="230">
        <v>6126484</v>
      </c>
      <c r="BW176" s="230">
        <v>-582450</v>
      </c>
      <c r="BX176" s="229">
        <v>-9.5100000000000004E-2</v>
      </c>
      <c r="BY176" s="230">
        <v>1582</v>
      </c>
      <c r="BZ176" s="230">
        <v>1452</v>
      </c>
      <c r="CA176" s="228">
        <v>129</v>
      </c>
      <c r="CB176" s="229">
        <v>8.9200000000000002E-2</v>
      </c>
      <c r="CC176" s="230">
        <v>1408</v>
      </c>
      <c r="CD176" s="230">
        <v>1321</v>
      </c>
      <c r="CE176" s="228">
        <v>88</v>
      </c>
      <c r="CF176" s="229">
        <v>6.6400000000000001E-2</v>
      </c>
      <c r="CG176" s="228">
        <v>123</v>
      </c>
      <c r="CH176" s="228">
        <v>97</v>
      </c>
      <c r="CI176" s="228">
        <v>25</v>
      </c>
      <c r="CJ176" s="229">
        <v>0.2611</v>
      </c>
      <c r="CK176" s="228">
        <v>51</v>
      </c>
      <c r="CL176" s="228">
        <v>34</v>
      </c>
      <c r="CM176" s="228">
        <v>16</v>
      </c>
      <c r="CN176" s="229">
        <v>0.4778</v>
      </c>
      <c r="CO176" s="228">
        <v>377</v>
      </c>
      <c r="CP176" s="228">
        <v>314</v>
      </c>
      <c r="CQ176" s="228">
        <v>62</v>
      </c>
      <c r="CR176" s="229">
        <v>0.1986</v>
      </c>
      <c r="CS176" s="228">
        <v>230</v>
      </c>
      <c r="CT176" s="228">
        <v>216</v>
      </c>
      <c r="CU176" s="228">
        <v>14</v>
      </c>
      <c r="CV176" s="229">
        <v>6.5000000000000002E-2</v>
      </c>
      <c r="CW176" s="230">
        <v>2189</v>
      </c>
      <c r="CX176" s="230">
        <v>1983</v>
      </c>
      <c r="CY176" s="228">
        <v>206</v>
      </c>
      <c r="CZ176" s="229">
        <v>0.10390000000000001</v>
      </c>
      <c r="DA176" s="228">
        <v>46.87</v>
      </c>
      <c r="DB176" s="228">
        <v>46.63</v>
      </c>
      <c r="DC176" s="228">
        <v>0.24</v>
      </c>
      <c r="DD176" s="228">
        <v>0.24</v>
      </c>
      <c r="DE176" s="228">
        <v>57.41</v>
      </c>
      <c r="DF176" s="228">
        <v>57.52</v>
      </c>
      <c r="DG176" s="228">
        <v>-10.54</v>
      </c>
      <c r="DH176" s="228">
        <v>-0.11</v>
      </c>
      <c r="DI176" s="228">
        <v>47.32</v>
      </c>
      <c r="DJ176" s="228">
        <v>46.68</v>
      </c>
      <c r="DK176" s="228">
        <v>0.64</v>
      </c>
      <c r="DL176" s="228">
        <v>0.64</v>
      </c>
      <c r="DM176" s="228">
        <v>45.65</v>
      </c>
      <c r="DN176" s="228">
        <v>46.52</v>
      </c>
      <c r="DO176" s="228">
        <v>-0.87</v>
      </c>
      <c r="DP176" s="228">
        <v>-0.87</v>
      </c>
      <c r="DQ176" s="228">
        <v>0.61</v>
      </c>
      <c r="DR176" s="228">
        <v>0.69</v>
      </c>
      <c r="DS176" s="228">
        <v>-0.08</v>
      </c>
      <c r="DT176" s="229">
        <v>-0.1159</v>
      </c>
      <c r="DU176" s="228">
        <v>350</v>
      </c>
      <c r="DV176" s="228">
        <v>290</v>
      </c>
      <c r="DW176" s="228">
        <v>0.37</v>
      </c>
      <c r="DX176" s="228">
        <v>0.48</v>
      </c>
      <c r="DY176" s="228">
        <v>-0.11</v>
      </c>
      <c r="DZ176" s="229">
        <v>-0.22919999999999999</v>
      </c>
      <c r="EA176" s="229">
        <v>0.10970000000000001</v>
      </c>
      <c r="EB176" s="230">
        <v>4491450</v>
      </c>
      <c r="EC176" s="229">
        <v>-3.4799999999999998E-2</v>
      </c>
      <c r="ED176" s="229">
        <v>0.10970000000000001</v>
      </c>
      <c r="EE176" s="228">
        <v>-8.7799999999999994</v>
      </c>
      <c r="EF176" s="229">
        <v>-2.9700000000000001E-2</v>
      </c>
      <c r="EG176" s="230">
        <v>1223390</v>
      </c>
      <c r="EH176" s="230">
        <v>1843425</v>
      </c>
      <c r="EI176" s="229">
        <v>-0.33629999999999999</v>
      </c>
      <c r="EJ176" s="229">
        <v>0.22070000000000001</v>
      </c>
      <c r="EK176" s="228">
        <v>442.84</v>
      </c>
      <c r="EL176" s="228">
        <v>153.31</v>
      </c>
      <c r="EM176" s="228">
        <v>329.99</v>
      </c>
      <c r="EN176" s="228">
        <v>106.73</v>
      </c>
      <c r="EO176" s="228">
        <v>926.15</v>
      </c>
      <c r="EP176" s="228">
        <v>529.37</v>
      </c>
      <c r="EQ176" s="228">
        <v>396.77</v>
      </c>
      <c r="ER176" s="229">
        <v>0.74950000000000006</v>
      </c>
      <c r="ES176" s="228">
        <v>402.4</v>
      </c>
      <c r="ET176" s="228">
        <v>227.61</v>
      </c>
      <c r="EU176" s="231">
        <v>1574.85</v>
      </c>
      <c r="EV176" s="231">
        <v>84941460</v>
      </c>
      <c r="EW176" s="231">
        <v>2204.85</v>
      </c>
      <c r="EX176" s="231">
        <v>2016.33</v>
      </c>
      <c r="EY176" s="228">
        <v>188.52</v>
      </c>
      <c r="EZ176" s="229">
        <v>9.35E-2</v>
      </c>
      <c r="FA176" s="229">
        <v>0.87860000000000005</v>
      </c>
      <c r="FB176" s="227" t="s">
        <v>566</v>
      </c>
      <c r="FC176">
        <f t="shared" si="3"/>
        <v>0</v>
      </c>
    </row>
    <row r="177" spans="1:159" ht="17.25" thickBot="1" x14ac:dyDescent="0.3">
      <c r="A177" s="226">
        <v>46146</v>
      </c>
      <c r="B177" s="227" t="s">
        <v>227</v>
      </c>
      <c r="C177" s="227" t="s">
        <v>282</v>
      </c>
      <c r="D177" s="228">
        <v>4700</v>
      </c>
      <c r="E177" s="228">
        <v>22</v>
      </c>
      <c r="F177" s="228">
        <v>187.43</v>
      </c>
      <c r="G177" s="228">
        <v>185.83</v>
      </c>
      <c r="H177" s="228">
        <v>1.6</v>
      </c>
      <c r="I177" s="229">
        <v>8.6E-3</v>
      </c>
      <c r="J177" s="228">
        <v>186.15</v>
      </c>
      <c r="K177" s="228">
        <v>184.62</v>
      </c>
      <c r="L177" s="228">
        <v>1.53</v>
      </c>
      <c r="M177" s="229">
        <v>8.3000000000000001E-3</v>
      </c>
      <c r="N177" s="228">
        <v>187.43</v>
      </c>
      <c r="O177" s="228">
        <v>185.83</v>
      </c>
      <c r="P177" s="228">
        <v>1.6</v>
      </c>
      <c r="Q177" s="229">
        <v>8.6E-3</v>
      </c>
      <c r="R177" s="228">
        <v>188.63</v>
      </c>
      <c r="S177" s="228">
        <v>187.01</v>
      </c>
      <c r="T177" s="228">
        <v>1.62</v>
      </c>
      <c r="U177" s="229">
        <v>8.6999999999999994E-3</v>
      </c>
      <c r="V177" s="228">
        <v>189.87</v>
      </c>
      <c r="W177" s="228">
        <v>188.12</v>
      </c>
      <c r="X177" s="228">
        <v>1.75</v>
      </c>
      <c r="Y177" s="229">
        <v>9.2999999999999992E-3</v>
      </c>
      <c r="Z177" s="228">
        <v>1.28</v>
      </c>
      <c r="AA177" s="228">
        <v>1.21</v>
      </c>
      <c r="AB177" s="228">
        <v>7.0000000000000007E-2</v>
      </c>
      <c r="AC177" s="229">
        <v>6.8999999999999999E-3</v>
      </c>
      <c r="AD177" s="228">
        <v>1.28</v>
      </c>
      <c r="AE177" s="228">
        <v>1.21</v>
      </c>
      <c r="AF177" s="228">
        <v>7.0000000000000007E-2</v>
      </c>
      <c r="AG177" s="229">
        <v>6.8999999999999999E-3</v>
      </c>
      <c r="AH177" s="228">
        <v>2.48</v>
      </c>
      <c r="AI177" s="228">
        <v>2.39</v>
      </c>
      <c r="AJ177" s="228">
        <v>0.09</v>
      </c>
      <c r="AK177" s="229">
        <v>1.3299999999999999E-2</v>
      </c>
      <c r="AL177" s="228">
        <v>3.72</v>
      </c>
      <c r="AM177" s="228">
        <v>3.5</v>
      </c>
      <c r="AN177" s="228">
        <v>0.22</v>
      </c>
      <c r="AO177" s="229">
        <v>0.02</v>
      </c>
      <c r="AP177" s="228">
        <v>187.23</v>
      </c>
      <c r="AQ177" s="228">
        <v>188.42</v>
      </c>
      <c r="AR177" s="228">
        <v>0</v>
      </c>
      <c r="AS177" s="228">
        <v>298</v>
      </c>
      <c r="AT177" s="228">
        <v>666</v>
      </c>
      <c r="AU177" s="228">
        <v>-368</v>
      </c>
      <c r="AV177" s="229">
        <v>-0.55200000000000005</v>
      </c>
      <c r="AW177" s="228">
        <v>267</v>
      </c>
      <c r="AX177" s="228">
        <v>623</v>
      </c>
      <c r="AY177" s="228">
        <v>-356</v>
      </c>
      <c r="AZ177" s="229">
        <v>-0.57169999999999999</v>
      </c>
      <c r="BA177" s="228">
        <v>27</v>
      </c>
      <c r="BB177" s="228">
        <v>39</v>
      </c>
      <c r="BC177" s="228">
        <v>-12</v>
      </c>
      <c r="BD177" s="229">
        <v>-0.31240000000000001</v>
      </c>
      <c r="BE177" s="228">
        <v>5</v>
      </c>
      <c r="BF177" s="228">
        <v>4</v>
      </c>
      <c r="BG177" s="228">
        <v>1</v>
      </c>
      <c r="BH177" s="229">
        <v>0.1522</v>
      </c>
      <c r="BI177" s="228">
        <v>167</v>
      </c>
      <c r="BJ177" s="228">
        <v>262</v>
      </c>
      <c r="BK177" s="228">
        <v>-95</v>
      </c>
      <c r="BL177" s="229">
        <v>-0.3619</v>
      </c>
      <c r="BM177" s="228">
        <v>119</v>
      </c>
      <c r="BN177" s="228">
        <v>136</v>
      </c>
      <c r="BO177" s="228">
        <v>-18</v>
      </c>
      <c r="BP177" s="229">
        <v>-0.1288</v>
      </c>
      <c r="BQ177" s="228">
        <v>584</v>
      </c>
      <c r="BR177" s="230">
        <v>1065</v>
      </c>
      <c r="BS177" s="228">
        <v>-480</v>
      </c>
      <c r="BT177" s="229">
        <v>-0.45100000000000001</v>
      </c>
      <c r="BU177" s="230">
        <v>20745600</v>
      </c>
      <c r="BV177" s="230">
        <v>31290012</v>
      </c>
      <c r="BW177" s="230">
        <v>-10544412</v>
      </c>
      <c r="BX177" s="229">
        <v>-0.33700000000000002</v>
      </c>
      <c r="BY177" s="230">
        <v>3622</v>
      </c>
      <c r="BZ177" s="230">
        <v>3497</v>
      </c>
      <c r="CA177" s="228">
        <v>125</v>
      </c>
      <c r="CB177" s="229">
        <v>3.5700000000000003E-2</v>
      </c>
      <c r="CC177" s="230">
        <v>3579</v>
      </c>
      <c r="CD177" s="230">
        <v>3467</v>
      </c>
      <c r="CE177" s="228">
        <v>112</v>
      </c>
      <c r="CF177" s="229">
        <v>3.2199999999999999E-2</v>
      </c>
      <c r="CG177" s="228">
        <v>37</v>
      </c>
      <c r="CH177" s="228">
        <v>27</v>
      </c>
      <c r="CI177" s="228">
        <v>10</v>
      </c>
      <c r="CJ177" s="229">
        <v>0.35060000000000002</v>
      </c>
      <c r="CK177" s="228">
        <v>7</v>
      </c>
      <c r="CL177" s="228">
        <v>3</v>
      </c>
      <c r="CM177" s="228">
        <v>4</v>
      </c>
      <c r="CN177" s="229">
        <v>1.3332999999999999</v>
      </c>
      <c r="CO177" s="228">
        <v>126</v>
      </c>
      <c r="CP177" s="228">
        <v>124</v>
      </c>
      <c r="CQ177" s="228">
        <v>1</v>
      </c>
      <c r="CR177" s="229">
        <v>9.1999999999999998E-3</v>
      </c>
      <c r="CS177" s="228">
        <v>89</v>
      </c>
      <c r="CT177" s="228">
        <v>69</v>
      </c>
      <c r="CU177" s="228">
        <v>20</v>
      </c>
      <c r="CV177" s="229">
        <v>0.29210000000000003</v>
      </c>
      <c r="CW177" s="230">
        <v>3837</v>
      </c>
      <c r="CX177" s="230">
        <v>3691</v>
      </c>
      <c r="CY177" s="228">
        <v>146</v>
      </c>
      <c r="CZ177" s="229">
        <v>3.9600000000000003E-2</v>
      </c>
      <c r="DA177" s="228">
        <v>36.99</v>
      </c>
      <c r="DB177" s="228">
        <v>42.63</v>
      </c>
      <c r="DC177" s="228">
        <v>-5.64</v>
      </c>
      <c r="DD177" s="228">
        <v>-5.64</v>
      </c>
      <c r="DE177" s="228">
        <v>43.8</v>
      </c>
      <c r="DF177" s="228">
        <v>43.9</v>
      </c>
      <c r="DG177" s="228">
        <v>-6.81</v>
      </c>
      <c r="DH177" s="228">
        <v>-0.1</v>
      </c>
      <c r="DI177" s="228">
        <v>36.9</v>
      </c>
      <c r="DJ177" s="228">
        <v>42.89</v>
      </c>
      <c r="DK177" s="228">
        <v>-5.99</v>
      </c>
      <c r="DL177" s="228">
        <v>-5.99</v>
      </c>
      <c r="DM177" s="228">
        <v>37.11</v>
      </c>
      <c r="DN177" s="228">
        <v>42.14</v>
      </c>
      <c r="DO177" s="228">
        <v>-5.03</v>
      </c>
      <c r="DP177" s="228">
        <v>-5.03</v>
      </c>
      <c r="DQ177" s="228">
        <v>0.71</v>
      </c>
      <c r="DR177" s="228">
        <v>0.55000000000000004</v>
      </c>
      <c r="DS177" s="228">
        <v>0.16</v>
      </c>
      <c r="DT177" s="229">
        <v>0.29089999999999999</v>
      </c>
      <c r="DU177" s="228">
        <v>180</v>
      </c>
      <c r="DV177" s="228">
        <v>180</v>
      </c>
      <c r="DW177" s="228">
        <v>0.71</v>
      </c>
      <c r="DX177" s="228">
        <v>0.52</v>
      </c>
      <c r="DY177" s="228">
        <v>0.19</v>
      </c>
      <c r="DZ177" s="229">
        <v>0.3654</v>
      </c>
      <c r="EA177" s="229">
        <v>1.2E-2</v>
      </c>
      <c r="EB177" s="230">
        <v>1602700</v>
      </c>
      <c r="EC177" s="229">
        <v>6.4000000000000003E-3</v>
      </c>
      <c r="ED177" s="229">
        <v>1.2E-2</v>
      </c>
      <c r="EE177" s="228">
        <v>1.19</v>
      </c>
      <c r="EF177" s="229">
        <v>6.4000000000000003E-3</v>
      </c>
      <c r="EG177" s="230">
        <v>9098711</v>
      </c>
      <c r="EH177" s="230">
        <v>14131251</v>
      </c>
      <c r="EI177" s="229">
        <v>-0.35610000000000003</v>
      </c>
      <c r="EJ177" s="229">
        <v>0.43859999999999999</v>
      </c>
      <c r="EK177" s="228">
        <v>179.5</v>
      </c>
      <c r="EL177" s="228">
        <v>111.53</v>
      </c>
      <c r="EM177" s="228">
        <v>298.27</v>
      </c>
      <c r="EN177" s="228">
        <v>123.81</v>
      </c>
      <c r="EO177" s="228">
        <v>589.29999999999995</v>
      </c>
      <c r="EP177" s="231">
        <v>1064.3</v>
      </c>
      <c r="EQ177" s="228">
        <v>-475</v>
      </c>
      <c r="ER177" s="229">
        <v>-0.44629999999999997</v>
      </c>
      <c r="ES177" s="228">
        <v>127.71</v>
      </c>
      <c r="ET177" s="228">
        <v>84.18</v>
      </c>
      <c r="EU177" s="231">
        <v>3622.58</v>
      </c>
      <c r="EV177" s="231">
        <v>216861410</v>
      </c>
      <c r="EW177" s="231">
        <v>3834.47</v>
      </c>
      <c r="EX177" s="231">
        <v>3659.75</v>
      </c>
      <c r="EY177" s="228">
        <v>174.72</v>
      </c>
      <c r="EZ177" s="229">
        <v>4.7699999999999999E-2</v>
      </c>
      <c r="FA177" s="229">
        <v>0.94399999999999995</v>
      </c>
      <c r="FB177" s="227" t="s">
        <v>555</v>
      </c>
      <c r="FC177">
        <f t="shared" si="3"/>
        <v>0</v>
      </c>
    </row>
    <row r="178" spans="1:159" ht="17.25" thickBot="1" x14ac:dyDescent="0.3">
      <c r="A178" s="226">
        <v>46146</v>
      </c>
      <c r="B178" s="227" t="s">
        <v>175</v>
      </c>
      <c r="C178" s="227" t="s">
        <v>682</v>
      </c>
      <c r="D178" s="228">
        <v>4300</v>
      </c>
      <c r="E178" s="228">
        <v>22</v>
      </c>
      <c r="F178" s="228">
        <v>148.02000000000001</v>
      </c>
      <c r="G178" s="228">
        <v>145.55000000000001</v>
      </c>
      <c r="H178" s="228">
        <v>2.4700000000000002</v>
      </c>
      <c r="I178" s="229">
        <v>1.7000000000000001E-2</v>
      </c>
      <c r="J178" s="228">
        <v>146.88999999999999</v>
      </c>
      <c r="K178" s="228">
        <v>144.61000000000001</v>
      </c>
      <c r="L178" s="228">
        <v>2.2799999999999998</v>
      </c>
      <c r="M178" s="229">
        <v>1.5800000000000002E-2</v>
      </c>
      <c r="N178" s="228">
        <v>148.02000000000001</v>
      </c>
      <c r="O178" s="228">
        <v>145.55000000000001</v>
      </c>
      <c r="P178" s="228">
        <v>2.4700000000000002</v>
      </c>
      <c r="Q178" s="229">
        <v>1.7000000000000001E-2</v>
      </c>
      <c r="R178" s="228">
        <v>149.01</v>
      </c>
      <c r="S178" s="228">
        <v>146.4</v>
      </c>
      <c r="T178" s="228">
        <v>2.61</v>
      </c>
      <c r="U178" s="229">
        <v>1.78E-2</v>
      </c>
      <c r="V178" s="228">
        <v>0</v>
      </c>
      <c r="W178" s="228">
        <v>0</v>
      </c>
      <c r="X178" s="228">
        <v>0</v>
      </c>
      <c r="Y178" s="229">
        <v>0</v>
      </c>
      <c r="Z178" s="228">
        <v>1.1299999999999999</v>
      </c>
      <c r="AA178" s="228">
        <v>0.94</v>
      </c>
      <c r="AB178" s="228">
        <v>0.19</v>
      </c>
      <c r="AC178" s="229">
        <v>7.7000000000000002E-3</v>
      </c>
      <c r="AD178" s="228">
        <v>1.1299999999999999</v>
      </c>
      <c r="AE178" s="228">
        <v>0.94</v>
      </c>
      <c r="AF178" s="228">
        <v>0.19</v>
      </c>
      <c r="AG178" s="229">
        <v>7.7000000000000002E-3</v>
      </c>
      <c r="AH178" s="228">
        <v>2.12</v>
      </c>
      <c r="AI178" s="228">
        <v>1.79</v>
      </c>
      <c r="AJ178" s="228">
        <v>0.33</v>
      </c>
      <c r="AK178" s="229">
        <v>1.44E-2</v>
      </c>
      <c r="AL178" s="228">
        <v>0</v>
      </c>
      <c r="AM178" s="228">
        <v>0</v>
      </c>
      <c r="AN178" s="228">
        <v>0</v>
      </c>
      <c r="AO178" s="229">
        <v>0</v>
      </c>
      <c r="AP178" s="228">
        <v>148.22</v>
      </c>
      <c r="AQ178" s="228">
        <v>149.12</v>
      </c>
      <c r="AR178" s="228">
        <v>0</v>
      </c>
      <c r="AS178" s="228">
        <v>292</v>
      </c>
      <c r="AT178" s="228">
        <v>742</v>
      </c>
      <c r="AU178" s="228">
        <v>-449</v>
      </c>
      <c r="AV178" s="229">
        <v>-0.60580000000000001</v>
      </c>
      <c r="AW178" s="228">
        <v>268</v>
      </c>
      <c r="AX178" s="228">
        <v>721</v>
      </c>
      <c r="AY178" s="228">
        <v>-453</v>
      </c>
      <c r="AZ178" s="229">
        <v>-0.62880000000000003</v>
      </c>
      <c r="BA178" s="228">
        <v>25</v>
      </c>
      <c r="BB178" s="228">
        <v>21</v>
      </c>
      <c r="BC178" s="228">
        <v>4</v>
      </c>
      <c r="BD178" s="229">
        <v>0.18179999999999999</v>
      </c>
      <c r="BE178" s="228">
        <v>0</v>
      </c>
      <c r="BF178" s="228">
        <v>0</v>
      </c>
      <c r="BG178" s="228">
        <v>0</v>
      </c>
      <c r="BH178" s="229">
        <v>0</v>
      </c>
      <c r="BI178" s="228">
        <v>309</v>
      </c>
      <c r="BJ178" s="228">
        <v>666</v>
      </c>
      <c r="BK178" s="228">
        <v>-358</v>
      </c>
      <c r="BL178" s="229">
        <v>-0.53659999999999997</v>
      </c>
      <c r="BM178" s="228">
        <v>118</v>
      </c>
      <c r="BN178" s="228">
        <v>223</v>
      </c>
      <c r="BO178" s="228">
        <v>-105</v>
      </c>
      <c r="BP178" s="229">
        <v>-0.47249999999999998</v>
      </c>
      <c r="BQ178" s="228">
        <v>719</v>
      </c>
      <c r="BR178" s="230">
        <v>1631</v>
      </c>
      <c r="BS178" s="228">
        <v>-912</v>
      </c>
      <c r="BT178" s="229">
        <v>-0.55930000000000002</v>
      </c>
      <c r="BU178" s="230">
        <v>17877682</v>
      </c>
      <c r="BV178" s="230">
        <v>34222093</v>
      </c>
      <c r="BW178" s="230">
        <v>-16344411</v>
      </c>
      <c r="BX178" s="229">
        <v>-0.47760000000000002</v>
      </c>
      <c r="BY178" s="230">
        <v>1602</v>
      </c>
      <c r="BZ178" s="230">
        <v>1639</v>
      </c>
      <c r="CA178" s="228">
        <v>-38</v>
      </c>
      <c r="CB178" s="229">
        <v>-2.3E-2</v>
      </c>
      <c r="CC178" s="230">
        <v>1531</v>
      </c>
      <c r="CD178" s="230">
        <v>1574</v>
      </c>
      <c r="CE178" s="228">
        <v>-42</v>
      </c>
      <c r="CF178" s="229">
        <v>-2.6800000000000001E-2</v>
      </c>
      <c r="CG178" s="228">
        <v>70</v>
      </c>
      <c r="CH178" s="228">
        <v>66</v>
      </c>
      <c r="CI178" s="228">
        <v>5</v>
      </c>
      <c r="CJ178" s="229">
        <v>6.8699999999999997E-2</v>
      </c>
      <c r="CK178" s="228">
        <v>0</v>
      </c>
      <c r="CL178" s="228">
        <v>0</v>
      </c>
      <c r="CM178" s="228">
        <v>0</v>
      </c>
      <c r="CN178" s="229">
        <v>0</v>
      </c>
      <c r="CO178" s="228">
        <v>299</v>
      </c>
      <c r="CP178" s="228">
        <v>292</v>
      </c>
      <c r="CQ178" s="228">
        <v>7</v>
      </c>
      <c r="CR178" s="229">
        <v>2.5100000000000001E-2</v>
      </c>
      <c r="CS178" s="228">
        <v>205</v>
      </c>
      <c r="CT178" s="228">
        <v>197</v>
      </c>
      <c r="CU178" s="228">
        <v>8</v>
      </c>
      <c r="CV178" s="229">
        <v>4.2099999999999999E-2</v>
      </c>
      <c r="CW178" s="230">
        <v>2106</v>
      </c>
      <c r="CX178" s="230">
        <v>2128</v>
      </c>
      <c r="CY178" s="228">
        <v>-22</v>
      </c>
      <c r="CZ178" s="229">
        <v>-1.04E-2</v>
      </c>
      <c r="DA178" s="228">
        <v>38.85</v>
      </c>
      <c r="DB178" s="228">
        <v>42.52</v>
      </c>
      <c r="DC178" s="228">
        <v>-3.67</v>
      </c>
      <c r="DD178" s="228">
        <v>-3.67</v>
      </c>
      <c r="DE178" s="228">
        <v>52.52</v>
      </c>
      <c r="DF178" s="228">
        <v>52.6</v>
      </c>
      <c r="DG178" s="228">
        <v>-13.67</v>
      </c>
      <c r="DH178" s="228">
        <v>-0.08</v>
      </c>
      <c r="DI178" s="228">
        <v>39.840000000000003</v>
      </c>
      <c r="DJ178" s="228">
        <v>43.28</v>
      </c>
      <c r="DK178" s="228">
        <v>-3.44</v>
      </c>
      <c r="DL178" s="228">
        <v>-3.44</v>
      </c>
      <c r="DM178" s="228">
        <v>36.28</v>
      </c>
      <c r="DN178" s="228">
        <v>40.25</v>
      </c>
      <c r="DO178" s="228">
        <v>-3.97</v>
      </c>
      <c r="DP178" s="228">
        <v>-3.97</v>
      </c>
      <c r="DQ178" s="228">
        <v>0.68</v>
      </c>
      <c r="DR178" s="228">
        <v>0.67</v>
      </c>
      <c r="DS178" s="228">
        <v>0.01</v>
      </c>
      <c r="DT178" s="229">
        <v>1.49E-2</v>
      </c>
      <c r="DU178" s="228">
        <v>150</v>
      </c>
      <c r="DV178" s="228">
        <v>140</v>
      </c>
      <c r="DW178" s="228">
        <v>0.38</v>
      </c>
      <c r="DX178" s="228">
        <v>0.33</v>
      </c>
      <c r="DY178" s="228">
        <v>0.05</v>
      </c>
      <c r="DZ178" s="229">
        <v>0.1515</v>
      </c>
      <c r="EA178" s="229">
        <v>4.3900000000000002E-2</v>
      </c>
      <c r="EB178" s="230">
        <v>4446200</v>
      </c>
      <c r="EC178" s="229">
        <v>6.7000000000000002E-3</v>
      </c>
      <c r="ED178" s="229">
        <v>4.3900000000000002E-2</v>
      </c>
      <c r="EE178" s="228">
        <v>0.9</v>
      </c>
      <c r="EF178" s="229">
        <v>6.1000000000000004E-3</v>
      </c>
      <c r="EG178" s="230">
        <v>6376064</v>
      </c>
      <c r="EH178" s="230">
        <v>11499381</v>
      </c>
      <c r="EI178" s="229">
        <v>-0.44550000000000001</v>
      </c>
      <c r="EJ178" s="229">
        <v>0.35659999999999997</v>
      </c>
      <c r="EK178" s="228">
        <v>331.59</v>
      </c>
      <c r="EL178" s="228">
        <v>111.24</v>
      </c>
      <c r="EM178" s="228">
        <v>292.94</v>
      </c>
      <c r="EN178" s="228">
        <v>116.61</v>
      </c>
      <c r="EO178" s="228">
        <v>735.78</v>
      </c>
      <c r="EP178" s="231">
        <v>1631.57</v>
      </c>
      <c r="EQ178" s="228">
        <v>-895.79</v>
      </c>
      <c r="ER178" s="229">
        <v>-0.54900000000000004</v>
      </c>
      <c r="ES178" s="228">
        <v>309.45</v>
      </c>
      <c r="ET178" s="228">
        <v>194.92</v>
      </c>
      <c r="EU178" s="231">
        <v>1602.19</v>
      </c>
      <c r="EV178" s="231">
        <v>122372064</v>
      </c>
      <c r="EW178" s="231">
        <v>2106.56</v>
      </c>
      <c r="EX178" s="231">
        <v>2100.4699999999998</v>
      </c>
      <c r="EY178" s="228">
        <v>6.09</v>
      </c>
      <c r="EZ178" s="229">
        <v>2.8999999999999998E-3</v>
      </c>
      <c r="FA178" s="229">
        <v>1.1626000000000001</v>
      </c>
      <c r="FB178" s="227" t="s">
        <v>691</v>
      </c>
      <c r="FC178">
        <f t="shared" si="3"/>
        <v>0</v>
      </c>
    </row>
    <row r="179" spans="1:159" ht="17.25" thickBot="1" x14ac:dyDescent="0.3">
      <c r="A179" s="226">
        <v>46146</v>
      </c>
      <c r="B179" s="227" t="s">
        <v>175</v>
      </c>
      <c r="C179" s="227" t="s">
        <v>536</v>
      </c>
      <c r="D179" s="228">
        <v>800</v>
      </c>
      <c r="E179" s="228">
        <v>22</v>
      </c>
      <c r="F179" s="228">
        <v>647.29999999999995</v>
      </c>
      <c r="G179" s="228">
        <v>644.85</v>
      </c>
      <c r="H179" s="228">
        <v>2.4500000000000002</v>
      </c>
      <c r="I179" s="229">
        <v>3.8E-3</v>
      </c>
      <c r="J179" s="228">
        <v>644.79999999999995</v>
      </c>
      <c r="K179" s="228">
        <v>643.9</v>
      </c>
      <c r="L179" s="228">
        <v>0.9</v>
      </c>
      <c r="M179" s="229">
        <v>1.4E-3</v>
      </c>
      <c r="N179" s="228">
        <v>647.29999999999995</v>
      </c>
      <c r="O179" s="228">
        <v>644.85</v>
      </c>
      <c r="P179" s="228">
        <v>2.4500000000000002</v>
      </c>
      <c r="Q179" s="229">
        <v>3.8E-3</v>
      </c>
      <c r="R179" s="228">
        <v>641.70000000000005</v>
      </c>
      <c r="S179" s="228">
        <v>639.15</v>
      </c>
      <c r="T179" s="228">
        <v>2.5499999999999998</v>
      </c>
      <c r="U179" s="229">
        <v>4.0000000000000001E-3</v>
      </c>
      <c r="V179" s="228">
        <v>638.35</v>
      </c>
      <c r="W179" s="228">
        <v>635</v>
      </c>
      <c r="X179" s="228">
        <v>3.35</v>
      </c>
      <c r="Y179" s="229">
        <v>5.3E-3</v>
      </c>
      <c r="Z179" s="228">
        <v>2.5</v>
      </c>
      <c r="AA179" s="228">
        <v>0.95</v>
      </c>
      <c r="AB179" s="228">
        <v>1.55</v>
      </c>
      <c r="AC179" s="229">
        <v>3.8999999999999998E-3</v>
      </c>
      <c r="AD179" s="228">
        <v>2.5</v>
      </c>
      <c r="AE179" s="228">
        <v>0.95</v>
      </c>
      <c r="AF179" s="228">
        <v>1.55</v>
      </c>
      <c r="AG179" s="229">
        <v>3.8999999999999998E-3</v>
      </c>
      <c r="AH179" s="228">
        <v>-3.1</v>
      </c>
      <c r="AI179" s="228">
        <v>-4.75</v>
      </c>
      <c r="AJ179" s="228">
        <v>1.65</v>
      </c>
      <c r="AK179" s="229">
        <v>-4.7999999999999996E-3</v>
      </c>
      <c r="AL179" s="228">
        <v>-6.45</v>
      </c>
      <c r="AM179" s="228">
        <v>-8.9</v>
      </c>
      <c r="AN179" s="228">
        <v>2.4500000000000002</v>
      </c>
      <c r="AO179" s="229">
        <v>-0.01</v>
      </c>
      <c r="AP179" s="228">
        <v>645.98</v>
      </c>
      <c r="AQ179" s="228">
        <v>639.79</v>
      </c>
      <c r="AR179" s="228">
        <v>0</v>
      </c>
      <c r="AS179" s="228">
        <v>148</v>
      </c>
      <c r="AT179" s="228">
        <v>213</v>
      </c>
      <c r="AU179" s="228">
        <v>-65</v>
      </c>
      <c r="AV179" s="229">
        <v>-0.3039</v>
      </c>
      <c r="AW179" s="228">
        <v>126</v>
      </c>
      <c r="AX179" s="228">
        <v>188</v>
      </c>
      <c r="AY179" s="228">
        <v>-63</v>
      </c>
      <c r="AZ179" s="229">
        <v>-0.33160000000000001</v>
      </c>
      <c r="BA179" s="228">
        <v>18</v>
      </c>
      <c r="BB179" s="228">
        <v>18</v>
      </c>
      <c r="BC179" s="228">
        <v>0</v>
      </c>
      <c r="BD179" s="229">
        <v>5.8999999999999999E-3</v>
      </c>
      <c r="BE179" s="228">
        <v>4</v>
      </c>
      <c r="BF179" s="228">
        <v>7</v>
      </c>
      <c r="BG179" s="228">
        <v>-2</v>
      </c>
      <c r="BH179" s="229">
        <v>-0.33589999999999998</v>
      </c>
      <c r="BI179" s="228">
        <v>363</v>
      </c>
      <c r="BJ179" s="228">
        <v>507</v>
      </c>
      <c r="BK179" s="228">
        <v>-144</v>
      </c>
      <c r="BL179" s="229">
        <v>-0.28389999999999999</v>
      </c>
      <c r="BM179" s="228">
        <v>183</v>
      </c>
      <c r="BN179" s="228">
        <v>343</v>
      </c>
      <c r="BO179" s="228">
        <v>-160</v>
      </c>
      <c r="BP179" s="229">
        <v>-0.46760000000000002</v>
      </c>
      <c r="BQ179" s="228">
        <v>694</v>
      </c>
      <c r="BR179" s="230">
        <v>1063</v>
      </c>
      <c r="BS179" s="228">
        <v>-369</v>
      </c>
      <c r="BT179" s="229">
        <v>-0.34720000000000001</v>
      </c>
      <c r="BU179" s="230">
        <v>1196455</v>
      </c>
      <c r="BV179" s="230">
        <v>2071416</v>
      </c>
      <c r="BW179" s="230">
        <v>-874961</v>
      </c>
      <c r="BX179" s="229">
        <v>-0.4224</v>
      </c>
      <c r="BY179" s="230">
        <v>1685</v>
      </c>
      <c r="BZ179" s="230">
        <v>1668</v>
      </c>
      <c r="CA179" s="228">
        <v>17</v>
      </c>
      <c r="CB179" s="229">
        <v>0.01</v>
      </c>
      <c r="CC179" s="230">
        <v>1512</v>
      </c>
      <c r="CD179" s="230">
        <v>1503</v>
      </c>
      <c r="CE179" s="228">
        <v>9</v>
      </c>
      <c r="CF179" s="229">
        <v>5.7999999999999996E-3</v>
      </c>
      <c r="CG179" s="228">
        <v>159</v>
      </c>
      <c r="CH179" s="228">
        <v>154</v>
      </c>
      <c r="CI179" s="228">
        <v>5</v>
      </c>
      <c r="CJ179" s="229">
        <v>3.4700000000000002E-2</v>
      </c>
      <c r="CK179" s="228">
        <v>14</v>
      </c>
      <c r="CL179" s="228">
        <v>12</v>
      </c>
      <c r="CM179" s="228">
        <v>3</v>
      </c>
      <c r="CN179" s="229">
        <v>0.23449999999999999</v>
      </c>
      <c r="CO179" s="228">
        <v>572</v>
      </c>
      <c r="CP179" s="228">
        <v>536</v>
      </c>
      <c r="CQ179" s="228">
        <v>37</v>
      </c>
      <c r="CR179" s="229">
        <v>6.8699999999999997E-2</v>
      </c>
      <c r="CS179" s="228">
        <v>341</v>
      </c>
      <c r="CT179" s="228">
        <v>333</v>
      </c>
      <c r="CU179" s="228">
        <v>8</v>
      </c>
      <c r="CV179" s="229">
        <v>2.46E-2</v>
      </c>
      <c r="CW179" s="230">
        <v>2598</v>
      </c>
      <c r="CX179" s="230">
        <v>2536</v>
      </c>
      <c r="CY179" s="228">
        <v>62</v>
      </c>
      <c r="CZ179" s="229">
        <v>2.4299999999999999E-2</v>
      </c>
      <c r="DA179" s="228">
        <v>32</v>
      </c>
      <c r="DB179" s="228">
        <v>32.03</v>
      </c>
      <c r="DC179" s="228">
        <v>-0.03</v>
      </c>
      <c r="DD179" s="228">
        <v>-0.03</v>
      </c>
      <c r="DE179" s="228">
        <v>32.130000000000003</v>
      </c>
      <c r="DF179" s="228">
        <v>32.21</v>
      </c>
      <c r="DG179" s="228">
        <v>-0.13</v>
      </c>
      <c r="DH179" s="228">
        <v>-0.08</v>
      </c>
      <c r="DI179" s="228">
        <v>32.11</v>
      </c>
      <c r="DJ179" s="228">
        <v>32.1</v>
      </c>
      <c r="DK179" s="228">
        <v>0.01</v>
      </c>
      <c r="DL179" s="228">
        <v>0.01</v>
      </c>
      <c r="DM179" s="228">
        <v>31.79</v>
      </c>
      <c r="DN179" s="228">
        <v>31.92</v>
      </c>
      <c r="DO179" s="228">
        <v>-0.13</v>
      </c>
      <c r="DP179" s="228">
        <v>-0.13</v>
      </c>
      <c r="DQ179" s="228">
        <v>0.6</v>
      </c>
      <c r="DR179" s="228">
        <v>0.62</v>
      </c>
      <c r="DS179" s="228">
        <v>-0.02</v>
      </c>
      <c r="DT179" s="229">
        <v>-3.2300000000000002E-2</v>
      </c>
      <c r="DU179" s="228">
        <v>700</v>
      </c>
      <c r="DV179" s="228">
        <v>650</v>
      </c>
      <c r="DW179" s="228">
        <v>0.5</v>
      </c>
      <c r="DX179" s="228">
        <v>0.68</v>
      </c>
      <c r="DY179" s="228">
        <v>-0.18</v>
      </c>
      <c r="DZ179" s="229">
        <v>-0.26469999999999999</v>
      </c>
      <c r="EA179" s="229">
        <v>0.10299999999999999</v>
      </c>
      <c r="EB179" s="230">
        <v>2555200</v>
      </c>
      <c r="EC179" s="229">
        <v>-8.6999999999999994E-3</v>
      </c>
      <c r="ED179" s="229">
        <v>0.10299999999999999</v>
      </c>
      <c r="EE179" s="228">
        <v>-6.19</v>
      </c>
      <c r="EF179" s="229">
        <v>-9.5999999999999992E-3</v>
      </c>
      <c r="EG179" s="230">
        <v>438861</v>
      </c>
      <c r="EH179" s="230">
        <v>977245</v>
      </c>
      <c r="EI179" s="229">
        <v>-0.55089999999999995</v>
      </c>
      <c r="EJ179" s="229">
        <v>0.36680000000000001</v>
      </c>
      <c r="EK179" s="228">
        <v>388.1</v>
      </c>
      <c r="EL179" s="228">
        <v>179.34</v>
      </c>
      <c r="EM179" s="228">
        <v>147.47</v>
      </c>
      <c r="EN179" s="228">
        <v>181.57</v>
      </c>
      <c r="EO179" s="228">
        <v>714.91</v>
      </c>
      <c r="EP179" s="231">
        <v>1091.78</v>
      </c>
      <c r="EQ179" s="228">
        <v>-376.88</v>
      </c>
      <c r="ER179" s="229">
        <v>-0.34520000000000001</v>
      </c>
      <c r="ES179" s="228">
        <v>615.66999999999996</v>
      </c>
      <c r="ET179" s="228">
        <v>343.09</v>
      </c>
      <c r="EU179" s="231">
        <v>1683.42</v>
      </c>
      <c r="EV179" s="231">
        <v>44841373</v>
      </c>
      <c r="EW179" s="231">
        <v>2642.18</v>
      </c>
      <c r="EX179" s="231">
        <v>2572.7800000000002</v>
      </c>
      <c r="EY179" s="228">
        <v>69.400000000000006</v>
      </c>
      <c r="EZ179" s="229">
        <v>2.7E-2</v>
      </c>
      <c r="FA179" s="229">
        <v>0.89510000000000001</v>
      </c>
      <c r="FB179" s="227" t="s">
        <v>555</v>
      </c>
      <c r="FC179">
        <f t="shared" si="3"/>
        <v>0</v>
      </c>
    </row>
    <row r="180" spans="1:159" ht="17.25" thickBot="1" x14ac:dyDescent="0.3">
      <c r="A180" s="226">
        <v>46146</v>
      </c>
      <c r="B180" s="227" t="s">
        <v>175</v>
      </c>
      <c r="C180" s="227" t="s">
        <v>462</v>
      </c>
      <c r="D180" s="228">
        <v>375</v>
      </c>
      <c r="E180" s="228">
        <v>22</v>
      </c>
      <c r="F180" s="231">
        <v>1827.4</v>
      </c>
      <c r="G180" s="231">
        <v>1824</v>
      </c>
      <c r="H180" s="228">
        <v>3.4</v>
      </c>
      <c r="I180" s="229">
        <v>1.9E-3</v>
      </c>
      <c r="J180" s="231">
        <v>1820.1</v>
      </c>
      <c r="K180" s="231">
        <v>1819</v>
      </c>
      <c r="L180" s="228">
        <v>1.1000000000000001</v>
      </c>
      <c r="M180" s="229">
        <v>5.9999999999999995E-4</v>
      </c>
      <c r="N180" s="231">
        <v>1827.4</v>
      </c>
      <c r="O180" s="231">
        <v>1824</v>
      </c>
      <c r="P180" s="228">
        <v>3.4</v>
      </c>
      <c r="Q180" s="229">
        <v>1.9E-3</v>
      </c>
      <c r="R180" s="231">
        <v>1841.3</v>
      </c>
      <c r="S180" s="231">
        <v>1837.2</v>
      </c>
      <c r="T180" s="228">
        <v>4.0999999999999996</v>
      </c>
      <c r="U180" s="229">
        <v>2.2000000000000001E-3</v>
      </c>
      <c r="V180" s="231">
        <v>1858.3</v>
      </c>
      <c r="W180" s="231">
        <v>1846.5</v>
      </c>
      <c r="X180" s="228">
        <v>11.8</v>
      </c>
      <c r="Y180" s="229">
        <v>6.4000000000000003E-3</v>
      </c>
      <c r="Z180" s="228">
        <v>7.3</v>
      </c>
      <c r="AA180" s="228">
        <v>5</v>
      </c>
      <c r="AB180" s="228">
        <v>2.2999999999999998</v>
      </c>
      <c r="AC180" s="229">
        <v>4.0000000000000001E-3</v>
      </c>
      <c r="AD180" s="228">
        <v>7.3</v>
      </c>
      <c r="AE180" s="228">
        <v>5</v>
      </c>
      <c r="AF180" s="228">
        <v>2.2999999999999998</v>
      </c>
      <c r="AG180" s="229">
        <v>4.0000000000000001E-3</v>
      </c>
      <c r="AH180" s="228">
        <v>21.2</v>
      </c>
      <c r="AI180" s="228">
        <v>18.2</v>
      </c>
      <c r="AJ180" s="228">
        <v>3</v>
      </c>
      <c r="AK180" s="229">
        <v>1.1599999999999999E-2</v>
      </c>
      <c r="AL180" s="228">
        <v>38.200000000000003</v>
      </c>
      <c r="AM180" s="228">
        <v>27.5</v>
      </c>
      <c r="AN180" s="228">
        <v>10.7</v>
      </c>
      <c r="AO180" s="229">
        <v>2.1000000000000001E-2</v>
      </c>
      <c r="AP180" s="231">
        <v>1834.78</v>
      </c>
      <c r="AQ180" s="231">
        <v>1846.82</v>
      </c>
      <c r="AR180" s="228">
        <v>0</v>
      </c>
      <c r="AS180" s="228">
        <v>193</v>
      </c>
      <c r="AT180" s="228">
        <v>176</v>
      </c>
      <c r="AU180" s="228">
        <v>18</v>
      </c>
      <c r="AV180" s="229">
        <v>0.1002</v>
      </c>
      <c r="AW180" s="228">
        <v>180</v>
      </c>
      <c r="AX180" s="228">
        <v>171</v>
      </c>
      <c r="AY180" s="228">
        <v>9</v>
      </c>
      <c r="AZ180" s="229">
        <v>5.1999999999999998E-2</v>
      </c>
      <c r="BA180" s="228">
        <v>13</v>
      </c>
      <c r="BB180" s="228">
        <v>4</v>
      </c>
      <c r="BC180" s="228">
        <v>9</v>
      </c>
      <c r="BD180" s="229">
        <v>2.2202999999999999</v>
      </c>
      <c r="BE180" s="228">
        <v>0</v>
      </c>
      <c r="BF180" s="228">
        <v>0</v>
      </c>
      <c r="BG180" s="228">
        <v>0</v>
      </c>
      <c r="BH180" s="229">
        <v>-0.66669999999999996</v>
      </c>
      <c r="BI180" s="228">
        <v>540</v>
      </c>
      <c r="BJ180" s="228">
        <v>321</v>
      </c>
      <c r="BK180" s="228">
        <v>219</v>
      </c>
      <c r="BL180" s="229">
        <v>0.68300000000000005</v>
      </c>
      <c r="BM180" s="228">
        <v>216</v>
      </c>
      <c r="BN180" s="228">
        <v>175</v>
      </c>
      <c r="BO180" s="228">
        <v>42</v>
      </c>
      <c r="BP180" s="229">
        <v>0.23910000000000001</v>
      </c>
      <c r="BQ180" s="228">
        <v>950</v>
      </c>
      <c r="BR180" s="228">
        <v>671</v>
      </c>
      <c r="BS180" s="228">
        <v>278</v>
      </c>
      <c r="BT180" s="229">
        <v>0.4148</v>
      </c>
      <c r="BU180" s="230">
        <v>1963164</v>
      </c>
      <c r="BV180" s="230">
        <v>1121750</v>
      </c>
      <c r="BW180" s="230">
        <v>841414</v>
      </c>
      <c r="BX180" s="229">
        <v>0.75009999999999999</v>
      </c>
      <c r="BY180" s="230">
        <v>1913</v>
      </c>
      <c r="BZ180" s="230">
        <v>1915</v>
      </c>
      <c r="CA180" s="228">
        <v>-2</v>
      </c>
      <c r="CB180" s="229">
        <v>-1.1000000000000001E-3</v>
      </c>
      <c r="CC180" s="230">
        <v>1676</v>
      </c>
      <c r="CD180" s="230">
        <v>1685</v>
      </c>
      <c r="CE180" s="228">
        <v>-9</v>
      </c>
      <c r="CF180" s="229">
        <v>-5.4999999999999997E-3</v>
      </c>
      <c r="CG180" s="228">
        <v>236</v>
      </c>
      <c r="CH180" s="228">
        <v>229</v>
      </c>
      <c r="CI180" s="228">
        <v>7</v>
      </c>
      <c r="CJ180" s="229">
        <v>3.0800000000000001E-2</v>
      </c>
      <c r="CK180" s="228">
        <v>1</v>
      </c>
      <c r="CL180" s="228">
        <v>1</v>
      </c>
      <c r="CM180" s="228">
        <v>0</v>
      </c>
      <c r="CN180" s="229">
        <v>0.1</v>
      </c>
      <c r="CO180" s="228">
        <v>571</v>
      </c>
      <c r="CP180" s="228">
        <v>468</v>
      </c>
      <c r="CQ180" s="228">
        <v>103</v>
      </c>
      <c r="CR180" s="229">
        <v>0.22</v>
      </c>
      <c r="CS180" s="228">
        <v>327</v>
      </c>
      <c r="CT180" s="228">
        <v>323</v>
      </c>
      <c r="CU180" s="228">
        <v>4</v>
      </c>
      <c r="CV180" s="229">
        <v>1.2699999999999999E-2</v>
      </c>
      <c r="CW180" s="230">
        <v>2810</v>
      </c>
      <c r="CX180" s="230">
        <v>2705</v>
      </c>
      <c r="CY180" s="228">
        <v>105</v>
      </c>
      <c r="CZ180" s="229">
        <v>3.8800000000000001E-2</v>
      </c>
      <c r="DA180" s="228">
        <v>25.5</v>
      </c>
      <c r="DB180" s="228">
        <v>26.41</v>
      </c>
      <c r="DC180" s="228">
        <v>-0.91</v>
      </c>
      <c r="DD180" s="228">
        <v>-0.91</v>
      </c>
      <c r="DE180" s="228">
        <v>26.74</v>
      </c>
      <c r="DF180" s="228">
        <v>26.8</v>
      </c>
      <c r="DG180" s="228">
        <v>-1.24</v>
      </c>
      <c r="DH180" s="228">
        <v>-0.06</v>
      </c>
      <c r="DI180" s="228">
        <v>25.19</v>
      </c>
      <c r="DJ180" s="228">
        <v>26.12</v>
      </c>
      <c r="DK180" s="228">
        <v>-0.93</v>
      </c>
      <c r="DL180" s="228">
        <v>-0.93</v>
      </c>
      <c r="DM180" s="228">
        <v>26.27</v>
      </c>
      <c r="DN180" s="228">
        <v>26.95</v>
      </c>
      <c r="DO180" s="228">
        <v>-0.68</v>
      </c>
      <c r="DP180" s="228">
        <v>-0.68</v>
      </c>
      <c r="DQ180" s="228">
        <v>0.56999999999999995</v>
      </c>
      <c r="DR180" s="228">
        <v>0.69</v>
      </c>
      <c r="DS180" s="228">
        <v>-0.12</v>
      </c>
      <c r="DT180" s="229">
        <v>-0.1739</v>
      </c>
      <c r="DU180" s="231">
        <v>1860</v>
      </c>
      <c r="DV180" s="231">
        <v>1700</v>
      </c>
      <c r="DW180" s="228">
        <v>0.4</v>
      </c>
      <c r="DX180" s="228">
        <v>0.54</v>
      </c>
      <c r="DY180" s="228">
        <v>-0.14000000000000001</v>
      </c>
      <c r="DZ180" s="229">
        <v>-0.25929999999999997</v>
      </c>
      <c r="EA180" s="229">
        <v>0.124</v>
      </c>
      <c r="EB180" s="230">
        <v>1258875</v>
      </c>
      <c r="EC180" s="229">
        <v>7.6E-3</v>
      </c>
      <c r="ED180" s="229">
        <v>0.124</v>
      </c>
      <c r="EE180" s="228">
        <v>12.04</v>
      </c>
      <c r="EF180" s="229">
        <v>6.6E-3</v>
      </c>
      <c r="EG180" s="230">
        <v>1257858</v>
      </c>
      <c r="EH180" s="230">
        <v>715011</v>
      </c>
      <c r="EI180" s="229">
        <v>0.75919999999999999</v>
      </c>
      <c r="EJ180" s="229">
        <v>0.64070000000000005</v>
      </c>
      <c r="EK180" s="228">
        <v>571.46</v>
      </c>
      <c r="EL180" s="228">
        <v>212.16</v>
      </c>
      <c r="EM180" s="228">
        <v>194.32</v>
      </c>
      <c r="EN180" s="228">
        <v>73.42</v>
      </c>
      <c r="EO180" s="228">
        <v>977.94</v>
      </c>
      <c r="EP180" s="228">
        <v>680.73</v>
      </c>
      <c r="EQ180" s="228">
        <v>297.22000000000003</v>
      </c>
      <c r="ER180" s="229">
        <v>0.43659999999999999</v>
      </c>
      <c r="ES180" s="228">
        <v>600.92999999999995</v>
      </c>
      <c r="ET180" s="228">
        <v>314.19</v>
      </c>
      <c r="EU180" s="231">
        <v>1914.62</v>
      </c>
      <c r="EV180" s="231">
        <v>45527821</v>
      </c>
      <c r="EW180" s="231">
        <v>2829.74</v>
      </c>
      <c r="EX180" s="231">
        <v>2717.79</v>
      </c>
      <c r="EY180" s="228">
        <v>111.95</v>
      </c>
      <c r="EZ180" s="229">
        <v>4.1200000000000001E-2</v>
      </c>
      <c r="FA180" s="229">
        <v>0.33779999999999999</v>
      </c>
      <c r="FB180" s="227" t="s">
        <v>691</v>
      </c>
      <c r="FC180">
        <f t="shared" si="3"/>
        <v>0</v>
      </c>
    </row>
    <row r="181" spans="1:159" ht="17.25" thickBot="1" x14ac:dyDescent="0.3">
      <c r="A181" s="226">
        <v>46146</v>
      </c>
      <c r="B181" s="227" t="s">
        <v>172</v>
      </c>
      <c r="C181" s="227" t="s">
        <v>283</v>
      </c>
      <c r="D181" s="228">
        <v>750</v>
      </c>
      <c r="E181" s="228">
        <v>22</v>
      </c>
      <c r="F181" s="231">
        <v>1060</v>
      </c>
      <c r="G181" s="231">
        <v>1064.0999999999999</v>
      </c>
      <c r="H181" s="228">
        <v>-4.0999999999999996</v>
      </c>
      <c r="I181" s="229">
        <v>-3.8999999999999998E-3</v>
      </c>
      <c r="J181" s="231">
        <v>1068.4000000000001</v>
      </c>
      <c r="K181" s="231">
        <v>1068.45</v>
      </c>
      <c r="L181" s="228">
        <v>-0.05</v>
      </c>
      <c r="M181" s="229">
        <v>0</v>
      </c>
      <c r="N181" s="231">
        <v>1060</v>
      </c>
      <c r="O181" s="231">
        <v>1064.0999999999999</v>
      </c>
      <c r="P181" s="228">
        <v>-4.0999999999999996</v>
      </c>
      <c r="Q181" s="229">
        <v>-3.8999999999999998E-3</v>
      </c>
      <c r="R181" s="231">
        <v>1065</v>
      </c>
      <c r="S181" s="231">
        <v>1065.3</v>
      </c>
      <c r="T181" s="228">
        <v>-0.3</v>
      </c>
      <c r="U181" s="229">
        <v>-2.9999999999999997E-4</v>
      </c>
      <c r="V181" s="231">
        <v>1070.4000000000001</v>
      </c>
      <c r="W181" s="231">
        <v>1070.4000000000001</v>
      </c>
      <c r="X181" s="228">
        <v>0</v>
      </c>
      <c r="Y181" s="229">
        <v>0</v>
      </c>
      <c r="Z181" s="228">
        <v>-8.4</v>
      </c>
      <c r="AA181" s="228">
        <v>-4.3499999999999996</v>
      </c>
      <c r="AB181" s="228">
        <v>-4.05</v>
      </c>
      <c r="AC181" s="229">
        <v>-7.9000000000000008E-3</v>
      </c>
      <c r="AD181" s="228">
        <v>-8.4</v>
      </c>
      <c r="AE181" s="228">
        <v>-4.3499999999999996</v>
      </c>
      <c r="AF181" s="228">
        <v>-4.05</v>
      </c>
      <c r="AG181" s="229">
        <v>-7.9000000000000008E-3</v>
      </c>
      <c r="AH181" s="228">
        <v>-3.4</v>
      </c>
      <c r="AI181" s="228">
        <v>-3.15</v>
      </c>
      <c r="AJ181" s="228">
        <v>-0.25</v>
      </c>
      <c r="AK181" s="229">
        <v>-3.2000000000000002E-3</v>
      </c>
      <c r="AL181" s="228">
        <v>2</v>
      </c>
      <c r="AM181" s="228">
        <v>1.95</v>
      </c>
      <c r="AN181" s="228">
        <v>0.05</v>
      </c>
      <c r="AO181" s="229">
        <v>1.9E-3</v>
      </c>
      <c r="AP181" s="231">
        <v>1069.1500000000001</v>
      </c>
      <c r="AQ181" s="231">
        <v>1073.8499999999999</v>
      </c>
      <c r="AR181" s="228">
        <v>0</v>
      </c>
      <c r="AS181" s="230">
        <v>1289</v>
      </c>
      <c r="AT181" s="230">
        <v>1419</v>
      </c>
      <c r="AU181" s="228">
        <v>-130</v>
      </c>
      <c r="AV181" s="229">
        <v>-9.1700000000000004E-2</v>
      </c>
      <c r="AW181" s="230">
        <v>1148</v>
      </c>
      <c r="AX181" s="230">
        <v>1301</v>
      </c>
      <c r="AY181" s="228">
        <v>-152</v>
      </c>
      <c r="AZ181" s="229">
        <v>-0.1171</v>
      </c>
      <c r="BA181" s="228">
        <v>131</v>
      </c>
      <c r="BB181" s="228">
        <v>106</v>
      </c>
      <c r="BC181" s="228">
        <v>25</v>
      </c>
      <c r="BD181" s="229">
        <v>0.23319999999999999</v>
      </c>
      <c r="BE181" s="228">
        <v>9</v>
      </c>
      <c r="BF181" s="228">
        <v>12</v>
      </c>
      <c r="BG181" s="228">
        <v>-3</v>
      </c>
      <c r="BH181" s="229">
        <v>-0.2185</v>
      </c>
      <c r="BI181" s="230">
        <v>4093</v>
      </c>
      <c r="BJ181" s="230">
        <v>3835</v>
      </c>
      <c r="BK181" s="228">
        <v>258</v>
      </c>
      <c r="BL181" s="229">
        <v>6.7199999999999996E-2</v>
      </c>
      <c r="BM181" s="230">
        <v>2324</v>
      </c>
      <c r="BN181" s="230">
        <v>2715</v>
      </c>
      <c r="BO181" s="228">
        <v>-391</v>
      </c>
      <c r="BP181" s="229">
        <v>-0.14410000000000001</v>
      </c>
      <c r="BQ181" s="230">
        <v>7706</v>
      </c>
      <c r="BR181" s="230">
        <v>7969</v>
      </c>
      <c r="BS181" s="228">
        <v>-263</v>
      </c>
      <c r="BT181" s="229">
        <v>-3.3099999999999997E-2</v>
      </c>
      <c r="BU181" s="230">
        <v>12126606</v>
      </c>
      <c r="BV181" s="230">
        <v>15668387</v>
      </c>
      <c r="BW181" s="230">
        <v>-3541781</v>
      </c>
      <c r="BX181" s="229">
        <v>-0.22600000000000001</v>
      </c>
      <c r="BY181" s="230">
        <v>9971</v>
      </c>
      <c r="BZ181" s="230">
        <v>9552</v>
      </c>
      <c r="CA181" s="228">
        <v>419</v>
      </c>
      <c r="CB181" s="229">
        <v>4.3900000000000002E-2</v>
      </c>
      <c r="CC181" s="230">
        <v>7796</v>
      </c>
      <c r="CD181" s="230">
        <v>7460</v>
      </c>
      <c r="CE181" s="228">
        <v>336</v>
      </c>
      <c r="CF181" s="229">
        <v>4.4999999999999998E-2</v>
      </c>
      <c r="CG181" s="230">
        <v>2159</v>
      </c>
      <c r="CH181" s="230">
        <v>2080</v>
      </c>
      <c r="CI181" s="228">
        <v>79</v>
      </c>
      <c r="CJ181" s="229">
        <v>3.7999999999999999E-2</v>
      </c>
      <c r="CK181" s="228">
        <v>16</v>
      </c>
      <c r="CL181" s="228">
        <v>12</v>
      </c>
      <c r="CM181" s="228">
        <v>4</v>
      </c>
      <c r="CN181" s="229">
        <v>0.36299999999999999</v>
      </c>
      <c r="CO181" s="230">
        <v>3390</v>
      </c>
      <c r="CP181" s="230">
        <v>2920</v>
      </c>
      <c r="CQ181" s="228">
        <v>469</v>
      </c>
      <c r="CR181" s="229">
        <v>0.1608</v>
      </c>
      <c r="CS181" s="230">
        <v>2460</v>
      </c>
      <c r="CT181" s="230">
        <v>2204</v>
      </c>
      <c r="CU181" s="228">
        <v>256</v>
      </c>
      <c r="CV181" s="229">
        <v>0.1163</v>
      </c>
      <c r="CW181" s="230">
        <v>15821</v>
      </c>
      <c r="CX181" s="230">
        <v>14676</v>
      </c>
      <c r="CY181" s="230">
        <v>1145</v>
      </c>
      <c r="CZ181" s="229">
        <v>7.8E-2</v>
      </c>
      <c r="DA181" s="228">
        <v>32.43</v>
      </c>
      <c r="DB181" s="228">
        <v>30.63</v>
      </c>
      <c r="DC181" s="228">
        <v>1.8</v>
      </c>
      <c r="DD181" s="228">
        <v>1.8</v>
      </c>
      <c r="DE181" s="228">
        <v>28.94</v>
      </c>
      <c r="DF181" s="228">
        <v>29.02</v>
      </c>
      <c r="DG181" s="228">
        <v>3.49</v>
      </c>
      <c r="DH181" s="228">
        <v>-0.08</v>
      </c>
      <c r="DI181" s="228">
        <v>32.68</v>
      </c>
      <c r="DJ181" s="228">
        <v>30.75</v>
      </c>
      <c r="DK181" s="228">
        <v>1.93</v>
      </c>
      <c r="DL181" s="228">
        <v>1.93</v>
      </c>
      <c r="DM181" s="228">
        <v>31.98</v>
      </c>
      <c r="DN181" s="228">
        <v>30.45</v>
      </c>
      <c r="DO181" s="228">
        <v>1.53</v>
      </c>
      <c r="DP181" s="228">
        <v>1.53</v>
      </c>
      <c r="DQ181" s="228">
        <v>0.73</v>
      </c>
      <c r="DR181" s="228">
        <v>0.75</v>
      </c>
      <c r="DS181" s="228">
        <v>-0.02</v>
      </c>
      <c r="DT181" s="229">
        <v>-2.6700000000000002E-2</v>
      </c>
      <c r="DU181" s="231">
        <v>1100</v>
      </c>
      <c r="DV181" s="231">
        <v>1100</v>
      </c>
      <c r="DW181" s="228">
        <v>0.56999999999999995</v>
      </c>
      <c r="DX181" s="228">
        <v>0.71</v>
      </c>
      <c r="DY181" s="228">
        <v>-0.14000000000000001</v>
      </c>
      <c r="DZ181" s="229">
        <v>-0.19719999999999999</v>
      </c>
      <c r="EA181" s="229">
        <v>0.21809999999999999</v>
      </c>
      <c r="EB181" s="230">
        <v>19734000</v>
      </c>
      <c r="EC181" s="229">
        <v>4.7000000000000002E-3</v>
      </c>
      <c r="ED181" s="229">
        <v>0.21809999999999999</v>
      </c>
      <c r="EE181" s="228">
        <v>4.7</v>
      </c>
      <c r="EF181" s="229">
        <v>4.4000000000000003E-3</v>
      </c>
      <c r="EG181" s="230">
        <v>7047227</v>
      </c>
      <c r="EH181" s="230">
        <v>6903358</v>
      </c>
      <c r="EI181" s="229">
        <v>2.0799999999999999E-2</v>
      </c>
      <c r="EJ181" s="229">
        <v>0.58109999999999995</v>
      </c>
      <c r="EK181" s="231">
        <v>4389.91</v>
      </c>
      <c r="EL181" s="231">
        <v>2313.9299999999998</v>
      </c>
      <c r="EM181" s="231">
        <v>1300.72</v>
      </c>
      <c r="EN181" s="228">
        <v>363.91</v>
      </c>
      <c r="EO181" s="231">
        <v>8004.55</v>
      </c>
      <c r="EP181" s="231">
        <v>8236.93</v>
      </c>
      <c r="EQ181" s="228">
        <v>-232.37</v>
      </c>
      <c r="ER181" s="229">
        <v>-2.8199999999999999E-2</v>
      </c>
      <c r="ES181" s="231">
        <v>3633.97</v>
      </c>
      <c r="ET181" s="231">
        <v>2449.9899999999998</v>
      </c>
      <c r="EU181" s="231">
        <v>9981.6299999999992</v>
      </c>
      <c r="EV181" s="231">
        <v>580324288</v>
      </c>
      <c r="EW181" s="231">
        <v>16065.6</v>
      </c>
      <c r="EX181" s="231">
        <v>14934.63</v>
      </c>
      <c r="EY181" s="231">
        <v>1130.97</v>
      </c>
      <c r="EZ181" s="229">
        <v>7.5700000000000003E-2</v>
      </c>
      <c r="FA181" s="229">
        <v>0.25719999999999998</v>
      </c>
      <c r="FB181" s="227" t="s">
        <v>566</v>
      </c>
      <c r="FC181">
        <f t="shared" si="3"/>
        <v>0</v>
      </c>
    </row>
    <row r="182" spans="1:159" ht="17.25" thickBot="1" x14ac:dyDescent="0.3">
      <c r="A182" s="226">
        <v>46146</v>
      </c>
      <c r="B182" s="227" t="s">
        <v>157</v>
      </c>
      <c r="C182" s="227" t="s">
        <v>284</v>
      </c>
      <c r="D182" s="228">
        <v>25</v>
      </c>
      <c r="E182" s="228">
        <v>22</v>
      </c>
      <c r="F182" s="231">
        <v>24655</v>
      </c>
      <c r="G182" s="231">
        <v>24030</v>
      </c>
      <c r="H182" s="228">
        <v>625</v>
      </c>
      <c r="I182" s="229">
        <v>2.5999999999999999E-2</v>
      </c>
      <c r="J182" s="231">
        <v>24740</v>
      </c>
      <c r="K182" s="231">
        <v>24195</v>
      </c>
      <c r="L182" s="228">
        <v>545</v>
      </c>
      <c r="M182" s="229">
        <v>2.2499999999999999E-2</v>
      </c>
      <c r="N182" s="231">
        <v>24655</v>
      </c>
      <c r="O182" s="231">
        <v>24030</v>
      </c>
      <c r="P182" s="228">
        <v>625</v>
      </c>
      <c r="Q182" s="229">
        <v>2.5999999999999999E-2</v>
      </c>
      <c r="R182" s="231">
        <v>24365</v>
      </c>
      <c r="S182" s="231">
        <v>23825</v>
      </c>
      <c r="T182" s="228">
        <v>540</v>
      </c>
      <c r="U182" s="229">
        <v>2.2700000000000001E-2</v>
      </c>
      <c r="V182" s="231">
        <v>24185</v>
      </c>
      <c r="W182" s="231">
        <v>23470</v>
      </c>
      <c r="X182" s="228">
        <v>715</v>
      </c>
      <c r="Y182" s="229">
        <v>3.0499999999999999E-2</v>
      </c>
      <c r="Z182" s="228">
        <v>-85</v>
      </c>
      <c r="AA182" s="228">
        <v>-165</v>
      </c>
      <c r="AB182" s="228">
        <v>80</v>
      </c>
      <c r="AC182" s="229">
        <v>-3.3999999999999998E-3</v>
      </c>
      <c r="AD182" s="228">
        <v>-85</v>
      </c>
      <c r="AE182" s="228">
        <v>-165</v>
      </c>
      <c r="AF182" s="228">
        <v>80</v>
      </c>
      <c r="AG182" s="229">
        <v>-3.3999999999999998E-3</v>
      </c>
      <c r="AH182" s="228">
        <v>-375</v>
      </c>
      <c r="AI182" s="228">
        <v>-370</v>
      </c>
      <c r="AJ182" s="228">
        <v>-5</v>
      </c>
      <c r="AK182" s="229">
        <v>-1.52E-2</v>
      </c>
      <c r="AL182" s="228">
        <v>-555</v>
      </c>
      <c r="AM182" s="228">
        <v>-725</v>
      </c>
      <c r="AN182" s="228">
        <v>170</v>
      </c>
      <c r="AO182" s="229">
        <v>-2.24E-2</v>
      </c>
      <c r="AP182" s="231">
        <v>24535.7</v>
      </c>
      <c r="AQ182" s="231">
        <v>24312.16</v>
      </c>
      <c r="AR182" s="228">
        <v>0</v>
      </c>
      <c r="AS182" s="228">
        <v>137</v>
      </c>
      <c r="AT182" s="228">
        <v>109</v>
      </c>
      <c r="AU182" s="228">
        <v>28</v>
      </c>
      <c r="AV182" s="229">
        <v>0.25380000000000003</v>
      </c>
      <c r="AW182" s="228">
        <v>134</v>
      </c>
      <c r="AX182" s="228">
        <v>102</v>
      </c>
      <c r="AY182" s="228">
        <v>31</v>
      </c>
      <c r="AZ182" s="229">
        <v>0.30599999999999999</v>
      </c>
      <c r="BA182" s="228">
        <v>3</v>
      </c>
      <c r="BB182" s="228">
        <v>6</v>
      </c>
      <c r="BC182" s="228">
        <v>-3</v>
      </c>
      <c r="BD182" s="229">
        <v>-0.50960000000000005</v>
      </c>
      <c r="BE182" s="228">
        <v>0</v>
      </c>
      <c r="BF182" s="228">
        <v>1</v>
      </c>
      <c r="BG182" s="228">
        <v>0</v>
      </c>
      <c r="BH182" s="229">
        <v>-0.55559999999999998</v>
      </c>
      <c r="BI182" s="228">
        <v>132</v>
      </c>
      <c r="BJ182" s="228">
        <v>150</v>
      </c>
      <c r="BK182" s="228">
        <v>-18</v>
      </c>
      <c r="BL182" s="229">
        <v>-0.1195</v>
      </c>
      <c r="BM182" s="228">
        <v>53</v>
      </c>
      <c r="BN182" s="228">
        <v>86</v>
      </c>
      <c r="BO182" s="228">
        <v>-34</v>
      </c>
      <c r="BP182" s="229">
        <v>-0.3896</v>
      </c>
      <c r="BQ182" s="228">
        <v>321</v>
      </c>
      <c r="BR182" s="228">
        <v>345</v>
      </c>
      <c r="BS182" s="228">
        <v>-24</v>
      </c>
      <c r="BT182" s="229">
        <v>-6.88E-2</v>
      </c>
      <c r="BU182" s="230">
        <v>13061</v>
      </c>
      <c r="BV182" s="230">
        <v>35701</v>
      </c>
      <c r="BW182" s="230">
        <v>-22640</v>
      </c>
      <c r="BX182" s="229">
        <v>-0.63419999999999999</v>
      </c>
      <c r="BY182" s="228">
        <v>997</v>
      </c>
      <c r="BZ182" s="228">
        <v>970</v>
      </c>
      <c r="CA182" s="228">
        <v>27</v>
      </c>
      <c r="CB182" s="229">
        <v>2.7900000000000001E-2</v>
      </c>
      <c r="CC182" s="228">
        <v>986</v>
      </c>
      <c r="CD182" s="228">
        <v>958</v>
      </c>
      <c r="CE182" s="228">
        <v>27</v>
      </c>
      <c r="CF182" s="229">
        <v>2.8400000000000002E-2</v>
      </c>
      <c r="CG182" s="228">
        <v>11</v>
      </c>
      <c r="CH182" s="228">
        <v>11</v>
      </c>
      <c r="CI182" s="228">
        <v>0</v>
      </c>
      <c r="CJ182" s="229">
        <v>-1.6500000000000001E-2</v>
      </c>
      <c r="CK182" s="228">
        <v>1</v>
      </c>
      <c r="CL182" s="228">
        <v>1</v>
      </c>
      <c r="CM182" s="228">
        <v>0</v>
      </c>
      <c r="CN182" s="229">
        <v>0</v>
      </c>
      <c r="CO182" s="228">
        <v>101</v>
      </c>
      <c r="CP182" s="228">
        <v>92</v>
      </c>
      <c r="CQ182" s="228">
        <v>9</v>
      </c>
      <c r="CR182" s="229">
        <v>9.6799999999999997E-2</v>
      </c>
      <c r="CS182" s="228">
        <v>90</v>
      </c>
      <c r="CT182" s="228">
        <v>79</v>
      </c>
      <c r="CU182" s="228">
        <v>11</v>
      </c>
      <c r="CV182" s="229">
        <v>0.13730000000000001</v>
      </c>
      <c r="CW182" s="230">
        <v>1188</v>
      </c>
      <c r="CX182" s="230">
        <v>1141</v>
      </c>
      <c r="CY182" s="228">
        <v>47</v>
      </c>
      <c r="CZ182" s="229">
        <v>4.1000000000000002E-2</v>
      </c>
      <c r="DA182" s="228">
        <v>32.729999999999997</v>
      </c>
      <c r="DB182" s="228">
        <v>32.06</v>
      </c>
      <c r="DC182" s="228">
        <v>0.67</v>
      </c>
      <c r="DD182" s="228">
        <v>0.67</v>
      </c>
      <c r="DE182" s="228">
        <v>27.78</v>
      </c>
      <c r="DF182" s="228">
        <v>27.63</v>
      </c>
      <c r="DG182" s="228">
        <v>4.95</v>
      </c>
      <c r="DH182" s="228">
        <v>0.15</v>
      </c>
      <c r="DI182" s="228">
        <v>32.380000000000003</v>
      </c>
      <c r="DJ182" s="228">
        <v>31.56</v>
      </c>
      <c r="DK182" s="228">
        <v>0.82</v>
      </c>
      <c r="DL182" s="228">
        <v>0.82</v>
      </c>
      <c r="DM182" s="228">
        <v>33.590000000000003</v>
      </c>
      <c r="DN182" s="228">
        <v>32.93</v>
      </c>
      <c r="DO182" s="228">
        <v>0.66</v>
      </c>
      <c r="DP182" s="228">
        <v>0.66</v>
      </c>
      <c r="DQ182" s="228">
        <v>0.89</v>
      </c>
      <c r="DR182" s="228">
        <v>0.86</v>
      </c>
      <c r="DS182" s="228">
        <v>0.03</v>
      </c>
      <c r="DT182" s="229">
        <v>3.49E-2</v>
      </c>
      <c r="DU182" s="231">
        <v>25000</v>
      </c>
      <c r="DV182" s="231">
        <v>23000</v>
      </c>
      <c r="DW182" s="228">
        <v>0.4</v>
      </c>
      <c r="DX182" s="228">
        <v>0.57999999999999996</v>
      </c>
      <c r="DY182" s="228">
        <v>-0.18</v>
      </c>
      <c r="DZ182" s="229">
        <v>-0.31030000000000002</v>
      </c>
      <c r="EA182" s="229">
        <v>1.17E-2</v>
      </c>
      <c r="EB182" s="230">
        <v>4825</v>
      </c>
      <c r="EC182" s="229">
        <v>-1.18E-2</v>
      </c>
      <c r="ED182" s="229">
        <v>1.17E-2</v>
      </c>
      <c r="EE182" s="228">
        <v>-223.54</v>
      </c>
      <c r="EF182" s="229">
        <v>-9.1000000000000004E-3</v>
      </c>
      <c r="EG182" s="230">
        <v>3626</v>
      </c>
      <c r="EH182" s="230">
        <v>16579</v>
      </c>
      <c r="EI182" s="229">
        <v>-0.78129999999999999</v>
      </c>
      <c r="EJ182" s="229">
        <v>0.27760000000000001</v>
      </c>
      <c r="EK182" s="228">
        <v>138.72999999999999</v>
      </c>
      <c r="EL182" s="228">
        <v>51.65</v>
      </c>
      <c r="EM182" s="228">
        <v>136.33000000000001</v>
      </c>
      <c r="EN182" s="228">
        <v>50.97</v>
      </c>
      <c r="EO182" s="228">
        <v>326.7</v>
      </c>
      <c r="EP182" s="228">
        <v>343.03</v>
      </c>
      <c r="EQ182" s="228">
        <v>-16.329999999999998</v>
      </c>
      <c r="ER182" s="229">
        <v>-4.7600000000000003E-2</v>
      </c>
      <c r="ES182" s="228">
        <v>102.79</v>
      </c>
      <c r="ET182" s="228">
        <v>86.53</v>
      </c>
      <c r="EU182" s="228">
        <v>997.09</v>
      </c>
      <c r="EV182" s="231">
        <v>1655049</v>
      </c>
      <c r="EW182" s="231">
        <v>1186.4100000000001</v>
      </c>
      <c r="EX182" s="231">
        <v>1115.3</v>
      </c>
      <c r="EY182" s="228">
        <v>71.11</v>
      </c>
      <c r="EZ182" s="229">
        <v>6.3799999999999996E-2</v>
      </c>
      <c r="FA182" s="229">
        <v>0.29110000000000003</v>
      </c>
      <c r="FB182" s="227" t="s">
        <v>555</v>
      </c>
      <c r="FC182">
        <f t="shared" si="3"/>
        <v>0</v>
      </c>
    </row>
    <row r="183" spans="1:159" ht="17.25" thickBot="1" x14ac:dyDescent="0.3">
      <c r="A183" s="226">
        <v>46146</v>
      </c>
      <c r="B183" s="227" t="s">
        <v>175</v>
      </c>
      <c r="C183" s="227" t="s">
        <v>561</v>
      </c>
      <c r="D183" s="228">
        <v>825</v>
      </c>
      <c r="E183" s="228">
        <v>22</v>
      </c>
      <c r="F183" s="228">
        <v>962.95</v>
      </c>
      <c r="G183" s="228">
        <v>939.95</v>
      </c>
      <c r="H183" s="228">
        <v>23</v>
      </c>
      <c r="I183" s="229">
        <v>2.4500000000000001E-2</v>
      </c>
      <c r="J183" s="228">
        <v>960.45</v>
      </c>
      <c r="K183" s="228">
        <v>937.35</v>
      </c>
      <c r="L183" s="228">
        <v>23.1</v>
      </c>
      <c r="M183" s="229">
        <v>2.46E-2</v>
      </c>
      <c r="N183" s="228">
        <v>962.95</v>
      </c>
      <c r="O183" s="228">
        <v>939.95</v>
      </c>
      <c r="P183" s="228">
        <v>23</v>
      </c>
      <c r="Q183" s="229">
        <v>2.4500000000000001E-2</v>
      </c>
      <c r="R183" s="228">
        <v>969.35</v>
      </c>
      <c r="S183" s="228">
        <v>946.9</v>
      </c>
      <c r="T183" s="228">
        <v>22.45</v>
      </c>
      <c r="U183" s="229">
        <v>2.3699999999999999E-2</v>
      </c>
      <c r="V183" s="228">
        <v>968.45</v>
      </c>
      <c r="W183" s="228">
        <v>945.1</v>
      </c>
      <c r="X183" s="228">
        <v>23.35</v>
      </c>
      <c r="Y183" s="229">
        <v>2.47E-2</v>
      </c>
      <c r="Z183" s="228">
        <v>2.5</v>
      </c>
      <c r="AA183" s="228">
        <v>2.6</v>
      </c>
      <c r="AB183" s="228">
        <v>-0.1</v>
      </c>
      <c r="AC183" s="229">
        <v>2.5999999999999999E-3</v>
      </c>
      <c r="AD183" s="228">
        <v>2.5</v>
      </c>
      <c r="AE183" s="228">
        <v>2.6</v>
      </c>
      <c r="AF183" s="228">
        <v>-0.1</v>
      </c>
      <c r="AG183" s="229">
        <v>2.5999999999999999E-3</v>
      </c>
      <c r="AH183" s="228">
        <v>8.9</v>
      </c>
      <c r="AI183" s="228">
        <v>9.5500000000000007</v>
      </c>
      <c r="AJ183" s="228">
        <v>-0.65</v>
      </c>
      <c r="AK183" s="229">
        <v>9.2999999999999992E-3</v>
      </c>
      <c r="AL183" s="228">
        <v>8</v>
      </c>
      <c r="AM183" s="228">
        <v>7.75</v>
      </c>
      <c r="AN183" s="228">
        <v>0.25</v>
      </c>
      <c r="AO183" s="229">
        <v>8.3000000000000001E-3</v>
      </c>
      <c r="AP183" s="228">
        <v>964.15</v>
      </c>
      <c r="AQ183" s="228">
        <v>969.83</v>
      </c>
      <c r="AR183" s="228">
        <v>0</v>
      </c>
      <c r="AS183" s="228">
        <v>601</v>
      </c>
      <c r="AT183" s="228">
        <v>634</v>
      </c>
      <c r="AU183" s="228">
        <v>-33</v>
      </c>
      <c r="AV183" s="229">
        <v>-5.1799999999999999E-2</v>
      </c>
      <c r="AW183" s="228">
        <v>565</v>
      </c>
      <c r="AX183" s="228">
        <v>605</v>
      </c>
      <c r="AY183" s="228">
        <v>-39</v>
      </c>
      <c r="AZ183" s="229">
        <v>-6.4799999999999996E-2</v>
      </c>
      <c r="BA183" s="228">
        <v>31</v>
      </c>
      <c r="BB183" s="228">
        <v>24</v>
      </c>
      <c r="BC183" s="228">
        <v>7</v>
      </c>
      <c r="BD183" s="229">
        <v>0.30070000000000002</v>
      </c>
      <c r="BE183" s="228">
        <v>5</v>
      </c>
      <c r="BF183" s="228">
        <v>6</v>
      </c>
      <c r="BG183" s="228">
        <v>-1</v>
      </c>
      <c r="BH183" s="229">
        <v>-0.12330000000000001</v>
      </c>
      <c r="BI183" s="230">
        <v>1599</v>
      </c>
      <c r="BJ183" s="230">
        <v>1817</v>
      </c>
      <c r="BK183" s="228">
        <v>-218</v>
      </c>
      <c r="BL183" s="229">
        <v>-0.1202</v>
      </c>
      <c r="BM183" s="228">
        <v>600</v>
      </c>
      <c r="BN183" s="228">
        <v>978</v>
      </c>
      <c r="BO183" s="228">
        <v>-378</v>
      </c>
      <c r="BP183" s="229">
        <v>-0.3866</v>
      </c>
      <c r="BQ183" s="230">
        <v>2800</v>
      </c>
      <c r="BR183" s="230">
        <v>3429</v>
      </c>
      <c r="BS183" s="228">
        <v>-629</v>
      </c>
      <c r="BT183" s="229">
        <v>-0.1835</v>
      </c>
      <c r="BU183" s="230">
        <v>4189219</v>
      </c>
      <c r="BV183" s="230">
        <v>6209789</v>
      </c>
      <c r="BW183" s="230">
        <v>-2020570</v>
      </c>
      <c r="BX183" s="229">
        <v>-0.32540000000000002</v>
      </c>
      <c r="BY183" s="230">
        <v>4274</v>
      </c>
      <c r="BZ183" s="230">
        <v>4176</v>
      </c>
      <c r="CA183" s="228">
        <v>98</v>
      </c>
      <c r="CB183" s="229">
        <v>2.3400000000000001E-2</v>
      </c>
      <c r="CC183" s="230">
        <v>3716</v>
      </c>
      <c r="CD183" s="230">
        <v>3632</v>
      </c>
      <c r="CE183" s="228">
        <v>84</v>
      </c>
      <c r="CF183" s="229">
        <v>2.3199999999999998E-2</v>
      </c>
      <c r="CG183" s="228">
        <v>550</v>
      </c>
      <c r="CH183" s="228">
        <v>538</v>
      </c>
      <c r="CI183" s="228">
        <v>13</v>
      </c>
      <c r="CJ183" s="229">
        <v>2.3300000000000001E-2</v>
      </c>
      <c r="CK183" s="228">
        <v>7</v>
      </c>
      <c r="CL183" s="228">
        <v>6</v>
      </c>
      <c r="CM183" s="228">
        <v>1</v>
      </c>
      <c r="CN183" s="229">
        <v>0.1842</v>
      </c>
      <c r="CO183" s="230">
        <v>1802</v>
      </c>
      <c r="CP183" s="230">
        <v>1775</v>
      </c>
      <c r="CQ183" s="228">
        <v>28</v>
      </c>
      <c r="CR183" s="229">
        <v>1.55E-2</v>
      </c>
      <c r="CS183" s="228">
        <v>844</v>
      </c>
      <c r="CT183" s="228">
        <v>849</v>
      </c>
      <c r="CU183" s="228">
        <v>-5</v>
      </c>
      <c r="CV183" s="229">
        <v>-5.8999999999999999E-3</v>
      </c>
      <c r="CW183" s="230">
        <v>6920</v>
      </c>
      <c r="CX183" s="230">
        <v>6800</v>
      </c>
      <c r="CY183" s="228">
        <v>120</v>
      </c>
      <c r="CZ183" s="229">
        <v>1.77E-2</v>
      </c>
      <c r="DA183" s="228">
        <v>38.44</v>
      </c>
      <c r="DB183" s="228">
        <v>38.24</v>
      </c>
      <c r="DC183" s="228">
        <v>0.2</v>
      </c>
      <c r="DD183" s="228">
        <v>0.2</v>
      </c>
      <c r="DE183" s="228">
        <v>44.83</v>
      </c>
      <c r="DF183" s="228">
        <v>44.82</v>
      </c>
      <c r="DG183" s="228">
        <v>-6.39</v>
      </c>
      <c r="DH183" s="228">
        <v>0.01</v>
      </c>
      <c r="DI183" s="228">
        <v>38.590000000000003</v>
      </c>
      <c r="DJ183" s="228">
        <v>38.659999999999997</v>
      </c>
      <c r="DK183" s="228">
        <v>-7.0000000000000007E-2</v>
      </c>
      <c r="DL183" s="228">
        <v>-7.0000000000000007E-2</v>
      </c>
      <c r="DM183" s="228">
        <v>38.04</v>
      </c>
      <c r="DN183" s="228">
        <v>37.479999999999997</v>
      </c>
      <c r="DO183" s="228">
        <v>0.56000000000000005</v>
      </c>
      <c r="DP183" s="228">
        <v>0.56000000000000005</v>
      </c>
      <c r="DQ183" s="228">
        <v>0.47</v>
      </c>
      <c r="DR183" s="228">
        <v>0.48</v>
      </c>
      <c r="DS183" s="228">
        <v>-0.01</v>
      </c>
      <c r="DT183" s="229">
        <v>-2.0799999999999999E-2</v>
      </c>
      <c r="DU183" s="231">
        <v>1100</v>
      </c>
      <c r="DV183" s="228">
        <v>900</v>
      </c>
      <c r="DW183" s="228">
        <v>0.38</v>
      </c>
      <c r="DX183" s="228">
        <v>0.54</v>
      </c>
      <c r="DY183" s="228">
        <v>-0.16</v>
      </c>
      <c r="DZ183" s="229">
        <v>-0.29630000000000001</v>
      </c>
      <c r="EA183" s="229">
        <v>0.1305</v>
      </c>
      <c r="EB183" s="230">
        <v>5648775</v>
      </c>
      <c r="EC183" s="229">
        <v>6.6E-3</v>
      </c>
      <c r="ED183" s="229">
        <v>0.1305</v>
      </c>
      <c r="EE183" s="228">
        <v>5.68</v>
      </c>
      <c r="EF183" s="229">
        <v>5.8999999999999999E-3</v>
      </c>
      <c r="EG183" s="230">
        <v>1865709</v>
      </c>
      <c r="EH183" s="230">
        <v>2973121</v>
      </c>
      <c r="EI183" s="229">
        <v>-0.3725</v>
      </c>
      <c r="EJ183" s="229">
        <v>0.44540000000000002</v>
      </c>
      <c r="EK183" s="231">
        <v>1714.83</v>
      </c>
      <c r="EL183" s="228">
        <v>587.54</v>
      </c>
      <c r="EM183" s="228">
        <v>602.02</v>
      </c>
      <c r="EN183" s="228">
        <v>181.76</v>
      </c>
      <c r="EO183" s="231">
        <v>2904.39</v>
      </c>
      <c r="EP183" s="231">
        <v>3499.99</v>
      </c>
      <c r="EQ183" s="228">
        <v>-595.6</v>
      </c>
      <c r="ER183" s="229">
        <v>-0.17019999999999999</v>
      </c>
      <c r="ES183" s="231">
        <v>1938.61</v>
      </c>
      <c r="ET183" s="228">
        <v>818.59</v>
      </c>
      <c r="EU183" s="231">
        <v>4277.51</v>
      </c>
      <c r="EV183" s="231">
        <v>210567108</v>
      </c>
      <c r="EW183" s="231">
        <v>7034.71</v>
      </c>
      <c r="EX183" s="231">
        <v>6811.15</v>
      </c>
      <c r="EY183" s="228">
        <v>223.56</v>
      </c>
      <c r="EZ183" s="229">
        <v>3.2800000000000003E-2</v>
      </c>
      <c r="FA183" s="229">
        <v>0.34129999999999999</v>
      </c>
      <c r="FB183" s="227" t="s">
        <v>555</v>
      </c>
      <c r="FC183">
        <f t="shared" si="3"/>
        <v>0</v>
      </c>
    </row>
    <row r="184" spans="1:159" ht="17.25" thickBot="1" x14ac:dyDescent="0.3">
      <c r="A184" s="226">
        <v>46146</v>
      </c>
      <c r="B184" s="227" t="s">
        <v>184</v>
      </c>
      <c r="C184" s="227" t="s">
        <v>285</v>
      </c>
      <c r="D184" s="228">
        <v>175</v>
      </c>
      <c r="E184" s="228">
        <v>22</v>
      </c>
      <c r="F184" s="231">
        <v>3835.4</v>
      </c>
      <c r="G184" s="231">
        <v>3821.9</v>
      </c>
      <c r="H184" s="228">
        <v>13.5</v>
      </c>
      <c r="I184" s="229">
        <v>3.5000000000000001E-3</v>
      </c>
      <c r="J184" s="231">
        <v>3834.1</v>
      </c>
      <c r="K184" s="231">
        <v>3808.2</v>
      </c>
      <c r="L184" s="228">
        <v>25.9</v>
      </c>
      <c r="M184" s="229">
        <v>6.7999999999999996E-3</v>
      </c>
      <c r="N184" s="231">
        <v>3835.4</v>
      </c>
      <c r="O184" s="231">
        <v>3821.9</v>
      </c>
      <c r="P184" s="228">
        <v>13.5</v>
      </c>
      <c r="Q184" s="229">
        <v>3.5000000000000001E-3</v>
      </c>
      <c r="R184" s="231">
        <v>3823.7</v>
      </c>
      <c r="S184" s="231">
        <v>3819.7</v>
      </c>
      <c r="T184" s="228">
        <v>4</v>
      </c>
      <c r="U184" s="229">
        <v>1E-3</v>
      </c>
      <c r="V184" s="231">
        <v>3883</v>
      </c>
      <c r="W184" s="228">
        <v>0</v>
      </c>
      <c r="X184" s="231">
        <v>3883</v>
      </c>
      <c r="Y184" s="229">
        <v>0</v>
      </c>
      <c r="Z184" s="228">
        <v>1.3</v>
      </c>
      <c r="AA184" s="228">
        <v>13.7</v>
      </c>
      <c r="AB184" s="228">
        <v>-12.4</v>
      </c>
      <c r="AC184" s="229">
        <v>2.9999999999999997E-4</v>
      </c>
      <c r="AD184" s="228">
        <v>1.3</v>
      </c>
      <c r="AE184" s="228">
        <v>13.7</v>
      </c>
      <c r="AF184" s="228">
        <v>-12.4</v>
      </c>
      <c r="AG184" s="229">
        <v>2.9999999999999997E-4</v>
      </c>
      <c r="AH184" s="228">
        <v>-10.4</v>
      </c>
      <c r="AI184" s="228">
        <v>11.5</v>
      </c>
      <c r="AJ184" s="228">
        <v>-21.9</v>
      </c>
      <c r="AK184" s="229">
        <v>-2.7000000000000001E-3</v>
      </c>
      <c r="AL184" s="228">
        <v>48.9</v>
      </c>
      <c r="AM184" s="228">
        <v>0</v>
      </c>
      <c r="AN184" s="228">
        <v>48.9</v>
      </c>
      <c r="AO184" s="229">
        <v>1.2800000000000001E-2</v>
      </c>
      <c r="AP184" s="231">
        <v>3879.85</v>
      </c>
      <c r="AQ184" s="231">
        <v>3872.1</v>
      </c>
      <c r="AR184" s="228">
        <v>0</v>
      </c>
      <c r="AS184" s="228">
        <v>337</v>
      </c>
      <c r="AT184" s="228">
        <v>226</v>
      </c>
      <c r="AU184" s="228">
        <v>111</v>
      </c>
      <c r="AV184" s="229">
        <v>0.48949999999999999</v>
      </c>
      <c r="AW184" s="228">
        <v>321</v>
      </c>
      <c r="AX184" s="228">
        <v>221</v>
      </c>
      <c r="AY184" s="228">
        <v>100</v>
      </c>
      <c r="AZ184" s="229">
        <v>0.45450000000000002</v>
      </c>
      <c r="BA184" s="228">
        <v>16</v>
      </c>
      <c r="BB184" s="228">
        <v>5</v>
      </c>
      <c r="BC184" s="228">
        <v>10</v>
      </c>
      <c r="BD184" s="229">
        <v>1.9125000000000001</v>
      </c>
      <c r="BE184" s="228">
        <v>0</v>
      </c>
      <c r="BF184" s="228">
        <v>0</v>
      </c>
      <c r="BG184" s="228">
        <v>0</v>
      </c>
      <c r="BH184" s="229">
        <v>0</v>
      </c>
      <c r="BI184" s="230">
        <v>1356</v>
      </c>
      <c r="BJ184" s="228">
        <v>576</v>
      </c>
      <c r="BK184" s="228">
        <v>780</v>
      </c>
      <c r="BL184" s="229">
        <v>1.3551</v>
      </c>
      <c r="BM184" s="228">
        <v>373</v>
      </c>
      <c r="BN184" s="228">
        <v>218</v>
      </c>
      <c r="BO184" s="228">
        <v>155</v>
      </c>
      <c r="BP184" s="229">
        <v>0.71220000000000006</v>
      </c>
      <c r="BQ184" s="230">
        <v>2065</v>
      </c>
      <c r="BR184" s="230">
        <v>1019</v>
      </c>
      <c r="BS184" s="230">
        <v>1046</v>
      </c>
      <c r="BT184" s="229">
        <v>1.026</v>
      </c>
      <c r="BU184" s="230">
        <v>853821</v>
      </c>
      <c r="BV184" s="230">
        <v>491886</v>
      </c>
      <c r="BW184" s="230">
        <v>361935</v>
      </c>
      <c r="BX184" s="229">
        <v>0.73580000000000001</v>
      </c>
      <c r="BY184" s="230">
        <v>1168</v>
      </c>
      <c r="BZ184" s="230">
        <v>1123</v>
      </c>
      <c r="CA184" s="228">
        <v>45</v>
      </c>
      <c r="CB184" s="229">
        <v>4.0300000000000002E-2</v>
      </c>
      <c r="CC184" s="230">
        <v>1153</v>
      </c>
      <c r="CD184" s="230">
        <v>1106</v>
      </c>
      <c r="CE184" s="228">
        <v>46</v>
      </c>
      <c r="CF184" s="229">
        <v>4.1700000000000001E-2</v>
      </c>
      <c r="CG184" s="228">
        <v>16</v>
      </c>
      <c r="CH184" s="228">
        <v>17</v>
      </c>
      <c r="CI184" s="228">
        <v>-1</v>
      </c>
      <c r="CJ184" s="229">
        <v>-5.9799999999999999E-2</v>
      </c>
      <c r="CK184" s="228">
        <v>0</v>
      </c>
      <c r="CL184" s="228">
        <v>0</v>
      </c>
      <c r="CM184" s="228">
        <v>0</v>
      </c>
      <c r="CN184" s="229">
        <v>0</v>
      </c>
      <c r="CO184" s="228">
        <v>367</v>
      </c>
      <c r="CP184" s="228">
        <v>284</v>
      </c>
      <c r="CQ184" s="228">
        <v>82</v>
      </c>
      <c r="CR184" s="229">
        <v>0.29010000000000002</v>
      </c>
      <c r="CS184" s="228">
        <v>206</v>
      </c>
      <c r="CT184" s="228">
        <v>174</v>
      </c>
      <c r="CU184" s="228">
        <v>33</v>
      </c>
      <c r="CV184" s="229">
        <v>0.18770000000000001</v>
      </c>
      <c r="CW184" s="230">
        <v>1742</v>
      </c>
      <c r="CX184" s="230">
        <v>1581</v>
      </c>
      <c r="CY184" s="228">
        <v>160</v>
      </c>
      <c r="CZ184" s="229">
        <v>0.1014</v>
      </c>
      <c r="DA184" s="228">
        <v>41.1</v>
      </c>
      <c r="DB184" s="228">
        <v>39.97</v>
      </c>
      <c r="DC184" s="228">
        <v>1.1299999999999999</v>
      </c>
      <c r="DD184" s="228">
        <v>1.1299999999999999</v>
      </c>
      <c r="DE184" s="228">
        <v>40.56</v>
      </c>
      <c r="DF184" s="228">
        <v>40.659999999999997</v>
      </c>
      <c r="DG184" s="228">
        <v>0.54</v>
      </c>
      <c r="DH184" s="228">
        <v>-0.1</v>
      </c>
      <c r="DI184" s="228">
        <v>41.12</v>
      </c>
      <c r="DJ184" s="228">
        <v>40.01</v>
      </c>
      <c r="DK184" s="228">
        <v>1.1100000000000001</v>
      </c>
      <c r="DL184" s="228">
        <v>1.1100000000000001</v>
      </c>
      <c r="DM184" s="228">
        <v>41.05</v>
      </c>
      <c r="DN184" s="228">
        <v>39.840000000000003</v>
      </c>
      <c r="DO184" s="228">
        <v>1.21</v>
      </c>
      <c r="DP184" s="228">
        <v>1.21</v>
      </c>
      <c r="DQ184" s="228">
        <v>0.56000000000000005</v>
      </c>
      <c r="DR184" s="228">
        <v>0.61</v>
      </c>
      <c r="DS184" s="228">
        <v>-0.05</v>
      </c>
      <c r="DT184" s="229">
        <v>-8.2000000000000003E-2</v>
      </c>
      <c r="DU184" s="231">
        <v>4000</v>
      </c>
      <c r="DV184" s="231">
        <v>3500</v>
      </c>
      <c r="DW184" s="228">
        <v>0.27</v>
      </c>
      <c r="DX184" s="228">
        <v>0.38</v>
      </c>
      <c r="DY184" s="228">
        <v>-0.11</v>
      </c>
      <c r="DZ184" s="229">
        <v>-0.28949999999999998</v>
      </c>
      <c r="EA184" s="229">
        <v>1.3599999999999999E-2</v>
      </c>
      <c r="EB184" s="230">
        <v>43925</v>
      </c>
      <c r="EC184" s="229">
        <v>-3.0999999999999999E-3</v>
      </c>
      <c r="ED184" s="229">
        <v>1.3599999999999999E-2</v>
      </c>
      <c r="EE184" s="228">
        <v>-7.75</v>
      </c>
      <c r="EF184" s="229">
        <v>-2E-3</v>
      </c>
      <c r="EG184" s="230">
        <v>302925</v>
      </c>
      <c r="EH184" s="230">
        <v>189483</v>
      </c>
      <c r="EI184" s="229">
        <v>0.59870000000000001</v>
      </c>
      <c r="EJ184" s="229">
        <v>0.3548</v>
      </c>
      <c r="EK184" s="231">
        <v>1456.08</v>
      </c>
      <c r="EL184" s="228">
        <v>373.64</v>
      </c>
      <c r="EM184" s="228">
        <v>340.47</v>
      </c>
      <c r="EN184" s="228">
        <v>69.180000000000007</v>
      </c>
      <c r="EO184" s="231">
        <v>2170.19</v>
      </c>
      <c r="EP184" s="231">
        <v>1049.08</v>
      </c>
      <c r="EQ184" s="231">
        <v>1121.1099999999999</v>
      </c>
      <c r="ER184" s="229">
        <v>1.0687</v>
      </c>
      <c r="ES184" s="228">
        <v>379.88</v>
      </c>
      <c r="ET184" s="228">
        <v>195.09</v>
      </c>
      <c r="EU184" s="231">
        <v>1168.44</v>
      </c>
      <c r="EV184" s="231">
        <v>10374894</v>
      </c>
      <c r="EW184" s="231">
        <v>1743.4</v>
      </c>
      <c r="EX184" s="231">
        <v>1577.82</v>
      </c>
      <c r="EY184" s="228">
        <v>165.58</v>
      </c>
      <c r="EZ184" s="229">
        <v>0.10489999999999999</v>
      </c>
      <c r="FA184" s="229">
        <v>0.43769999999999998</v>
      </c>
      <c r="FB184" s="227" t="s">
        <v>555</v>
      </c>
      <c r="FC184">
        <f t="shared" si="3"/>
        <v>0</v>
      </c>
    </row>
    <row r="185" spans="1:159" ht="17.25" thickBot="1" x14ac:dyDescent="0.3">
      <c r="A185" s="226">
        <v>46146</v>
      </c>
      <c r="B185" s="227" t="s">
        <v>498</v>
      </c>
      <c r="C185" s="227" t="s">
        <v>645</v>
      </c>
      <c r="D185" s="228">
        <v>50</v>
      </c>
      <c r="E185" s="228">
        <v>22</v>
      </c>
      <c r="F185" s="231">
        <v>15520</v>
      </c>
      <c r="G185" s="231">
        <v>15535</v>
      </c>
      <c r="H185" s="228">
        <v>-15</v>
      </c>
      <c r="I185" s="229">
        <v>-1E-3</v>
      </c>
      <c r="J185" s="231">
        <v>15459</v>
      </c>
      <c r="K185" s="231">
        <v>15439</v>
      </c>
      <c r="L185" s="228">
        <v>20</v>
      </c>
      <c r="M185" s="229">
        <v>1.2999999999999999E-3</v>
      </c>
      <c r="N185" s="231">
        <v>15520</v>
      </c>
      <c r="O185" s="231">
        <v>15535</v>
      </c>
      <c r="P185" s="228">
        <v>-15</v>
      </c>
      <c r="Q185" s="229">
        <v>-1E-3</v>
      </c>
      <c r="R185" s="231">
        <v>15601</v>
      </c>
      <c r="S185" s="231">
        <v>15623</v>
      </c>
      <c r="T185" s="228">
        <v>-22</v>
      </c>
      <c r="U185" s="229">
        <v>-1.4E-3</v>
      </c>
      <c r="V185" s="231">
        <v>15550</v>
      </c>
      <c r="W185" s="231">
        <v>15700</v>
      </c>
      <c r="X185" s="228">
        <v>-150</v>
      </c>
      <c r="Y185" s="229">
        <v>-9.5999999999999992E-3</v>
      </c>
      <c r="Z185" s="228">
        <v>61</v>
      </c>
      <c r="AA185" s="228">
        <v>96</v>
      </c>
      <c r="AB185" s="228">
        <v>-35</v>
      </c>
      <c r="AC185" s="229">
        <v>3.8999999999999998E-3</v>
      </c>
      <c r="AD185" s="228">
        <v>61</v>
      </c>
      <c r="AE185" s="228">
        <v>96</v>
      </c>
      <c r="AF185" s="228">
        <v>-35</v>
      </c>
      <c r="AG185" s="229">
        <v>3.8999999999999998E-3</v>
      </c>
      <c r="AH185" s="228">
        <v>142</v>
      </c>
      <c r="AI185" s="228">
        <v>184</v>
      </c>
      <c r="AJ185" s="228">
        <v>-42</v>
      </c>
      <c r="AK185" s="229">
        <v>9.1999999999999998E-3</v>
      </c>
      <c r="AL185" s="228">
        <v>91</v>
      </c>
      <c r="AM185" s="228">
        <v>261</v>
      </c>
      <c r="AN185" s="228">
        <v>-170</v>
      </c>
      <c r="AO185" s="229">
        <v>5.8999999999999999E-3</v>
      </c>
      <c r="AP185" s="231">
        <v>15550.86</v>
      </c>
      <c r="AQ185" s="231">
        <v>15631.64</v>
      </c>
      <c r="AR185" s="228">
        <v>0</v>
      </c>
      <c r="AS185" s="228">
        <v>84</v>
      </c>
      <c r="AT185" s="228">
        <v>131</v>
      </c>
      <c r="AU185" s="228">
        <v>-47</v>
      </c>
      <c r="AV185" s="229">
        <v>-0.35580000000000001</v>
      </c>
      <c r="AW185" s="228">
        <v>78</v>
      </c>
      <c r="AX185" s="228">
        <v>126</v>
      </c>
      <c r="AY185" s="228">
        <v>-48</v>
      </c>
      <c r="AZ185" s="229">
        <v>-0.38019999999999998</v>
      </c>
      <c r="BA185" s="228">
        <v>5</v>
      </c>
      <c r="BB185" s="228">
        <v>4</v>
      </c>
      <c r="BC185" s="228">
        <v>1</v>
      </c>
      <c r="BD185" s="229">
        <v>0.26419999999999999</v>
      </c>
      <c r="BE185" s="228">
        <v>1</v>
      </c>
      <c r="BF185" s="228">
        <v>1</v>
      </c>
      <c r="BG185" s="228">
        <v>0</v>
      </c>
      <c r="BH185" s="229">
        <v>0.5</v>
      </c>
      <c r="BI185" s="228">
        <v>142</v>
      </c>
      <c r="BJ185" s="228">
        <v>223</v>
      </c>
      <c r="BK185" s="228">
        <v>-81</v>
      </c>
      <c r="BL185" s="229">
        <v>-0.36399999999999999</v>
      </c>
      <c r="BM185" s="228">
        <v>88</v>
      </c>
      <c r="BN185" s="228">
        <v>91</v>
      </c>
      <c r="BO185" s="228">
        <v>-3</v>
      </c>
      <c r="BP185" s="229">
        <v>-3.8300000000000001E-2</v>
      </c>
      <c r="BQ185" s="228">
        <v>314</v>
      </c>
      <c r="BR185" s="228">
        <v>445</v>
      </c>
      <c r="BS185" s="228">
        <v>-131</v>
      </c>
      <c r="BT185" s="229">
        <v>-0.29480000000000001</v>
      </c>
      <c r="BU185" s="230">
        <v>78495</v>
      </c>
      <c r="BV185" s="230">
        <v>97854</v>
      </c>
      <c r="BW185" s="230">
        <v>-19359</v>
      </c>
      <c r="BX185" s="229">
        <v>-0.1978</v>
      </c>
      <c r="BY185" s="230">
        <v>1195</v>
      </c>
      <c r="BZ185" s="230">
        <v>1199</v>
      </c>
      <c r="CA185" s="228">
        <v>-5</v>
      </c>
      <c r="CB185" s="229">
        <v>-3.8E-3</v>
      </c>
      <c r="CC185" s="230">
        <v>1111</v>
      </c>
      <c r="CD185" s="230">
        <v>1117</v>
      </c>
      <c r="CE185" s="228">
        <v>-7</v>
      </c>
      <c r="CF185" s="229">
        <v>-5.7999999999999996E-3</v>
      </c>
      <c r="CG185" s="228">
        <v>81</v>
      </c>
      <c r="CH185" s="228">
        <v>80</v>
      </c>
      <c r="CI185" s="228">
        <v>1</v>
      </c>
      <c r="CJ185" s="229">
        <v>1.6500000000000001E-2</v>
      </c>
      <c r="CK185" s="228">
        <v>2</v>
      </c>
      <c r="CL185" s="228">
        <v>2</v>
      </c>
      <c r="CM185" s="228">
        <v>1</v>
      </c>
      <c r="CN185" s="229">
        <v>0.33329999999999999</v>
      </c>
      <c r="CO185" s="228">
        <v>160</v>
      </c>
      <c r="CP185" s="228">
        <v>152</v>
      </c>
      <c r="CQ185" s="228">
        <v>8</v>
      </c>
      <c r="CR185" s="229">
        <v>5.21E-2</v>
      </c>
      <c r="CS185" s="228">
        <v>111</v>
      </c>
      <c r="CT185" s="228">
        <v>111</v>
      </c>
      <c r="CU185" s="228">
        <v>0</v>
      </c>
      <c r="CV185" s="229">
        <v>-2.0999999999999999E-3</v>
      </c>
      <c r="CW185" s="230">
        <v>1465</v>
      </c>
      <c r="CX185" s="230">
        <v>1462</v>
      </c>
      <c r="CY185" s="228">
        <v>3</v>
      </c>
      <c r="CZ185" s="229">
        <v>2.0999999999999999E-3</v>
      </c>
      <c r="DA185" s="228">
        <v>41.07</v>
      </c>
      <c r="DB185" s="228">
        <v>40.43</v>
      </c>
      <c r="DC185" s="228">
        <v>0.64</v>
      </c>
      <c r="DD185" s="228">
        <v>0.64</v>
      </c>
      <c r="DE185" s="228">
        <v>41.31</v>
      </c>
      <c r="DF185" s="228">
        <v>41.42</v>
      </c>
      <c r="DG185" s="228">
        <v>-0.24</v>
      </c>
      <c r="DH185" s="228">
        <v>-0.11</v>
      </c>
      <c r="DI185" s="228">
        <v>39.64</v>
      </c>
      <c r="DJ185" s="228">
        <v>39.630000000000003</v>
      </c>
      <c r="DK185" s="228">
        <v>0.01</v>
      </c>
      <c r="DL185" s="228">
        <v>0.01</v>
      </c>
      <c r="DM185" s="228">
        <v>43.36</v>
      </c>
      <c r="DN185" s="228">
        <v>42.38</v>
      </c>
      <c r="DO185" s="228">
        <v>0.98</v>
      </c>
      <c r="DP185" s="228">
        <v>0.98</v>
      </c>
      <c r="DQ185" s="228">
        <v>0.69</v>
      </c>
      <c r="DR185" s="228">
        <v>0.73</v>
      </c>
      <c r="DS185" s="228">
        <v>-0.04</v>
      </c>
      <c r="DT185" s="229">
        <v>-5.4800000000000001E-2</v>
      </c>
      <c r="DU185" s="231">
        <v>16000</v>
      </c>
      <c r="DV185" s="231">
        <v>15000</v>
      </c>
      <c r="DW185" s="228">
        <v>0.62</v>
      </c>
      <c r="DX185" s="228">
        <v>0.41</v>
      </c>
      <c r="DY185" s="228">
        <v>0.21</v>
      </c>
      <c r="DZ185" s="229">
        <v>0.51219999999999999</v>
      </c>
      <c r="EA185" s="229">
        <v>7.0199999999999999E-2</v>
      </c>
      <c r="EB185" s="230">
        <v>52800</v>
      </c>
      <c r="EC185" s="229">
        <v>5.1999999999999998E-3</v>
      </c>
      <c r="ED185" s="229">
        <v>7.0199999999999999E-2</v>
      </c>
      <c r="EE185" s="228">
        <v>80.78</v>
      </c>
      <c r="EF185" s="229">
        <v>5.1999999999999998E-3</v>
      </c>
      <c r="EG185" s="230">
        <v>25161</v>
      </c>
      <c r="EH185" s="230">
        <v>32759</v>
      </c>
      <c r="EI185" s="229">
        <v>-0.2319</v>
      </c>
      <c r="EJ185" s="229">
        <v>0.32050000000000001</v>
      </c>
      <c r="EK185" s="228">
        <v>152.19999999999999</v>
      </c>
      <c r="EL185" s="228">
        <v>80.33</v>
      </c>
      <c r="EM185" s="228">
        <v>84.63</v>
      </c>
      <c r="EN185" s="228">
        <v>48.1</v>
      </c>
      <c r="EO185" s="228">
        <v>317.16000000000003</v>
      </c>
      <c r="EP185" s="228">
        <v>455.17</v>
      </c>
      <c r="EQ185" s="228">
        <v>-138.01</v>
      </c>
      <c r="ER185" s="229">
        <v>-0.30320000000000003</v>
      </c>
      <c r="ES185" s="228">
        <v>166.79</v>
      </c>
      <c r="ET185" s="228">
        <v>102.95</v>
      </c>
      <c r="EU185" s="231">
        <v>1195.08</v>
      </c>
      <c r="EV185" s="231">
        <v>3644817</v>
      </c>
      <c r="EW185" s="231">
        <v>1464.82</v>
      </c>
      <c r="EX185" s="231">
        <v>1462.32</v>
      </c>
      <c r="EY185" s="228">
        <v>2.5</v>
      </c>
      <c r="EZ185" s="229">
        <v>1.6999999999999999E-3</v>
      </c>
      <c r="FA185" s="229">
        <v>0.25900000000000001</v>
      </c>
      <c r="FB185" s="227" t="s">
        <v>567</v>
      </c>
      <c r="FC185">
        <f t="shared" si="3"/>
        <v>0</v>
      </c>
    </row>
    <row r="186" spans="1:159" ht="17.25" thickBot="1" x14ac:dyDescent="0.3">
      <c r="A186" s="226">
        <v>46146</v>
      </c>
      <c r="B186" s="227" t="s">
        <v>162</v>
      </c>
      <c r="C186" s="227" t="s">
        <v>613</v>
      </c>
      <c r="D186" s="228">
        <v>1225</v>
      </c>
      <c r="E186" s="228">
        <v>22</v>
      </c>
      <c r="F186" s="228">
        <v>577</v>
      </c>
      <c r="G186" s="228">
        <v>609.25</v>
      </c>
      <c r="H186" s="228">
        <v>-32.25</v>
      </c>
      <c r="I186" s="229">
        <v>-5.2900000000000003E-2</v>
      </c>
      <c r="J186" s="228">
        <v>575.45000000000005</v>
      </c>
      <c r="K186" s="228">
        <v>607.25</v>
      </c>
      <c r="L186" s="228">
        <v>-31.8</v>
      </c>
      <c r="M186" s="229">
        <v>-5.2400000000000002E-2</v>
      </c>
      <c r="N186" s="228">
        <v>577</v>
      </c>
      <c r="O186" s="228">
        <v>609.25</v>
      </c>
      <c r="P186" s="228">
        <v>-32.25</v>
      </c>
      <c r="Q186" s="229">
        <v>-5.2900000000000003E-2</v>
      </c>
      <c r="R186" s="228">
        <v>579.1</v>
      </c>
      <c r="S186" s="228">
        <v>613.04999999999995</v>
      </c>
      <c r="T186" s="228">
        <v>-33.950000000000003</v>
      </c>
      <c r="U186" s="229">
        <v>-5.5399999999999998E-2</v>
      </c>
      <c r="V186" s="228">
        <v>584.95000000000005</v>
      </c>
      <c r="W186" s="228">
        <v>607.9</v>
      </c>
      <c r="X186" s="228">
        <v>-22.95</v>
      </c>
      <c r="Y186" s="229">
        <v>-3.78E-2</v>
      </c>
      <c r="Z186" s="228">
        <v>1.55</v>
      </c>
      <c r="AA186" s="228">
        <v>2</v>
      </c>
      <c r="AB186" s="228">
        <v>-0.45</v>
      </c>
      <c r="AC186" s="229">
        <v>2.7000000000000001E-3</v>
      </c>
      <c r="AD186" s="228">
        <v>1.55</v>
      </c>
      <c r="AE186" s="228">
        <v>2</v>
      </c>
      <c r="AF186" s="228">
        <v>-0.45</v>
      </c>
      <c r="AG186" s="229">
        <v>2.7000000000000001E-3</v>
      </c>
      <c r="AH186" s="228">
        <v>3.65</v>
      </c>
      <c r="AI186" s="228">
        <v>5.8</v>
      </c>
      <c r="AJ186" s="228">
        <v>-2.15</v>
      </c>
      <c r="AK186" s="229">
        <v>6.3E-3</v>
      </c>
      <c r="AL186" s="228">
        <v>9.5</v>
      </c>
      <c r="AM186" s="228">
        <v>0.65</v>
      </c>
      <c r="AN186" s="228">
        <v>8.85</v>
      </c>
      <c r="AO186" s="229">
        <v>1.6500000000000001E-2</v>
      </c>
      <c r="AP186" s="228">
        <v>582.41999999999996</v>
      </c>
      <c r="AQ186" s="228">
        <v>583.79999999999995</v>
      </c>
      <c r="AR186" s="228">
        <v>0</v>
      </c>
      <c r="AS186" s="228">
        <v>636</v>
      </c>
      <c r="AT186" s="228">
        <v>223</v>
      </c>
      <c r="AU186" s="228">
        <v>414</v>
      </c>
      <c r="AV186" s="229">
        <v>1.8587</v>
      </c>
      <c r="AW186" s="228">
        <v>621</v>
      </c>
      <c r="AX186" s="228">
        <v>218</v>
      </c>
      <c r="AY186" s="228">
        <v>403</v>
      </c>
      <c r="AZ186" s="229">
        <v>1.8532</v>
      </c>
      <c r="BA186" s="228">
        <v>15</v>
      </c>
      <c r="BB186" s="228">
        <v>5</v>
      </c>
      <c r="BC186" s="228">
        <v>10</v>
      </c>
      <c r="BD186" s="229">
        <v>2.25</v>
      </c>
      <c r="BE186" s="228">
        <v>1</v>
      </c>
      <c r="BF186" s="228">
        <v>0</v>
      </c>
      <c r="BG186" s="228">
        <v>0</v>
      </c>
      <c r="BH186" s="229">
        <v>0.5</v>
      </c>
      <c r="BI186" s="228">
        <v>780</v>
      </c>
      <c r="BJ186" s="228">
        <v>393</v>
      </c>
      <c r="BK186" s="228">
        <v>387</v>
      </c>
      <c r="BL186" s="229">
        <v>0.98529999999999995</v>
      </c>
      <c r="BM186" s="228">
        <v>465</v>
      </c>
      <c r="BN186" s="228">
        <v>199</v>
      </c>
      <c r="BO186" s="228">
        <v>266</v>
      </c>
      <c r="BP186" s="229">
        <v>1.3362000000000001</v>
      </c>
      <c r="BQ186" s="230">
        <v>1882</v>
      </c>
      <c r="BR186" s="228">
        <v>815</v>
      </c>
      <c r="BS186" s="230">
        <v>1067</v>
      </c>
      <c r="BT186" s="229">
        <v>1.3096000000000001</v>
      </c>
      <c r="BU186" s="230">
        <v>9712081</v>
      </c>
      <c r="BV186" s="230">
        <v>2958855</v>
      </c>
      <c r="BW186" s="230">
        <v>6753226</v>
      </c>
      <c r="BX186" s="229">
        <v>2.2824</v>
      </c>
      <c r="BY186" s="228">
        <v>936</v>
      </c>
      <c r="BZ186" s="228">
        <v>847</v>
      </c>
      <c r="CA186" s="228">
        <v>89</v>
      </c>
      <c r="CB186" s="229">
        <v>0.1051</v>
      </c>
      <c r="CC186" s="228">
        <v>925</v>
      </c>
      <c r="CD186" s="228">
        <v>839</v>
      </c>
      <c r="CE186" s="228">
        <v>86</v>
      </c>
      <c r="CF186" s="229">
        <v>0.10290000000000001</v>
      </c>
      <c r="CG186" s="228">
        <v>11</v>
      </c>
      <c r="CH186" s="228">
        <v>8</v>
      </c>
      <c r="CI186" s="228">
        <v>2</v>
      </c>
      <c r="CJ186" s="229">
        <v>0.29659999999999997</v>
      </c>
      <c r="CK186" s="228">
        <v>0</v>
      </c>
      <c r="CL186" s="228">
        <v>0</v>
      </c>
      <c r="CM186" s="228">
        <v>0</v>
      </c>
      <c r="CN186" s="229">
        <v>1.3332999999999999</v>
      </c>
      <c r="CO186" s="228">
        <v>258</v>
      </c>
      <c r="CP186" s="228">
        <v>159</v>
      </c>
      <c r="CQ186" s="228">
        <v>99</v>
      </c>
      <c r="CR186" s="229">
        <v>0.62139999999999995</v>
      </c>
      <c r="CS186" s="228">
        <v>147</v>
      </c>
      <c r="CT186" s="228">
        <v>121</v>
      </c>
      <c r="CU186" s="228">
        <v>25</v>
      </c>
      <c r="CV186" s="229">
        <v>0.20949999999999999</v>
      </c>
      <c r="CW186" s="230">
        <v>1341</v>
      </c>
      <c r="CX186" s="230">
        <v>1128</v>
      </c>
      <c r="CY186" s="228">
        <v>213</v>
      </c>
      <c r="CZ186" s="229">
        <v>0.1893</v>
      </c>
      <c r="DA186" s="228">
        <v>37.57</v>
      </c>
      <c r="DB186" s="228">
        <v>41.16</v>
      </c>
      <c r="DC186" s="228">
        <v>-3.59</v>
      </c>
      <c r="DD186" s="228">
        <v>-3.59</v>
      </c>
      <c r="DE186" s="228">
        <v>41.96</v>
      </c>
      <c r="DF186" s="228">
        <v>41.42</v>
      </c>
      <c r="DG186" s="228">
        <v>-4.3899999999999997</v>
      </c>
      <c r="DH186" s="228">
        <v>0.54</v>
      </c>
      <c r="DI186" s="228">
        <v>37.65</v>
      </c>
      <c r="DJ186" s="228">
        <v>40.79</v>
      </c>
      <c r="DK186" s="228">
        <v>-3.14</v>
      </c>
      <c r="DL186" s="228">
        <v>-3.14</v>
      </c>
      <c r="DM186" s="228">
        <v>37.43</v>
      </c>
      <c r="DN186" s="228">
        <v>41.89</v>
      </c>
      <c r="DO186" s="228">
        <v>-4.46</v>
      </c>
      <c r="DP186" s="228">
        <v>-4.46</v>
      </c>
      <c r="DQ186" s="228">
        <v>0.56999999999999995</v>
      </c>
      <c r="DR186" s="228">
        <v>0.76</v>
      </c>
      <c r="DS186" s="228">
        <v>-0.19</v>
      </c>
      <c r="DT186" s="229">
        <v>-0.25</v>
      </c>
      <c r="DU186" s="228">
        <v>600</v>
      </c>
      <c r="DV186" s="228">
        <v>600</v>
      </c>
      <c r="DW186" s="228">
        <v>0.6</v>
      </c>
      <c r="DX186" s="228">
        <v>0.51</v>
      </c>
      <c r="DY186" s="228">
        <v>0.09</v>
      </c>
      <c r="DZ186" s="229">
        <v>0.17649999999999999</v>
      </c>
      <c r="EA186" s="229">
        <v>1.21E-2</v>
      </c>
      <c r="EB186" s="230">
        <v>148225</v>
      </c>
      <c r="EC186" s="229">
        <v>3.5999999999999999E-3</v>
      </c>
      <c r="ED186" s="229">
        <v>1.21E-2</v>
      </c>
      <c r="EE186" s="228">
        <v>1.38</v>
      </c>
      <c r="EF186" s="229">
        <v>2.3999999999999998E-3</v>
      </c>
      <c r="EG186" s="230">
        <v>4872883</v>
      </c>
      <c r="EH186" s="230">
        <v>1273296</v>
      </c>
      <c r="EI186" s="229">
        <v>2.827</v>
      </c>
      <c r="EJ186" s="229">
        <v>0.50170000000000003</v>
      </c>
      <c r="EK186" s="228">
        <v>844.65</v>
      </c>
      <c r="EL186" s="228">
        <v>472.94</v>
      </c>
      <c r="EM186" s="228">
        <v>642.29999999999995</v>
      </c>
      <c r="EN186" s="228">
        <v>69.53</v>
      </c>
      <c r="EO186" s="231">
        <v>1959.89</v>
      </c>
      <c r="EP186" s="228">
        <v>875.59</v>
      </c>
      <c r="EQ186" s="231">
        <v>1084.3</v>
      </c>
      <c r="ER186" s="229">
        <v>1.2383999999999999</v>
      </c>
      <c r="ES186" s="228">
        <v>273.2</v>
      </c>
      <c r="ET186" s="228">
        <v>145.5</v>
      </c>
      <c r="EU186" s="228">
        <v>936.17</v>
      </c>
      <c r="EV186" s="231">
        <v>61283708</v>
      </c>
      <c r="EW186" s="231">
        <v>1354.86</v>
      </c>
      <c r="EX186" s="231">
        <v>1186.02</v>
      </c>
      <c r="EY186" s="228">
        <v>168.84</v>
      </c>
      <c r="EZ186" s="229">
        <v>0.1424</v>
      </c>
      <c r="FA186" s="229">
        <v>0.37930000000000003</v>
      </c>
      <c r="FB186" s="227" t="s">
        <v>566</v>
      </c>
      <c r="FC186">
        <f t="shared" si="3"/>
        <v>0</v>
      </c>
    </row>
    <row r="187" spans="1:159" ht="17.25" thickBot="1" x14ac:dyDescent="0.3">
      <c r="A187" s="226">
        <v>46146</v>
      </c>
      <c r="B187" s="227" t="s">
        <v>197</v>
      </c>
      <c r="C187" s="227" t="s">
        <v>286</v>
      </c>
      <c r="D187" s="228">
        <v>200</v>
      </c>
      <c r="E187" s="228">
        <v>22</v>
      </c>
      <c r="F187" s="231">
        <v>2564.6999999999998</v>
      </c>
      <c r="G187" s="231">
        <v>2533.8000000000002</v>
      </c>
      <c r="H187" s="228">
        <v>30.9</v>
      </c>
      <c r="I187" s="229">
        <v>1.2200000000000001E-2</v>
      </c>
      <c r="J187" s="231">
        <v>2551.4</v>
      </c>
      <c r="K187" s="231">
        <v>2518.6</v>
      </c>
      <c r="L187" s="228">
        <v>32.799999999999997</v>
      </c>
      <c r="M187" s="229">
        <v>1.2999999999999999E-2</v>
      </c>
      <c r="N187" s="231">
        <v>2564.6999999999998</v>
      </c>
      <c r="O187" s="231">
        <v>2533.8000000000002</v>
      </c>
      <c r="P187" s="228">
        <v>30.9</v>
      </c>
      <c r="Q187" s="229">
        <v>1.2200000000000001E-2</v>
      </c>
      <c r="R187" s="231">
        <v>2576.3000000000002</v>
      </c>
      <c r="S187" s="231">
        <v>2551</v>
      </c>
      <c r="T187" s="228">
        <v>25.3</v>
      </c>
      <c r="U187" s="229">
        <v>9.9000000000000008E-3</v>
      </c>
      <c r="V187" s="231">
        <v>2590.8000000000002</v>
      </c>
      <c r="W187" s="231">
        <v>2569</v>
      </c>
      <c r="X187" s="228">
        <v>21.8</v>
      </c>
      <c r="Y187" s="229">
        <v>8.5000000000000006E-3</v>
      </c>
      <c r="Z187" s="228">
        <v>13.3</v>
      </c>
      <c r="AA187" s="228">
        <v>15.2</v>
      </c>
      <c r="AB187" s="228">
        <v>-1.9</v>
      </c>
      <c r="AC187" s="229">
        <v>5.1999999999999998E-3</v>
      </c>
      <c r="AD187" s="228">
        <v>13.3</v>
      </c>
      <c r="AE187" s="228">
        <v>15.2</v>
      </c>
      <c r="AF187" s="228">
        <v>-1.9</v>
      </c>
      <c r="AG187" s="229">
        <v>5.1999999999999998E-3</v>
      </c>
      <c r="AH187" s="228">
        <v>24.9</v>
      </c>
      <c r="AI187" s="228">
        <v>32.4</v>
      </c>
      <c r="AJ187" s="228">
        <v>-7.5</v>
      </c>
      <c r="AK187" s="229">
        <v>9.7999999999999997E-3</v>
      </c>
      <c r="AL187" s="228">
        <v>39.4</v>
      </c>
      <c r="AM187" s="228">
        <v>50.4</v>
      </c>
      <c r="AN187" s="228">
        <v>-11</v>
      </c>
      <c r="AO187" s="229">
        <v>1.54E-2</v>
      </c>
      <c r="AP187" s="231">
        <v>2557.5700000000002</v>
      </c>
      <c r="AQ187" s="231">
        <v>2569.23</v>
      </c>
      <c r="AR187" s="228">
        <v>0</v>
      </c>
      <c r="AS187" s="228">
        <v>164</v>
      </c>
      <c r="AT187" s="228">
        <v>155</v>
      </c>
      <c r="AU187" s="228">
        <v>9</v>
      </c>
      <c r="AV187" s="229">
        <v>5.4899999999999997E-2</v>
      </c>
      <c r="AW187" s="228">
        <v>151</v>
      </c>
      <c r="AX187" s="228">
        <v>147</v>
      </c>
      <c r="AY187" s="228">
        <v>4</v>
      </c>
      <c r="AZ187" s="229">
        <v>2.41E-2</v>
      </c>
      <c r="BA187" s="228">
        <v>9</v>
      </c>
      <c r="BB187" s="228">
        <v>7</v>
      </c>
      <c r="BC187" s="228">
        <v>1</v>
      </c>
      <c r="BD187" s="229">
        <v>0.1736</v>
      </c>
      <c r="BE187" s="228">
        <v>4</v>
      </c>
      <c r="BF187" s="228">
        <v>1</v>
      </c>
      <c r="BG187" s="228">
        <v>4</v>
      </c>
      <c r="BH187" s="229">
        <v>7.2</v>
      </c>
      <c r="BI187" s="228">
        <v>290</v>
      </c>
      <c r="BJ187" s="228">
        <v>186</v>
      </c>
      <c r="BK187" s="228">
        <v>105</v>
      </c>
      <c r="BL187" s="229">
        <v>0.56540000000000001</v>
      </c>
      <c r="BM187" s="228">
        <v>115</v>
      </c>
      <c r="BN187" s="228">
        <v>81</v>
      </c>
      <c r="BO187" s="228">
        <v>34</v>
      </c>
      <c r="BP187" s="229">
        <v>0.41880000000000001</v>
      </c>
      <c r="BQ187" s="228">
        <v>569</v>
      </c>
      <c r="BR187" s="228">
        <v>421</v>
      </c>
      <c r="BS187" s="228">
        <v>147</v>
      </c>
      <c r="BT187" s="229">
        <v>0.34939999999999999</v>
      </c>
      <c r="BU187" s="230">
        <v>333041</v>
      </c>
      <c r="BV187" s="230">
        <v>419375</v>
      </c>
      <c r="BW187" s="230">
        <v>-86334</v>
      </c>
      <c r="BX187" s="229">
        <v>-0.2059</v>
      </c>
      <c r="BY187" s="228">
        <v>902</v>
      </c>
      <c r="BZ187" s="228">
        <v>895</v>
      </c>
      <c r="CA187" s="228">
        <v>7</v>
      </c>
      <c r="CB187" s="229">
        <v>8.0999999999999996E-3</v>
      </c>
      <c r="CC187" s="228">
        <v>888</v>
      </c>
      <c r="CD187" s="228">
        <v>881</v>
      </c>
      <c r="CE187" s="228">
        <v>7</v>
      </c>
      <c r="CF187" s="229">
        <v>8.0999999999999996E-3</v>
      </c>
      <c r="CG187" s="228">
        <v>13</v>
      </c>
      <c r="CH187" s="228">
        <v>13</v>
      </c>
      <c r="CI187" s="228">
        <v>0</v>
      </c>
      <c r="CJ187" s="229">
        <v>1.61E-2</v>
      </c>
      <c r="CK187" s="228">
        <v>1</v>
      </c>
      <c r="CL187" s="228">
        <v>1</v>
      </c>
      <c r="CM187" s="228">
        <v>0</v>
      </c>
      <c r="CN187" s="229">
        <v>-7.6899999999999996E-2</v>
      </c>
      <c r="CO187" s="228">
        <v>273</v>
      </c>
      <c r="CP187" s="228">
        <v>236</v>
      </c>
      <c r="CQ187" s="228">
        <v>36</v>
      </c>
      <c r="CR187" s="229">
        <v>0.153</v>
      </c>
      <c r="CS187" s="228">
        <v>227</v>
      </c>
      <c r="CT187" s="228">
        <v>214</v>
      </c>
      <c r="CU187" s="228">
        <v>13</v>
      </c>
      <c r="CV187" s="229">
        <v>5.96E-2</v>
      </c>
      <c r="CW187" s="230">
        <v>1402</v>
      </c>
      <c r="CX187" s="230">
        <v>1346</v>
      </c>
      <c r="CY187" s="228">
        <v>56</v>
      </c>
      <c r="CZ187" s="229">
        <v>4.1700000000000001E-2</v>
      </c>
      <c r="DA187" s="228">
        <v>38.25</v>
      </c>
      <c r="DB187" s="228">
        <v>36.54</v>
      </c>
      <c r="DC187" s="228">
        <v>1.71</v>
      </c>
      <c r="DD187" s="228">
        <v>1.71</v>
      </c>
      <c r="DE187" s="228">
        <v>36.049999999999997</v>
      </c>
      <c r="DF187" s="228">
        <v>36.1</v>
      </c>
      <c r="DG187" s="228">
        <v>2.2000000000000002</v>
      </c>
      <c r="DH187" s="228">
        <v>-0.05</v>
      </c>
      <c r="DI187" s="228">
        <v>38.049999999999997</v>
      </c>
      <c r="DJ187" s="228">
        <v>36.43</v>
      </c>
      <c r="DK187" s="228">
        <v>1.62</v>
      </c>
      <c r="DL187" s="228">
        <v>1.62</v>
      </c>
      <c r="DM187" s="228">
        <v>38.78</v>
      </c>
      <c r="DN187" s="228">
        <v>36.81</v>
      </c>
      <c r="DO187" s="228">
        <v>1.97</v>
      </c>
      <c r="DP187" s="228">
        <v>1.97</v>
      </c>
      <c r="DQ187" s="228">
        <v>0.83</v>
      </c>
      <c r="DR187" s="228">
        <v>0.91</v>
      </c>
      <c r="DS187" s="228">
        <v>-0.08</v>
      </c>
      <c r="DT187" s="229">
        <v>-8.7900000000000006E-2</v>
      </c>
      <c r="DU187" s="231">
        <v>2600</v>
      </c>
      <c r="DV187" s="231">
        <v>2500</v>
      </c>
      <c r="DW187" s="228">
        <v>0.39</v>
      </c>
      <c r="DX187" s="228">
        <v>0.44</v>
      </c>
      <c r="DY187" s="228">
        <v>-0.05</v>
      </c>
      <c r="DZ187" s="229">
        <v>-0.11360000000000001</v>
      </c>
      <c r="EA187" s="229">
        <v>1.5699999999999999E-2</v>
      </c>
      <c r="EB187" s="230">
        <v>54800</v>
      </c>
      <c r="EC187" s="229">
        <v>4.4999999999999997E-3</v>
      </c>
      <c r="ED187" s="229">
        <v>1.5699999999999999E-2</v>
      </c>
      <c r="EE187" s="228">
        <v>11.66</v>
      </c>
      <c r="EF187" s="229">
        <v>4.5999999999999999E-3</v>
      </c>
      <c r="EG187" s="230">
        <v>171751</v>
      </c>
      <c r="EH187" s="230">
        <v>218007</v>
      </c>
      <c r="EI187" s="229">
        <v>-0.2122</v>
      </c>
      <c r="EJ187" s="229">
        <v>0.51570000000000005</v>
      </c>
      <c r="EK187" s="228">
        <v>306.97000000000003</v>
      </c>
      <c r="EL187" s="228">
        <v>113.5</v>
      </c>
      <c r="EM187" s="228">
        <v>163.19</v>
      </c>
      <c r="EN187" s="228">
        <v>79.61</v>
      </c>
      <c r="EO187" s="228">
        <v>583.66</v>
      </c>
      <c r="EP187" s="228">
        <v>426.01</v>
      </c>
      <c r="EQ187" s="228">
        <v>157.65</v>
      </c>
      <c r="ER187" s="229">
        <v>0.37009999999999998</v>
      </c>
      <c r="ES187" s="228">
        <v>279.81</v>
      </c>
      <c r="ET187" s="228">
        <v>222.33</v>
      </c>
      <c r="EU187" s="228">
        <v>902.18</v>
      </c>
      <c r="EV187" s="231">
        <v>19721628</v>
      </c>
      <c r="EW187" s="231">
        <v>1404.32</v>
      </c>
      <c r="EX187" s="231">
        <v>1334.82</v>
      </c>
      <c r="EY187" s="228">
        <v>69.5</v>
      </c>
      <c r="EZ187" s="229">
        <v>5.21E-2</v>
      </c>
      <c r="FA187" s="229">
        <v>0.27710000000000001</v>
      </c>
      <c r="FB187" s="227" t="s">
        <v>555</v>
      </c>
      <c r="FC187">
        <f t="shared" si="3"/>
        <v>0</v>
      </c>
    </row>
    <row r="188" spans="1:159" ht="17.25" thickBot="1" x14ac:dyDescent="0.3">
      <c r="A188" s="226">
        <v>46146</v>
      </c>
      <c r="B188" s="227" t="s">
        <v>170</v>
      </c>
      <c r="C188" s="227" t="s">
        <v>288</v>
      </c>
      <c r="D188" s="228">
        <v>350</v>
      </c>
      <c r="E188" s="228">
        <v>22</v>
      </c>
      <c r="F188" s="231">
        <v>1828.1</v>
      </c>
      <c r="G188" s="231">
        <v>1815</v>
      </c>
      <c r="H188" s="228">
        <v>13.1</v>
      </c>
      <c r="I188" s="229">
        <v>7.1999999999999998E-3</v>
      </c>
      <c r="J188" s="231">
        <v>1823.5</v>
      </c>
      <c r="K188" s="231">
        <v>1808.3</v>
      </c>
      <c r="L188" s="228">
        <v>15.2</v>
      </c>
      <c r="M188" s="229">
        <v>8.3999999999999995E-3</v>
      </c>
      <c r="N188" s="231">
        <v>1828.1</v>
      </c>
      <c r="O188" s="231">
        <v>1815</v>
      </c>
      <c r="P188" s="228">
        <v>13.1</v>
      </c>
      <c r="Q188" s="229">
        <v>7.1999999999999998E-3</v>
      </c>
      <c r="R188" s="231">
        <v>1840.7</v>
      </c>
      <c r="S188" s="231">
        <v>1826.2</v>
      </c>
      <c r="T188" s="228">
        <v>14.5</v>
      </c>
      <c r="U188" s="229">
        <v>7.9000000000000008E-3</v>
      </c>
      <c r="V188" s="231">
        <v>1843.2</v>
      </c>
      <c r="W188" s="231">
        <v>1832</v>
      </c>
      <c r="X188" s="228">
        <v>11.2</v>
      </c>
      <c r="Y188" s="229">
        <v>6.1000000000000004E-3</v>
      </c>
      <c r="Z188" s="228">
        <v>4.5999999999999996</v>
      </c>
      <c r="AA188" s="228">
        <v>6.7</v>
      </c>
      <c r="AB188" s="228">
        <v>-2.1</v>
      </c>
      <c r="AC188" s="229">
        <v>2.5000000000000001E-3</v>
      </c>
      <c r="AD188" s="228">
        <v>4.5999999999999996</v>
      </c>
      <c r="AE188" s="228">
        <v>6.7</v>
      </c>
      <c r="AF188" s="228">
        <v>-2.1</v>
      </c>
      <c r="AG188" s="229">
        <v>2.5000000000000001E-3</v>
      </c>
      <c r="AH188" s="228">
        <v>17.2</v>
      </c>
      <c r="AI188" s="228">
        <v>17.899999999999999</v>
      </c>
      <c r="AJ188" s="228">
        <v>-0.7</v>
      </c>
      <c r="AK188" s="229">
        <v>9.4000000000000004E-3</v>
      </c>
      <c r="AL188" s="228">
        <v>19.7</v>
      </c>
      <c r="AM188" s="228">
        <v>23.7</v>
      </c>
      <c r="AN188" s="228">
        <v>-4</v>
      </c>
      <c r="AO188" s="229">
        <v>1.0800000000000001E-2</v>
      </c>
      <c r="AP188" s="231">
        <v>1828.36</v>
      </c>
      <c r="AQ188" s="231">
        <v>1840.93</v>
      </c>
      <c r="AR188" s="228">
        <v>0</v>
      </c>
      <c r="AS188" s="228">
        <v>570</v>
      </c>
      <c r="AT188" s="228">
        <v>748</v>
      </c>
      <c r="AU188" s="228">
        <v>-178</v>
      </c>
      <c r="AV188" s="229">
        <v>-0.23780000000000001</v>
      </c>
      <c r="AW188" s="228">
        <v>538</v>
      </c>
      <c r="AX188" s="228">
        <v>723</v>
      </c>
      <c r="AY188" s="228">
        <v>-186</v>
      </c>
      <c r="AZ188" s="229">
        <v>-0.25659999999999999</v>
      </c>
      <c r="BA188" s="228">
        <v>31</v>
      </c>
      <c r="BB188" s="228">
        <v>22</v>
      </c>
      <c r="BC188" s="228">
        <v>9</v>
      </c>
      <c r="BD188" s="229">
        <v>0.39539999999999997</v>
      </c>
      <c r="BE188" s="228">
        <v>1</v>
      </c>
      <c r="BF188" s="228">
        <v>3</v>
      </c>
      <c r="BG188" s="228">
        <v>-1</v>
      </c>
      <c r="BH188" s="229">
        <v>-0.45240000000000002</v>
      </c>
      <c r="BI188" s="230">
        <v>2365</v>
      </c>
      <c r="BJ188" s="230">
        <v>3634</v>
      </c>
      <c r="BK188" s="230">
        <v>-1269</v>
      </c>
      <c r="BL188" s="229">
        <v>-0.34910000000000002</v>
      </c>
      <c r="BM188" s="230">
        <v>1248</v>
      </c>
      <c r="BN188" s="230">
        <v>1752</v>
      </c>
      <c r="BO188" s="228">
        <v>-505</v>
      </c>
      <c r="BP188" s="229">
        <v>-0.28789999999999999</v>
      </c>
      <c r="BQ188" s="230">
        <v>4184</v>
      </c>
      <c r="BR188" s="230">
        <v>6135</v>
      </c>
      <c r="BS188" s="230">
        <v>-1951</v>
      </c>
      <c r="BT188" s="229">
        <v>-0.31809999999999999</v>
      </c>
      <c r="BU188" s="230">
        <v>4468829</v>
      </c>
      <c r="BV188" s="230">
        <v>4960661</v>
      </c>
      <c r="BW188" s="230">
        <v>-491832</v>
      </c>
      <c r="BX188" s="229">
        <v>-9.9099999999999994E-2</v>
      </c>
      <c r="BY188" s="230">
        <v>5192</v>
      </c>
      <c r="BZ188" s="230">
        <v>5174</v>
      </c>
      <c r="CA188" s="228">
        <v>19</v>
      </c>
      <c r="CB188" s="229">
        <v>3.5999999999999999E-3</v>
      </c>
      <c r="CC188" s="230">
        <v>4528</v>
      </c>
      <c r="CD188" s="230">
        <v>4530</v>
      </c>
      <c r="CE188" s="228">
        <v>-2</v>
      </c>
      <c r="CF188" s="229">
        <v>-4.0000000000000002E-4</v>
      </c>
      <c r="CG188" s="228">
        <v>661</v>
      </c>
      <c r="CH188" s="228">
        <v>641</v>
      </c>
      <c r="CI188" s="228">
        <v>20</v>
      </c>
      <c r="CJ188" s="229">
        <v>3.1399999999999997E-2</v>
      </c>
      <c r="CK188" s="228">
        <v>3</v>
      </c>
      <c r="CL188" s="228">
        <v>3</v>
      </c>
      <c r="CM188" s="228">
        <v>0</v>
      </c>
      <c r="CN188" s="229">
        <v>0.06</v>
      </c>
      <c r="CO188" s="230">
        <v>1723</v>
      </c>
      <c r="CP188" s="230">
        <v>1473</v>
      </c>
      <c r="CQ188" s="228">
        <v>250</v>
      </c>
      <c r="CR188" s="229">
        <v>0.17</v>
      </c>
      <c r="CS188" s="230">
        <v>1236</v>
      </c>
      <c r="CT188" s="230">
        <v>1113</v>
      </c>
      <c r="CU188" s="228">
        <v>123</v>
      </c>
      <c r="CV188" s="229">
        <v>0.111</v>
      </c>
      <c r="CW188" s="230">
        <v>8152</v>
      </c>
      <c r="CX188" s="230">
        <v>7759</v>
      </c>
      <c r="CY188" s="228">
        <v>392</v>
      </c>
      <c r="CZ188" s="229">
        <v>5.0599999999999999E-2</v>
      </c>
      <c r="DA188" s="228">
        <v>23.25</v>
      </c>
      <c r="DB188" s="228">
        <v>22.78</v>
      </c>
      <c r="DC188" s="228">
        <v>0.47</v>
      </c>
      <c r="DD188" s="228">
        <v>0.47</v>
      </c>
      <c r="DE188" s="228">
        <v>25.6</v>
      </c>
      <c r="DF188" s="228">
        <v>25.64</v>
      </c>
      <c r="DG188" s="228">
        <v>-2.35</v>
      </c>
      <c r="DH188" s="228">
        <v>-0.04</v>
      </c>
      <c r="DI188" s="228">
        <v>22.54</v>
      </c>
      <c r="DJ188" s="228">
        <v>22.12</v>
      </c>
      <c r="DK188" s="228">
        <v>0.42</v>
      </c>
      <c r="DL188" s="228">
        <v>0.42</v>
      </c>
      <c r="DM188" s="228">
        <v>24.6</v>
      </c>
      <c r="DN188" s="228">
        <v>24.15</v>
      </c>
      <c r="DO188" s="228">
        <v>0.45</v>
      </c>
      <c r="DP188" s="228">
        <v>0.45</v>
      </c>
      <c r="DQ188" s="228">
        <v>0.72</v>
      </c>
      <c r="DR188" s="228">
        <v>0.76</v>
      </c>
      <c r="DS188" s="228">
        <v>-0.04</v>
      </c>
      <c r="DT188" s="229">
        <v>-5.2600000000000001E-2</v>
      </c>
      <c r="DU188" s="231">
        <v>1860</v>
      </c>
      <c r="DV188" s="231">
        <v>1700</v>
      </c>
      <c r="DW188" s="228">
        <v>0.53</v>
      </c>
      <c r="DX188" s="228">
        <v>0.48</v>
      </c>
      <c r="DY188" s="228">
        <v>0.05</v>
      </c>
      <c r="DZ188" s="229">
        <v>0.1042</v>
      </c>
      <c r="EA188" s="229">
        <v>0.12790000000000001</v>
      </c>
      <c r="EB188" s="230">
        <v>3521350</v>
      </c>
      <c r="EC188" s="229">
        <v>6.8999999999999999E-3</v>
      </c>
      <c r="ED188" s="229">
        <v>0.12790000000000001</v>
      </c>
      <c r="EE188" s="228">
        <v>12.57</v>
      </c>
      <c r="EF188" s="229">
        <v>6.8999999999999999E-3</v>
      </c>
      <c r="EG188" s="230">
        <v>2817612</v>
      </c>
      <c r="EH188" s="230">
        <v>3327254</v>
      </c>
      <c r="EI188" s="229">
        <v>-0.1532</v>
      </c>
      <c r="EJ188" s="229">
        <v>0.63049999999999995</v>
      </c>
      <c r="EK188" s="231">
        <v>2460.52</v>
      </c>
      <c r="EL188" s="231">
        <v>1217.5999999999999</v>
      </c>
      <c r="EM188" s="228">
        <v>570.72</v>
      </c>
      <c r="EN188" s="228">
        <v>346.11</v>
      </c>
      <c r="EO188" s="231">
        <v>4248.84</v>
      </c>
      <c r="EP188" s="231">
        <v>6134.77</v>
      </c>
      <c r="EQ188" s="231">
        <v>-1885.94</v>
      </c>
      <c r="ER188" s="229">
        <v>-0.30740000000000001</v>
      </c>
      <c r="ES188" s="231">
        <v>1719.3</v>
      </c>
      <c r="ET188" s="231">
        <v>1146.1400000000001</v>
      </c>
      <c r="EU188" s="231">
        <v>5196.91</v>
      </c>
      <c r="EV188" s="231">
        <v>121755902</v>
      </c>
      <c r="EW188" s="231">
        <v>8062.35</v>
      </c>
      <c r="EX188" s="231">
        <v>7623.62</v>
      </c>
      <c r="EY188" s="228">
        <v>438.73</v>
      </c>
      <c r="EZ188" s="229">
        <v>5.7500000000000002E-2</v>
      </c>
      <c r="FA188" s="229">
        <v>0.36620000000000003</v>
      </c>
      <c r="FB188" s="227" t="s">
        <v>555</v>
      </c>
      <c r="FC188">
        <f t="shared" si="3"/>
        <v>0</v>
      </c>
    </row>
    <row r="189" spans="1:159" ht="17.25" thickBot="1" x14ac:dyDescent="0.3">
      <c r="A189" s="226">
        <v>46146</v>
      </c>
      <c r="B189" s="227" t="s">
        <v>184</v>
      </c>
      <c r="C189" s="227" t="s">
        <v>573</v>
      </c>
      <c r="D189" s="228">
        <v>175</v>
      </c>
      <c r="E189" s="228">
        <v>22</v>
      </c>
      <c r="F189" s="231">
        <v>3638</v>
      </c>
      <c r="G189" s="231">
        <v>3632.1</v>
      </c>
      <c r="H189" s="228">
        <v>5.9</v>
      </c>
      <c r="I189" s="229">
        <v>1.6000000000000001E-3</v>
      </c>
      <c r="J189" s="231">
        <v>3620.1</v>
      </c>
      <c r="K189" s="231">
        <v>3622.6</v>
      </c>
      <c r="L189" s="228">
        <v>-2.5</v>
      </c>
      <c r="M189" s="229">
        <v>-6.9999999999999999E-4</v>
      </c>
      <c r="N189" s="231">
        <v>3638</v>
      </c>
      <c r="O189" s="231">
        <v>3632.1</v>
      </c>
      <c r="P189" s="228">
        <v>5.9</v>
      </c>
      <c r="Q189" s="229">
        <v>1.6000000000000001E-3</v>
      </c>
      <c r="R189" s="231">
        <v>3632.5</v>
      </c>
      <c r="S189" s="231">
        <v>3624.3</v>
      </c>
      <c r="T189" s="228">
        <v>8.1999999999999993</v>
      </c>
      <c r="U189" s="229">
        <v>2.3E-3</v>
      </c>
      <c r="V189" s="231">
        <v>3610.4</v>
      </c>
      <c r="W189" s="231">
        <v>3610.4</v>
      </c>
      <c r="X189" s="228">
        <v>0</v>
      </c>
      <c r="Y189" s="229">
        <v>0</v>
      </c>
      <c r="Z189" s="228">
        <v>17.899999999999999</v>
      </c>
      <c r="AA189" s="228">
        <v>9.5</v>
      </c>
      <c r="AB189" s="228">
        <v>8.4</v>
      </c>
      <c r="AC189" s="229">
        <v>4.8999999999999998E-3</v>
      </c>
      <c r="AD189" s="228">
        <v>17.899999999999999</v>
      </c>
      <c r="AE189" s="228">
        <v>9.5</v>
      </c>
      <c r="AF189" s="228">
        <v>8.4</v>
      </c>
      <c r="AG189" s="229">
        <v>4.8999999999999998E-3</v>
      </c>
      <c r="AH189" s="228">
        <v>12.4</v>
      </c>
      <c r="AI189" s="228">
        <v>1.7</v>
      </c>
      <c r="AJ189" s="228">
        <v>10.7</v>
      </c>
      <c r="AK189" s="229">
        <v>3.3999999999999998E-3</v>
      </c>
      <c r="AL189" s="228">
        <v>-9.6999999999999993</v>
      </c>
      <c r="AM189" s="228">
        <v>-12.2</v>
      </c>
      <c r="AN189" s="228">
        <v>2.5</v>
      </c>
      <c r="AO189" s="229">
        <v>-2.7000000000000001E-3</v>
      </c>
      <c r="AP189" s="231">
        <v>3657.25</v>
      </c>
      <c r="AQ189" s="231">
        <v>3651.19</v>
      </c>
      <c r="AR189" s="228">
        <v>0</v>
      </c>
      <c r="AS189" s="228">
        <v>90</v>
      </c>
      <c r="AT189" s="228">
        <v>116</v>
      </c>
      <c r="AU189" s="228">
        <v>-26</v>
      </c>
      <c r="AV189" s="229">
        <v>-0.2253</v>
      </c>
      <c r="AW189" s="228">
        <v>87</v>
      </c>
      <c r="AX189" s="228">
        <v>112</v>
      </c>
      <c r="AY189" s="228">
        <v>-25</v>
      </c>
      <c r="AZ189" s="229">
        <v>-0.2208</v>
      </c>
      <c r="BA189" s="228">
        <v>3</v>
      </c>
      <c r="BB189" s="228">
        <v>4</v>
      </c>
      <c r="BC189" s="228">
        <v>-1</v>
      </c>
      <c r="BD189" s="229">
        <v>-0.31879999999999997</v>
      </c>
      <c r="BE189" s="228">
        <v>0</v>
      </c>
      <c r="BF189" s="228">
        <v>0</v>
      </c>
      <c r="BG189" s="228">
        <v>0</v>
      </c>
      <c r="BH189" s="229">
        <v>-0.66669999999999996</v>
      </c>
      <c r="BI189" s="228">
        <v>287</v>
      </c>
      <c r="BJ189" s="228">
        <v>288</v>
      </c>
      <c r="BK189" s="228">
        <v>-1</v>
      </c>
      <c r="BL189" s="229">
        <v>-4.5999999999999999E-3</v>
      </c>
      <c r="BM189" s="228">
        <v>117</v>
      </c>
      <c r="BN189" s="228">
        <v>180</v>
      </c>
      <c r="BO189" s="228">
        <v>-63</v>
      </c>
      <c r="BP189" s="229">
        <v>-0.3478</v>
      </c>
      <c r="BQ189" s="228">
        <v>495</v>
      </c>
      <c r="BR189" s="228">
        <v>585</v>
      </c>
      <c r="BS189" s="228">
        <v>-90</v>
      </c>
      <c r="BT189" s="229">
        <v>-0.15429999999999999</v>
      </c>
      <c r="BU189" s="230">
        <v>152821</v>
      </c>
      <c r="BV189" s="230">
        <v>336538</v>
      </c>
      <c r="BW189" s="230">
        <v>-183717</v>
      </c>
      <c r="BX189" s="229">
        <v>-0.54590000000000005</v>
      </c>
      <c r="BY189" s="228">
        <v>797</v>
      </c>
      <c r="BZ189" s="228">
        <v>805</v>
      </c>
      <c r="CA189" s="228">
        <v>-8</v>
      </c>
      <c r="CB189" s="229">
        <v>-9.7999999999999997E-3</v>
      </c>
      <c r="CC189" s="228">
        <v>785</v>
      </c>
      <c r="CD189" s="228">
        <v>794</v>
      </c>
      <c r="CE189" s="228">
        <v>-8</v>
      </c>
      <c r="CF189" s="229">
        <v>-1.04E-2</v>
      </c>
      <c r="CG189" s="228">
        <v>12</v>
      </c>
      <c r="CH189" s="228">
        <v>12</v>
      </c>
      <c r="CI189" s="228">
        <v>0</v>
      </c>
      <c r="CJ189" s="229">
        <v>2.76E-2</v>
      </c>
      <c r="CK189" s="228">
        <v>0</v>
      </c>
      <c r="CL189" s="228">
        <v>0</v>
      </c>
      <c r="CM189" s="228">
        <v>0</v>
      </c>
      <c r="CN189" s="229">
        <v>0.33329999999999999</v>
      </c>
      <c r="CO189" s="228">
        <v>346</v>
      </c>
      <c r="CP189" s="228">
        <v>297</v>
      </c>
      <c r="CQ189" s="228">
        <v>49</v>
      </c>
      <c r="CR189" s="229">
        <v>0.16470000000000001</v>
      </c>
      <c r="CS189" s="228">
        <v>156</v>
      </c>
      <c r="CT189" s="228">
        <v>137</v>
      </c>
      <c r="CU189" s="228">
        <v>18</v>
      </c>
      <c r="CV189" s="229">
        <v>0.13439999999999999</v>
      </c>
      <c r="CW189" s="230">
        <v>1299</v>
      </c>
      <c r="CX189" s="230">
        <v>1239</v>
      </c>
      <c r="CY189" s="228">
        <v>59</v>
      </c>
      <c r="CZ189" s="229">
        <v>4.8000000000000001E-2</v>
      </c>
      <c r="DA189" s="228">
        <v>32.35</v>
      </c>
      <c r="DB189" s="228">
        <v>33.479999999999997</v>
      </c>
      <c r="DC189" s="228">
        <v>-1.1299999999999999</v>
      </c>
      <c r="DD189" s="228">
        <v>-1.1299999999999999</v>
      </c>
      <c r="DE189" s="228">
        <v>37.61</v>
      </c>
      <c r="DF189" s="228">
        <v>37.700000000000003</v>
      </c>
      <c r="DG189" s="228">
        <v>-5.26</v>
      </c>
      <c r="DH189" s="228">
        <v>-0.09</v>
      </c>
      <c r="DI189" s="228">
        <v>32.5</v>
      </c>
      <c r="DJ189" s="228">
        <v>33.799999999999997</v>
      </c>
      <c r="DK189" s="228">
        <v>-1.3</v>
      </c>
      <c r="DL189" s="228">
        <v>-1.3</v>
      </c>
      <c r="DM189" s="228">
        <v>31.98</v>
      </c>
      <c r="DN189" s="228">
        <v>32.97</v>
      </c>
      <c r="DO189" s="228">
        <v>-0.99</v>
      </c>
      <c r="DP189" s="228">
        <v>-0.99</v>
      </c>
      <c r="DQ189" s="228">
        <v>0.45</v>
      </c>
      <c r="DR189" s="228">
        <v>0.46</v>
      </c>
      <c r="DS189" s="228">
        <v>-0.01</v>
      </c>
      <c r="DT189" s="229">
        <v>-2.1700000000000001E-2</v>
      </c>
      <c r="DU189" s="231">
        <v>4000</v>
      </c>
      <c r="DV189" s="231">
        <v>3700</v>
      </c>
      <c r="DW189" s="228">
        <v>0.41</v>
      </c>
      <c r="DX189" s="228">
        <v>0.62</v>
      </c>
      <c r="DY189" s="228">
        <v>-0.21</v>
      </c>
      <c r="DZ189" s="229">
        <v>-0.3387</v>
      </c>
      <c r="EA189" s="229">
        <v>1.52E-2</v>
      </c>
      <c r="EB189" s="230">
        <v>32200</v>
      </c>
      <c r="EC189" s="229">
        <v>-1.5E-3</v>
      </c>
      <c r="ED189" s="229">
        <v>1.52E-2</v>
      </c>
      <c r="EE189" s="228">
        <v>-6.06</v>
      </c>
      <c r="EF189" s="229">
        <v>-1.6999999999999999E-3</v>
      </c>
      <c r="EG189" s="230">
        <v>71935</v>
      </c>
      <c r="EH189" s="230">
        <v>166632</v>
      </c>
      <c r="EI189" s="229">
        <v>-0.56830000000000003</v>
      </c>
      <c r="EJ189" s="229">
        <v>0.47070000000000001</v>
      </c>
      <c r="EK189" s="228">
        <v>312.14</v>
      </c>
      <c r="EL189" s="228">
        <v>116.92</v>
      </c>
      <c r="EM189" s="228">
        <v>90.68</v>
      </c>
      <c r="EN189" s="228">
        <v>76.3</v>
      </c>
      <c r="EO189" s="228">
        <v>519.74</v>
      </c>
      <c r="EP189" s="228">
        <v>603.95000000000005</v>
      </c>
      <c r="EQ189" s="228">
        <v>-84.21</v>
      </c>
      <c r="ER189" s="229">
        <v>-0.1394</v>
      </c>
      <c r="ES189" s="228">
        <v>371.5</v>
      </c>
      <c r="ET189" s="228">
        <v>151.69999999999999</v>
      </c>
      <c r="EU189" s="228">
        <v>797.32</v>
      </c>
      <c r="EV189" s="231">
        <v>9724371</v>
      </c>
      <c r="EW189" s="231">
        <v>1320.52</v>
      </c>
      <c r="EX189" s="231">
        <v>1256.98</v>
      </c>
      <c r="EY189" s="228">
        <v>63.54</v>
      </c>
      <c r="EZ189" s="229">
        <v>5.0500000000000003E-2</v>
      </c>
      <c r="FA189" s="229">
        <v>0.36720000000000003</v>
      </c>
      <c r="FB189" s="227" t="s">
        <v>691</v>
      </c>
      <c r="FC189">
        <f t="shared" si="3"/>
        <v>0</v>
      </c>
    </row>
    <row r="190" spans="1:159" ht="17.25" thickBot="1" x14ac:dyDescent="0.3">
      <c r="A190" s="226">
        <v>46146</v>
      </c>
      <c r="B190" s="227" t="s">
        <v>161</v>
      </c>
      <c r="C190" s="227" t="s">
        <v>680</v>
      </c>
      <c r="D190" s="228">
        <v>9025</v>
      </c>
      <c r="E190" s="228">
        <v>22</v>
      </c>
      <c r="F190" s="228">
        <v>55.06</v>
      </c>
      <c r="G190" s="228">
        <v>55.79</v>
      </c>
      <c r="H190" s="228">
        <v>-0.73</v>
      </c>
      <c r="I190" s="229">
        <v>-1.3100000000000001E-2</v>
      </c>
      <c r="J190" s="228">
        <v>54.96</v>
      </c>
      <c r="K190" s="228">
        <v>55.58</v>
      </c>
      <c r="L190" s="228">
        <v>-0.62</v>
      </c>
      <c r="M190" s="229">
        <v>-1.12E-2</v>
      </c>
      <c r="N190" s="228">
        <v>55.06</v>
      </c>
      <c r="O190" s="228">
        <v>55.79</v>
      </c>
      <c r="P190" s="228">
        <v>-0.73</v>
      </c>
      <c r="Q190" s="229">
        <v>-1.3100000000000001E-2</v>
      </c>
      <c r="R190" s="228">
        <v>55.33</v>
      </c>
      <c r="S190" s="228">
        <v>56.06</v>
      </c>
      <c r="T190" s="228">
        <v>-0.73</v>
      </c>
      <c r="U190" s="229">
        <v>-1.2999999999999999E-2</v>
      </c>
      <c r="V190" s="228">
        <v>55.83</v>
      </c>
      <c r="W190" s="228">
        <v>56.42</v>
      </c>
      <c r="X190" s="228">
        <v>-0.59</v>
      </c>
      <c r="Y190" s="229">
        <v>-1.0500000000000001E-2</v>
      </c>
      <c r="Z190" s="228">
        <v>0.1</v>
      </c>
      <c r="AA190" s="228">
        <v>0.21</v>
      </c>
      <c r="AB190" s="228">
        <v>-0.11</v>
      </c>
      <c r="AC190" s="229">
        <v>1.8E-3</v>
      </c>
      <c r="AD190" s="228">
        <v>0.1</v>
      </c>
      <c r="AE190" s="228">
        <v>0.21</v>
      </c>
      <c r="AF190" s="228">
        <v>-0.11</v>
      </c>
      <c r="AG190" s="229">
        <v>1.8E-3</v>
      </c>
      <c r="AH190" s="228">
        <v>0.37</v>
      </c>
      <c r="AI190" s="228">
        <v>0.48</v>
      </c>
      <c r="AJ190" s="228">
        <v>-0.11</v>
      </c>
      <c r="AK190" s="229">
        <v>6.7000000000000002E-3</v>
      </c>
      <c r="AL190" s="228">
        <v>0.87</v>
      </c>
      <c r="AM190" s="228">
        <v>0.84</v>
      </c>
      <c r="AN190" s="228">
        <v>0.03</v>
      </c>
      <c r="AO190" s="229">
        <v>1.5800000000000002E-2</v>
      </c>
      <c r="AP190" s="228">
        <v>55.04</v>
      </c>
      <c r="AQ190" s="228">
        <v>55.26</v>
      </c>
      <c r="AR190" s="228">
        <v>0</v>
      </c>
      <c r="AS190" s="228">
        <v>367</v>
      </c>
      <c r="AT190" s="228">
        <v>335</v>
      </c>
      <c r="AU190" s="228">
        <v>32</v>
      </c>
      <c r="AV190" s="229">
        <v>9.6799999999999997E-2</v>
      </c>
      <c r="AW190" s="228">
        <v>339</v>
      </c>
      <c r="AX190" s="228">
        <v>315</v>
      </c>
      <c r="AY190" s="228">
        <v>24</v>
      </c>
      <c r="AZ190" s="229">
        <v>7.7499999999999999E-2</v>
      </c>
      <c r="BA190" s="228">
        <v>23</v>
      </c>
      <c r="BB190" s="228">
        <v>18</v>
      </c>
      <c r="BC190" s="228">
        <v>5</v>
      </c>
      <c r="BD190" s="229">
        <v>0.25540000000000002</v>
      </c>
      <c r="BE190" s="228">
        <v>5</v>
      </c>
      <c r="BF190" s="228">
        <v>1</v>
      </c>
      <c r="BG190" s="228">
        <v>3</v>
      </c>
      <c r="BH190" s="229">
        <v>2.64</v>
      </c>
      <c r="BI190" s="228">
        <v>678</v>
      </c>
      <c r="BJ190" s="228">
        <v>485</v>
      </c>
      <c r="BK190" s="228">
        <v>193</v>
      </c>
      <c r="BL190" s="229">
        <v>0.39729999999999999</v>
      </c>
      <c r="BM190" s="228">
        <v>308</v>
      </c>
      <c r="BN190" s="228">
        <v>307</v>
      </c>
      <c r="BO190" s="228">
        <v>1</v>
      </c>
      <c r="BP190" s="229">
        <v>4.7000000000000002E-3</v>
      </c>
      <c r="BQ190" s="230">
        <v>1353</v>
      </c>
      <c r="BR190" s="230">
        <v>1126</v>
      </c>
      <c r="BS190" s="228">
        <v>227</v>
      </c>
      <c r="BT190" s="229">
        <v>0.2011</v>
      </c>
      <c r="BU190" s="230">
        <v>112703787</v>
      </c>
      <c r="BV190" s="230">
        <v>107982730</v>
      </c>
      <c r="BW190" s="230">
        <v>4721057</v>
      </c>
      <c r="BX190" s="229">
        <v>4.3700000000000003E-2</v>
      </c>
      <c r="BY190" s="230">
        <v>1592</v>
      </c>
      <c r="BZ190" s="230">
        <v>1541</v>
      </c>
      <c r="CA190" s="228">
        <v>51</v>
      </c>
      <c r="CB190" s="229">
        <v>3.3000000000000002E-2</v>
      </c>
      <c r="CC190" s="230">
        <v>1446</v>
      </c>
      <c r="CD190" s="230">
        <v>1402</v>
      </c>
      <c r="CE190" s="228">
        <v>44</v>
      </c>
      <c r="CF190" s="229">
        <v>3.1600000000000003E-2</v>
      </c>
      <c r="CG190" s="228">
        <v>139</v>
      </c>
      <c r="CH190" s="228">
        <v>134</v>
      </c>
      <c r="CI190" s="228">
        <v>5</v>
      </c>
      <c r="CJ190" s="229">
        <v>3.4799999999999998E-2</v>
      </c>
      <c r="CK190" s="228">
        <v>7</v>
      </c>
      <c r="CL190" s="228">
        <v>5</v>
      </c>
      <c r="CM190" s="228">
        <v>2</v>
      </c>
      <c r="CN190" s="229">
        <v>0.35139999999999999</v>
      </c>
      <c r="CO190" s="228">
        <v>758</v>
      </c>
      <c r="CP190" s="228">
        <v>663</v>
      </c>
      <c r="CQ190" s="228">
        <v>95</v>
      </c>
      <c r="CR190" s="229">
        <v>0.14280000000000001</v>
      </c>
      <c r="CS190" s="228">
        <v>323</v>
      </c>
      <c r="CT190" s="228">
        <v>299</v>
      </c>
      <c r="CU190" s="228">
        <v>24</v>
      </c>
      <c r="CV190" s="229">
        <v>7.9200000000000007E-2</v>
      </c>
      <c r="CW190" s="230">
        <v>2673</v>
      </c>
      <c r="CX190" s="230">
        <v>2504</v>
      </c>
      <c r="CY190" s="228">
        <v>169</v>
      </c>
      <c r="CZ190" s="229">
        <v>6.7599999999999993E-2</v>
      </c>
      <c r="DA190" s="228">
        <v>48.9</v>
      </c>
      <c r="DB190" s="228">
        <v>46.49</v>
      </c>
      <c r="DC190" s="228">
        <v>2.41</v>
      </c>
      <c r="DD190" s="228">
        <v>2.41</v>
      </c>
      <c r="DE190" s="228">
        <v>47.23</v>
      </c>
      <c r="DF190" s="228">
        <v>47.31</v>
      </c>
      <c r="DG190" s="228">
        <v>1.67</v>
      </c>
      <c r="DH190" s="228">
        <v>-0.08</v>
      </c>
      <c r="DI190" s="228">
        <v>49.12</v>
      </c>
      <c r="DJ190" s="228">
        <v>46.35</v>
      </c>
      <c r="DK190" s="228">
        <v>2.77</v>
      </c>
      <c r="DL190" s="228">
        <v>2.77</v>
      </c>
      <c r="DM190" s="228">
        <v>48.42</v>
      </c>
      <c r="DN190" s="228">
        <v>46.71</v>
      </c>
      <c r="DO190" s="228">
        <v>1.71</v>
      </c>
      <c r="DP190" s="228">
        <v>1.71</v>
      </c>
      <c r="DQ190" s="228">
        <v>0.43</v>
      </c>
      <c r="DR190" s="228">
        <v>0.45</v>
      </c>
      <c r="DS190" s="228">
        <v>-0.02</v>
      </c>
      <c r="DT190" s="229">
        <v>-4.4400000000000002E-2</v>
      </c>
      <c r="DU190" s="228">
        <v>60</v>
      </c>
      <c r="DV190" s="228">
        <v>50</v>
      </c>
      <c r="DW190" s="228">
        <v>0.45</v>
      </c>
      <c r="DX190" s="228">
        <v>0.63</v>
      </c>
      <c r="DY190" s="228">
        <v>-0.18</v>
      </c>
      <c r="DZ190" s="229">
        <v>-0.28570000000000001</v>
      </c>
      <c r="EA190" s="229">
        <v>9.1700000000000004E-2</v>
      </c>
      <c r="EB190" s="230">
        <v>25334375</v>
      </c>
      <c r="EC190" s="229">
        <v>4.8999999999999998E-3</v>
      </c>
      <c r="ED190" s="229">
        <v>9.1700000000000004E-2</v>
      </c>
      <c r="EE190" s="228">
        <v>0.22</v>
      </c>
      <c r="EF190" s="229">
        <v>4.0000000000000001E-3</v>
      </c>
      <c r="EG190" s="230">
        <v>34213199</v>
      </c>
      <c r="EH190" s="230">
        <v>35723399</v>
      </c>
      <c r="EI190" s="229">
        <v>-4.2299999999999997E-2</v>
      </c>
      <c r="EJ190" s="229">
        <v>0.30359999999999998</v>
      </c>
      <c r="EK190" s="228">
        <v>736.01</v>
      </c>
      <c r="EL190" s="228">
        <v>303.16000000000003</v>
      </c>
      <c r="EM190" s="228">
        <v>368.83</v>
      </c>
      <c r="EN190" s="228">
        <v>135.80000000000001</v>
      </c>
      <c r="EO190" s="231">
        <v>1408</v>
      </c>
      <c r="EP190" s="231">
        <v>1178.3599999999999</v>
      </c>
      <c r="EQ190" s="228">
        <v>229.63</v>
      </c>
      <c r="ER190" s="229">
        <v>0.19489999999999999</v>
      </c>
      <c r="ES190" s="228">
        <v>803.7</v>
      </c>
      <c r="ET190" s="228">
        <v>303.52999999999997</v>
      </c>
      <c r="EU190" s="231">
        <v>1592.94</v>
      </c>
      <c r="EV190" s="231">
        <v>1815546735</v>
      </c>
      <c r="EW190" s="231">
        <v>2700.16</v>
      </c>
      <c r="EX190" s="231">
        <v>2545.7600000000002</v>
      </c>
      <c r="EY190" s="228">
        <v>154.4</v>
      </c>
      <c r="EZ190" s="229">
        <v>6.0600000000000001E-2</v>
      </c>
      <c r="FA190" s="229">
        <v>0.26740000000000003</v>
      </c>
      <c r="FB190" s="227" t="s">
        <v>566</v>
      </c>
      <c r="FC190">
        <f t="shared" si="3"/>
        <v>0</v>
      </c>
    </row>
    <row r="191" spans="1:159" ht="17.25" thickBot="1" x14ac:dyDescent="0.3">
      <c r="A191" s="226">
        <v>46146</v>
      </c>
      <c r="B191" s="227" t="s">
        <v>614</v>
      </c>
      <c r="C191" s="227" t="s">
        <v>689</v>
      </c>
      <c r="D191" s="228">
        <v>1300</v>
      </c>
      <c r="E191" s="228">
        <v>22</v>
      </c>
      <c r="F191" s="228">
        <v>277.8</v>
      </c>
      <c r="G191" s="228">
        <v>271</v>
      </c>
      <c r="H191" s="228">
        <v>6.8</v>
      </c>
      <c r="I191" s="229">
        <v>2.5100000000000001E-2</v>
      </c>
      <c r="J191" s="228">
        <v>278.8</v>
      </c>
      <c r="K191" s="228">
        <v>270.3</v>
      </c>
      <c r="L191" s="228">
        <v>8.5</v>
      </c>
      <c r="M191" s="229">
        <v>3.1399999999999997E-2</v>
      </c>
      <c r="N191" s="228">
        <v>277.8</v>
      </c>
      <c r="O191" s="228">
        <v>271</v>
      </c>
      <c r="P191" s="228">
        <v>6.8</v>
      </c>
      <c r="Q191" s="229">
        <v>2.5100000000000001E-2</v>
      </c>
      <c r="R191" s="228">
        <v>276.7</v>
      </c>
      <c r="S191" s="228">
        <v>270.05</v>
      </c>
      <c r="T191" s="228">
        <v>6.65</v>
      </c>
      <c r="U191" s="229">
        <v>2.46E-2</v>
      </c>
      <c r="V191" s="228">
        <v>275.7</v>
      </c>
      <c r="W191" s="228">
        <v>270.10000000000002</v>
      </c>
      <c r="X191" s="228">
        <v>5.6</v>
      </c>
      <c r="Y191" s="229">
        <v>2.07E-2</v>
      </c>
      <c r="Z191" s="228">
        <v>-1</v>
      </c>
      <c r="AA191" s="228">
        <v>0.7</v>
      </c>
      <c r="AB191" s="228">
        <v>-1.7</v>
      </c>
      <c r="AC191" s="229">
        <v>-3.5999999999999999E-3</v>
      </c>
      <c r="AD191" s="228">
        <v>-1</v>
      </c>
      <c r="AE191" s="228">
        <v>0.7</v>
      </c>
      <c r="AF191" s="228">
        <v>-1.7</v>
      </c>
      <c r="AG191" s="229">
        <v>-3.5999999999999999E-3</v>
      </c>
      <c r="AH191" s="228">
        <v>-2.1</v>
      </c>
      <c r="AI191" s="228">
        <v>-0.25</v>
      </c>
      <c r="AJ191" s="228">
        <v>-1.85</v>
      </c>
      <c r="AK191" s="229">
        <v>-7.4999999999999997E-3</v>
      </c>
      <c r="AL191" s="228">
        <v>-3.1</v>
      </c>
      <c r="AM191" s="228">
        <v>-0.2</v>
      </c>
      <c r="AN191" s="228">
        <v>-2.9</v>
      </c>
      <c r="AO191" s="229">
        <v>-1.11E-2</v>
      </c>
      <c r="AP191" s="228">
        <v>275.75</v>
      </c>
      <c r="AQ191" s="228">
        <v>274.45</v>
      </c>
      <c r="AR191" s="228">
        <v>0</v>
      </c>
      <c r="AS191" s="228">
        <v>139</v>
      </c>
      <c r="AT191" s="228">
        <v>185</v>
      </c>
      <c r="AU191" s="228">
        <v>-45</v>
      </c>
      <c r="AV191" s="229">
        <v>-0.24590000000000001</v>
      </c>
      <c r="AW191" s="228">
        <v>128</v>
      </c>
      <c r="AX191" s="228">
        <v>174</v>
      </c>
      <c r="AY191" s="228">
        <v>-46</v>
      </c>
      <c r="AZ191" s="229">
        <v>-0.26579999999999998</v>
      </c>
      <c r="BA191" s="228">
        <v>11</v>
      </c>
      <c r="BB191" s="228">
        <v>10</v>
      </c>
      <c r="BC191" s="228">
        <v>1</v>
      </c>
      <c r="BD191" s="229">
        <v>0.1062</v>
      </c>
      <c r="BE191" s="228">
        <v>1</v>
      </c>
      <c r="BF191" s="228">
        <v>1</v>
      </c>
      <c r="BG191" s="228">
        <v>0</v>
      </c>
      <c r="BH191" s="229">
        <v>-0.25929999999999997</v>
      </c>
      <c r="BI191" s="228">
        <v>249</v>
      </c>
      <c r="BJ191" s="228">
        <v>180</v>
      </c>
      <c r="BK191" s="228">
        <v>69</v>
      </c>
      <c r="BL191" s="229">
        <v>0.38550000000000001</v>
      </c>
      <c r="BM191" s="228">
        <v>101</v>
      </c>
      <c r="BN191" s="228">
        <v>119</v>
      </c>
      <c r="BO191" s="228">
        <v>-17</v>
      </c>
      <c r="BP191" s="229">
        <v>-0.14560000000000001</v>
      </c>
      <c r="BQ191" s="228">
        <v>489</v>
      </c>
      <c r="BR191" s="228">
        <v>483</v>
      </c>
      <c r="BS191" s="228">
        <v>7</v>
      </c>
      <c r="BT191" s="229">
        <v>1.3599999999999999E-2</v>
      </c>
      <c r="BU191" s="230">
        <v>6684720</v>
      </c>
      <c r="BV191" s="230">
        <v>7964918</v>
      </c>
      <c r="BW191" s="230">
        <v>-1280198</v>
      </c>
      <c r="BX191" s="229">
        <v>-0.16070000000000001</v>
      </c>
      <c r="BY191" s="230">
        <v>1162</v>
      </c>
      <c r="BZ191" s="230">
        <v>1157</v>
      </c>
      <c r="CA191" s="228">
        <v>5</v>
      </c>
      <c r="CB191" s="229">
        <v>4.5999999999999999E-3</v>
      </c>
      <c r="CC191" s="230">
        <v>1129</v>
      </c>
      <c r="CD191" s="230">
        <v>1127</v>
      </c>
      <c r="CE191" s="228">
        <v>2</v>
      </c>
      <c r="CF191" s="229">
        <v>2E-3</v>
      </c>
      <c r="CG191" s="228">
        <v>31</v>
      </c>
      <c r="CH191" s="228">
        <v>28</v>
      </c>
      <c r="CI191" s="228">
        <v>3</v>
      </c>
      <c r="CJ191" s="229">
        <v>9.4799999999999995E-2</v>
      </c>
      <c r="CK191" s="228">
        <v>2</v>
      </c>
      <c r="CL191" s="228">
        <v>1</v>
      </c>
      <c r="CM191" s="228">
        <v>0</v>
      </c>
      <c r="CN191" s="229">
        <v>0.27589999999999998</v>
      </c>
      <c r="CO191" s="228">
        <v>260</v>
      </c>
      <c r="CP191" s="228">
        <v>214</v>
      </c>
      <c r="CQ191" s="228">
        <v>45</v>
      </c>
      <c r="CR191" s="229">
        <v>0.21229999999999999</v>
      </c>
      <c r="CS191" s="228">
        <v>168</v>
      </c>
      <c r="CT191" s="228">
        <v>149</v>
      </c>
      <c r="CU191" s="228">
        <v>19</v>
      </c>
      <c r="CV191" s="229">
        <v>0.1265</v>
      </c>
      <c r="CW191" s="230">
        <v>1590</v>
      </c>
      <c r="CX191" s="230">
        <v>1520</v>
      </c>
      <c r="CY191" s="228">
        <v>70</v>
      </c>
      <c r="CZ191" s="229">
        <v>4.58E-2</v>
      </c>
      <c r="DA191" s="228">
        <v>47.27</v>
      </c>
      <c r="DB191" s="228">
        <v>46.95</v>
      </c>
      <c r="DC191" s="228">
        <v>0.32</v>
      </c>
      <c r="DD191" s="228">
        <v>0.32</v>
      </c>
      <c r="DE191" s="228">
        <v>45.22</v>
      </c>
      <c r="DF191" s="228">
        <v>45.14</v>
      </c>
      <c r="DG191" s="228">
        <v>2.0499999999999998</v>
      </c>
      <c r="DH191" s="228">
        <v>0.08</v>
      </c>
      <c r="DI191" s="228">
        <v>46.94</v>
      </c>
      <c r="DJ191" s="228">
        <v>46.9</v>
      </c>
      <c r="DK191" s="228">
        <v>0.04</v>
      </c>
      <c r="DL191" s="228">
        <v>0.04</v>
      </c>
      <c r="DM191" s="228">
        <v>48.08</v>
      </c>
      <c r="DN191" s="228">
        <v>47.03</v>
      </c>
      <c r="DO191" s="228">
        <v>1.05</v>
      </c>
      <c r="DP191" s="228">
        <v>1.05</v>
      </c>
      <c r="DQ191" s="228">
        <v>0.65</v>
      </c>
      <c r="DR191" s="228">
        <v>0.7</v>
      </c>
      <c r="DS191" s="228">
        <v>-0.05</v>
      </c>
      <c r="DT191" s="229">
        <v>-7.1400000000000005E-2</v>
      </c>
      <c r="DU191" s="228">
        <v>300</v>
      </c>
      <c r="DV191" s="228">
        <v>260</v>
      </c>
      <c r="DW191" s="228">
        <v>0.41</v>
      </c>
      <c r="DX191" s="228">
        <v>0.66</v>
      </c>
      <c r="DY191" s="228">
        <v>-0.25</v>
      </c>
      <c r="DZ191" s="229">
        <v>-0.37880000000000003</v>
      </c>
      <c r="EA191" s="229">
        <v>2.8199999999999999E-2</v>
      </c>
      <c r="EB191" s="230">
        <v>1068225</v>
      </c>
      <c r="EC191" s="229">
        <v>-4.0000000000000001E-3</v>
      </c>
      <c r="ED191" s="229">
        <v>2.8199999999999999E-2</v>
      </c>
      <c r="EE191" s="228">
        <v>-1.3</v>
      </c>
      <c r="EF191" s="229">
        <v>-4.7000000000000002E-3</v>
      </c>
      <c r="EG191" s="230">
        <v>2737432</v>
      </c>
      <c r="EH191" s="230">
        <v>3029366</v>
      </c>
      <c r="EI191" s="229">
        <v>-9.64E-2</v>
      </c>
      <c r="EJ191" s="229">
        <v>0.40949999999999998</v>
      </c>
      <c r="EK191" s="228">
        <v>267.35000000000002</v>
      </c>
      <c r="EL191" s="228">
        <v>99.58</v>
      </c>
      <c r="EM191" s="228">
        <v>138.38999999999999</v>
      </c>
      <c r="EN191" s="228">
        <v>119</v>
      </c>
      <c r="EO191" s="228">
        <v>505.32</v>
      </c>
      <c r="EP191" s="228">
        <v>486.71</v>
      </c>
      <c r="EQ191" s="228">
        <v>18.61</v>
      </c>
      <c r="ER191" s="229">
        <v>3.8199999999999998E-2</v>
      </c>
      <c r="ES191" s="228">
        <v>276.08</v>
      </c>
      <c r="ET191" s="228">
        <v>162.51</v>
      </c>
      <c r="EU191" s="231">
        <v>1161.97</v>
      </c>
      <c r="EV191" s="231">
        <v>389472858</v>
      </c>
      <c r="EW191" s="231">
        <v>1600.56</v>
      </c>
      <c r="EX191" s="231">
        <v>1500.62</v>
      </c>
      <c r="EY191" s="228">
        <v>99.94</v>
      </c>
      <c r="EZ191" s="229">
        <v>6.6600000000000006E-2</v>
      </c>
      <c r="FA191" s="229">
        <v>0.1469</v>
      </c>
      <c r="FB191" s="227" t="s">
        <v>555</v>
      </c>
      <c r="FC191">
        <f t="shared" si="3"/>
        <v>0</v>
      </c>
    </row>
    <row r="192" spans="1:159" ht="17.25" thickBot="1" x14ac:dyDescent="0.3">
      <c r="A192" s="226">
        <v>46146</v>
      </c>
      <c r="B192" s="227" t="s">
        <v>168</v>
      </c>
      <c r="C192" s="227" t="s">
        <v>291</v>
      </c>
      <c r="D192" s="228">
        <v>550</v>
      </c>
      <c r="E192" s="228">
        <v>22</v>
      </c>
      <c r="F192" s="231">
        <v>1163.4000000000001</v>
      </c>
      <c r="G192" s="231">
        <v>1150.0999999999999</v>
      </c>
      <c r="H192" s="228">
        <v>13.3</v>
      </c>
      <c r="I192" s="229">
        <v>1.1599999999999999E-2</v>
      </c>
      <c r="J192" s="231">
        <v>1160.4000000000001</v>
      </c>
      <c r="K192" s="231">
        <v>1144.5999999999999</v>
      </c>
      <c r="L192" s="228">
        <v>15.8</v>
      </c>
      <c r="M192" s="229">
        <v>1.38E-2</v>
      </c>
      <c r="N192" s="231">
        <v>1163.4000000000001</v>
      </c>
      <c r="O192" s="231">
        <v>1150.0999999999999</v>
      </c>
      <c r="P192" s="228">
        <v>13.3</v>
      </c>
      <c r="Q192" s="229">
        <v>1.1599999999999999E-2</v>
      </c>
      <c r="R192" s="231">
        <v>1165.0999999999999</v>
      </c>
      <c r="S192" s="231">
        <v>1150.8</v>
      </c>
      <c r="T192" s="228">
        <v>14.3</v>
      </c>
      <c r="U192" s="229">
        <v>1.24E-2</v>
      </c>
      <c r="V192" s="231">
        <v>1157.5</v>
      </c>
      <c r="W192" s="231">
        <v>1157.5</v>
      </c>
      <c r="X192" s="228">
        <v>0</v>
      </c>
      <c r="Y192" s="229">
        <v>0</v>
      </c>
      <c r="Z192" s="228">
        <v>3</v>
      </c>
      <c r="AA192" s="228">
        <v>5.5</v>
      </c>
      <c r="AB192" s="228">
        <v>-2.5</v>
      </c>
      <c r="AC192" s="229">
        <v>2.5999999999999999E-3</v>
      </c>
      <c r="AD192" s="228">
        <v>3</v>
      </c>
      <c r="AE192" s="228">
        <v>5.5</v>
      </c>
      <c r="AF192" s="228">
        <v>-2.5</v>
      </c>
      <c r="AG192" s="229">
        <v>2.5999999999999999E-3</v>
      </c>
      <c r="AH192" s="228">
        <v>4.7</v>
      </c>
      <c r="AI192" s="228">
        <v>6.2</v>
      </c>
      <c r="AJ192" s="228">
        <v>-1.5</v>
      </c>
      <c r="AK192" s="229">
        <v>4.1000000000000003E-3</v>
      </c>
      <c r="AL192" s="228">
        <v>-2.9</v>
      </c>
      <c r="AM192" s="228">
        <v>12.9</v>
      </c>
      <c r="AN192" s="228">
        <v>-15.8</v>
      </c>
      <c r="AO192" s="229">
        <v>-2.5000000000000001E-3</v>
      </c>
      <c r="AP192" s="231">
        <v>1167.29</v>
      </c>
      <c r="AQ192" s="231">
        <v>1167.8499999999999</v>
      </c>
      <c r="AR192" s="228">
        <v>0</v>
      </c>
      <c r="AS192" s="228">
        <v>134</v>
      </c>
      <c r="AT192" s="228">
        <v>189</v>
      </c>
      <c r="AU192" s="228">
        <v>-56</v>
      </c>
      <c r="AV192" s="229">
        <v>-0.29380000000000001</v>
      </c>
      <c r="AW192" s="228">
        <v>123</v>
      </c>
      <c r="AX192" s="228">
        <v>178</v>
      </c>
      <c r="AY192" s="228">
        <v>-55</v>
      </c>
      <c r="AZ192" s="229">
        <v>-0.31090000000000001</v>
      </c>
      <c r="BA192" s="228">
        <v>11</v>
      </c>
      <c r="BB192" s="228">
        <v>11</v>
      </c>
      <c r="BC192" s="228">
        <v>0</v>
      </c>
      <c r="BD192" s="229">
        <v>1.1599999999999999E-2</v>
      </c>
      <c r="BE192" s="228">
        <v>0</v>
      </c>
      <c r="BF192" s="228">
        <v>0</v>
      </c>
      <c r="BG192" s="228">
        <v>0</v>
      </c>
      <c r="BH192" s="229">
        <v>-1</v>
      </c>
      <c r="BI192" s="228">
        <v>390</v>
      </c>
      <c r="BJ192" s="228">
        <v>212</v>
      </c>
      <c r="BK192" s="228">
        <v>178</v>
      </c>
      <c r="BL192" s="229">
        <v>0.83819999999999995</v>
      </c>
      <c r="BM192" s="228">
        <v>100</v>
      </c>
      <c r="BN192" s="228">
        <v>90</v>
      </c>
      <c r="BO192" s="228">
        <v>10</v>
      </c>
      <c r="BP192" s="229">
        <v>0.11550000000000001</v>
      </c>
      <c r="BQ192" s="228">
        <v>624</v>
      </c>
      <c r="BR192" s="228">
        <v>491</v>
      </c>
      <c r="BS192" s="228">
        <v>132</v>
      </c>
      <c r="BT192" s="229">
        <v>0.26950000000000002</v>
      </c>
      <c r="BU192" s="230">
        <v>1488174</v>
      </c>
      <c r="BV192" s="230">
        <v>1586977</v>
      </c>
      <c r="BW192" s="230">
        <v>-98803</v>
      </c>
      <c r="BX192" s="229">
        <v>-6.2300000000000001E-2</v>
      </c>
      <c r="BY192" s="230">
        <v>1079</v>
      </c>
      <c r="BZ192" s="230">
        <v>1079</v>
      </c>
      <c r="CA192" s="228">
        <v>0</v>
      </c>
      <c r="CB192" s="229">
        <v>2.0000000000000001E-4</v>
      </c>
      <c r="CC192" s="228">
        <v>966</v>
      </c>
      <c r="CD192" s="228">
        <v>970</v>
      </c>
      <c r="CE192" s="228">
        <v>-4</v>
      </c>
      <c r="CF192" s="229">
        <v>-4.4999999999999997E-3</v>
      </c>
      <c r="CG192" s="228">
        <v>113</v>
      </c>
      <c r="CH192" s="228">
        <v>108</v>
      </c>
      <c r="CI192" s="228">
        <v>5</v>
      </c>
      <c r="CJ192" s="229">
        <v>4.2000000000000003E-2</v>
      </c>
      <c r="CK192" s="228">
        <v>1</v>
      </c>
      <c r="CL192" s="228">
        <v>1</v>
      </c>
      <c r="CM192" s="228">
        <v>0</v>
      </c>
      <c r="CN192" s="229">
        <v>0</v>
      </c>
      <c r="CO192" s="228">
        <v>278</v>
      </c>
      <c r="CP192" s="228">
        <v>231</v>
      </c>
      <c r="CQ192" s="228">
        <v>47</v>
      </c>
      <c r="CR192" s="229">
        <v>0.20480000000000001</v>
      </c>
      <c r="CS192" s="228">
        <v>157</v>
      </c>
      <c r="CT192" s="228">
        <v>142</v>
      </c>
      <c r="CU192" s="228">
        <v>15</v>
      </c>
      <c r="CV192" s="229">
        <v>0.10299999999999999</v>
      </c>
      <c r="CW192" s="230">
        <v>1514</v>
      </c>
      <c r="CX192" s="230">
        <v>1452</v>
      </c>
      <c r="CY192" s="228">
        <v>62</v>
      </c>
      <c r="CZ192" s="229">
        <v>4.2799999999999998E-2</v>
      </c>
      <c r="DA192" s="228">
        <v>28.41</v>
      </c>
      <c r="DB192" s="228">
        <v>27.67</v>
      </c>
      <c r="DC192" s="228">
        <v>0.74</v>
      </c>
      <c r="DD192" s="228">
        <v>0.74</v>
      </c>
      <c r="DE192" s="228">
        <v>27.56</v>
      </c>
      <c r="DF192" s="228">
        <v>27.56</v>
      </c>
      <c r="DG192" s="228">
        <v>0.85</v>
      </c>
      <c r="DH192" s="228">
        <v>0</v>
      </c>
      <c r="DI192" s="228">
        <v>28.27</v>
      </c>
      <c r="DJ192" s="228">
        <v>27.7</v>
      </c>
      <c r="DK192" s="228">
        <v>0.56999999999999995</v>
      </c>
      <c r="DL192" s="228">
        <v>0.56999999999999995</v>
      </c>
      <c r="DM192" s="228">
        <v>28.94</v>
      </c>
      <c r="DN192" s="228">
        <v>27.6</v>
      </c>
      <c r="DO192" s="228">
        <v>1.34</v>
      </c>
      <c r="DP192" s="228">
        <v>1.34</v>
      </c>
      <c r="DQ192" s="228">
        <v>0.56000000000000005</v>
      </c>
      <c r="DR192" s="228">
        <v>0.62</v>
      </c>
      <c r="DS192" s="228">
        <v>-0.06</v>
      </c>
      <c r="DT192" s="229">
        <v>-9.6799999999999997E-2</v>
      </c>
      <c r="DU192" s="231">
        <v>1200</v>
      </c>
      <c r="DV192" s="231">
        <v>1100</v>
      </c>
      <c r="DW192" s="228">
        <v>0.26</v>
      </c>
      <c r="DX192" s="228">
        <v>0.42</v>
      </c>
      <c r="DY192" s="228">
        <v>-0.16</v>
      </c>
      <c r="DZ192" s="229">
        <v>-0.38100000000000001</v>
      </c>
      <c r="EA192" s="229">
        <v>0.10489999999999999</v>
      </c>
      <c r="EB192" s="230">
        <v>934450</v>
      </c>
      <c r="EC192" s="229">
        <v>1.5E-3</v>
      </c>
      <c r="ED192" s="229">
        <v>0.10489999999999999</v>
      </c>
      <c r="EE192" s="228">
        <v>0.56000000000000005</v>
      </c>
      <c r="EF192" s="229">
        <v>5.0000000000000001E-4</v>
      </c>
      <c r="EG192" s="230">
        <v>817618</v>
      </c>
      <c r="EH192" s="230">
        <v>1016552</v>
      </c>
      <c r="EI192" s="229">
        <v>-0.19570000000000001</v>
      </c>
      <c r="EJ192" s="229">
        <v>0.5494</v>
      </c>
      <c r="EK192" s="228">
        <v>410.31</v>
      </c>
      <c r="EL192" s="228">
        <v>99.92</v>
      </c>
      <c r="EM192" s="228">
        <v>134.25</v>
      </c>
      <c r="EN192" s="228">
        <v>68.010000000000005</v>
      </c>
      <c r="EO192" s="228">
        <v>644.49</v>
      </c>
      <c r="EP192" s="228">
        <v>498.82</v>
      </c>
      <c r="EQ192" s="228">
        <v>145.66999999999999</v>
      </c>
      <c r="ER192" s="229">
        <v>0.29199999999999998</v>
      </c>
      <c r="ES192" s="228">
        <v>291.47000000000003</v>
      </c>
      <c r="ET192" s="228">
        <v>150.9</v>
      </c>
      <c r="EU192" s="231">
        <v>1079.43</v>
      </c>
      <c r="EV192" s="231">
        <v>65472757</v>
      </c>
      <c r="EW192" s="231">
        <v>1521.8</v>
      </c>
      <c r="EX192" s="231">
        <v>1444.6</v>
      </c>
      <c r="EY192" s="228">
        <v>77.2</v>
      </c>
      <c r="EZ192" s="229">
        <v>5.3400000000000003E-2</v>
      </c>
      <c r="FA192" s="229">
        <v>0.1988</v>
      </c>
      <c r="FB192" s="227" t="s">
        <v>555</v>
      </c>
      <c r="FC192">
        <f t="shared" si="3"/>
        <v>0</v>
      </c>
    </row>
    <row r="193" spans="1:159" ht="17.25" thickBot="1" x14ac:dyDescent="0.3">
      <c r="A193" s="226">
        <v>46146</v>
      </c>
      <c r="B193" s="227" t="s">
        <v>221</v>
      </c>
      <c r="C193" s="227" t="s">
        <v>603</v>
      </c>
      <c r="D193" s="228">
        <v>100</v>
      </c>
      <c r="E193" s="228">
        <v>22</v>
      </c>
      <c r="F193" s="231">
        <v>4171.1000000000004</v>
      </c>
      <c r="G193" s="231">
        <v>4149.3999999999996</v>
      </c>
      <c r="H193" s="228">
        <v>21.7</v>
      </c>
      <c r="I193" s="229">
        <v>5.1999999999999998E-3</v>
      </c>
      <c r="J193" s="231">
        <v>4178.7</v>
      </c>
      <c r="K193" s="231">
        <v>4129.8999999999996</v>
      </c>
      <c r="L193" s="228">
        <v>48.8</v>
      </c>
      <c r="M193" s="229">
        <v>1.18E-2</v>
      </c>
      <c r="N193" s="231">
        <v>4171.1000000000004</v>
      </c>
      <c r="O193" s="231">
        <v>4149.3999999999996</v>
      </c>
      <c r="P193" s="228">
        <v>21.7</v>
      </c>
      <c r="Q193" s="229">
        <v>5.1999999999999998E-3</v>
      </c>
      <c r="R193" s="231">
        <v>4081.9</v>
      </c>
      <c r="S193" s="231">
        <v>4057.7</v>
      </c>
      <c r="T193" s="228">
        <v>24.2</v>
      </c>
      <c r="U193" s="229">
        <v>6.0000000000000001E-3</v>
      </c>
      <c r="V193" s="231">
        <v>4080</v>
      </c>
      <c r="W193" s="231">
        <v>4050</v>
      </c>
      <c r="X193" s="228">
        <v>30</v>
      </c>
      <c r="Y193" s="229">
        <v>7.4000000000000003E-3</v>
      </c>
      <c r="Z193" s="228">
        <v>-7.6</v>
      </c>
      <c r="AA193" s="228">
        <v>19.5</v>
      </c>
      <c r="AB193" s="228">
        <v>-27.1</v>
      </c>
      <c r="AC193" s="229">
        <v>-1.8E-3</v>
      </c>
      <c r="AD193" s="228">
        <v>-7.6</v>
      </c>
      <c r="AE193" s="228">
        <v>19.5</v>
      </c>
      <c r="AF193" s="228">
        <v>-27.1</v>
      </c>
      <c r="AG193" s="229">
        <v>-1.8E-3</v>
      </c>
      <c r="AH193" s="228">
        <v>-96.8</v>
      </c>
      <c r="AI193" s="228">
        <v>-72.2</v>
      </c>
      <c r="AJ193" s="228">
        <v>-24.6</v>
      </c>
      <c r="AK193" s="229">
        <v>-2.3199999999999998E-2</v>
      </c>
      <c r="AL193" s="228">
        <v>-98.7</v>
      </c>
      <c r="AM193" s="228">
        <v>-79.900000000000006</v>
      </c>
      <c r="AN193" s="228">
        <v>-18.8</v>
      </c>
      <c r="AO193" s="229">
        <v>-2.3599999999999999E-2</v>
      </c>
      <c r="AP193" s="231">
        <v>4160.87</v>
      </c>
      <c r="AQ193" s="231">
        <v>4078.78</v>
      </c>
      <c r="AR193" s="228">
        <v>0</v>
      </c>
      <c r="AS193" s="228">
        <v>116</v>
      </c>
      <c r="AT193" s="228">
        <v>137</v>
      </c>
      <c r="AU193" s="228">
        <v>-21</v>
      </c>
      <c r="AV193" s="229">
        <v>-0.15529999999999999</v>
      </c>
      <c r="AW193" s="228">
        <v>103</v>
      </c>
      <c r="AX193" s="228">
        <v>124</v>
      </c>
      <c r="AY193" s="228">
        <v>-21</v>
      </c>
      <c r="AZ193" s="229">
        <v>-0.17119999999999999</v>
      </c>
      <c r="BA193" s="228">
        <v>13</v>
      </c>
      <c r="BB193" s="228">
        <v>13</v>
      </c>
      <c r="BC193" s="228">
        <v>0</v>
      </c>
      <c r="BD193" s="229">
        <v>-2.1999999999999999E-2</v>
      </c>
      <c r="BE193" s="228">
        <v>1</v>
      </c>
      <c r="BF193" s="228">
        <v>0</v>
      </c>
      <c r="BG193" s="228">
        <v>0</v>
      </c>
      <c r="BH193" s="229">
        <v>0.3</v>
      </c>
      <c r="BI193" s="228">
        <v>331</v>
      </c>
      <c r="BJ193" s="228">
        <v>345</v>
      </c>
      <c r="BK193" s="228">
        <v>-14</v>
      </c>
      <c r="BL193" s="229">
        <v>-4.0500000000000001E-2</v>
      </c>
      <c r="BM193" s="228">
        <v>109</v>
      </c>
      <c r="BN193" s="228">
        <v>159</v>
      </c>
      <c r="BO193" s="228">
        <v>-51</v>
      </c>
      <c r="BP193" s="229">
        <v>-0.31890000000000002</v>
      </c>
      <c r="BQ193" s="228">
        <v>556</v>
      </c>
      <c r="BR193" s="228">
        <v>642</v>
      </c>
      <c r="BS193" s="228">
        <v>-86</v>
      </c>
      <c r="BT193" s="229">
        <v>-0.13420000000000001</v>
      </c>
      <c r="BU193" s="230">
        <v>206136</v>
      </c>
      <c r="BV193" s="230">
        <v>280691</v>
      </c>
      <c r="BW193" s="230">
        <v>-74555</v>
      </c>
      <c r="BX193" s="229">
        <v>-0.2656</v>
      </c>
      <c r="BY193" s="230">
        <v>1012</v>
      </c>
      <c r="BZ193" s="228">
        <v>994</v>
      </c>
      <c r="CA193" s="228">
        <v>18</v>
      </c>
      <c r="CB193" s="229">
        <v>1.8200000000000001E-2</v>
      </c>
      <c r="CC193" s="228">
        <v>930</v>
      </c>
      <c r="CD193" s="228">
        <v>918</v>
      </c>
      <c r="CE193" s="228">
        <v>12</v>
      </c>
      <c r="CF193" s="229">
        <v>1.35E-2</v>
      </c>
      <c r="CG193" s="228">
        <v>79</v>
      </c>
      <c r="CH193" s="228">
        <v>74</v>
      </c>
      <c r="CI193" s="228">
        <v>5</v>
      </c>
      <c r="CJ193" s="229">
        <v>7.1099999999999997E-2</v>
      </c>
      <c r="CK193" s="228">
        <v>2</v>
      </c>
      <c r="CL193" s="228">
        <v>2</v>
      </c>
      <c r="CM193" s="228">
        <v>0</v>
      </c>
      <c r="CN193" s="229">
        <v>0.2286</v>
      </c>
      <c r="CO193" s="228">
        <v>565</v>
      </c>
      <c r="CP193" s="228">
        <v>504</v>
      </c>
      <c r="CQ193" s="228">
        <v>61</v>
      </c>
      <c r="CR193" s="229">
        <v>0.1206</v>
      </c>
      <c r="CS193" s="228">
        <v>252</v>
      </c>
      <c r="CT193" s="228">
        <v>229</v>
      </c>
      <c r="CU193" s="228">
        <v>22</v>
      </c>
      <c r="CV193" s="229">
        <v>9.8000000000000004E-2</v>
      </c>
      <c r="CW193" s="230">
        <v>1828</v>
      </c>
      <c r="CX193" s="230">
        <v>1727</v>
      </c>
      <c r="CY193" s="228">
        <v>101</v>
      </c>
      <c r="CZ193" s="229">
        <v>5.8700000000000002E-2</v>
      </c>
      <c r="DA193" s="228">
        <v>37.46</v>
      </c>
      <c r="DB193" s="228">
        <v>37.46</v>
      </c>
      <c r="DC193" s="228">
        <v>0</v>
      </c>
      <c r="DD193" s="228">
        <v>0</v>
      </c>
      <c r="DE193" s="228">
        <v>39.619999999999997</v>
      </c>
      <c r="DF193" s="228">
        <v>39.72</v>
      </c>
      <c r="DG193" s="228">
        <v>-2.16</v>
      </c>
      <c r="DH193" s="228">
        <v>-0.1</v>
      </c>
      <c r="DI193" s="228">
        <v>37.880000000000003</v>
      </c>
      <c r="DJ193" s="228">
        <v>37.729999999999997</v>
      </c>
      <c r="DK193" s="228">
        <v>0.15</v>
      </c>
      <c r="DL193" s="228">
        <v>0.15</v>
      </c>
      <c r="DM193" s="228">
        <v>36.19</v>
      </c>
      <c r="DN193" s="228">
        <v>36.880000000000003</v>
      </c>
      <c r="DO193" s="228">
        <v>-0.69</v>
      </c>
      <c r="DP193" s="228">
        <v>-0.69</v>
      </c>
      <c r="DQ193" s="228">
        <v>0.45</v>
      </c>
      <c r="DR193" s="228">
        <v>0.45</v>
      </c>
      <c r="DS193" s="228">
        <v>0</v>
      </c>
      <c r="DT193" s="229">
        <v>0</v>
      </c>
      <c r="DU193" s="231">
        <v>5000</v>
      </c>
      <c r="DV193" s="231">
        <v>4200</v>
      </c>
      <c r="DW193" s="228">
        <v>0.33</v>
      </c>
      <c r="DX193" s="228">
        <v>0.46</v>
      </c>
      <c r="DY193" s="228">
        <v>-0.13</v>
      </c>
      <c r="DZ193" s="229">
        <v>-0.28260000000000002</v>
      </c>
      <c r="EA193" s="229">
        <v>8.0399999999999999E-2</v>
      </c>
      <c r="EB193" s="230">
        <v>181475</v>
      </c>
      <c r="EC193" s="229">
        <v>-2.1399999999999999E-2</v>
      </c>
      <c r="ED193" s="229">
        <v>8.0399999999999999E-2</v>
      </c>
      <c r="EE193" s="228">
        <v>-82.09</v>
      </c>
      <c r="EF193" s="229">
        <v>-1.9699999999999999E-2</v>
      </c>
      <c r="EG193" s="230">
        <v>79732</v>
      </c>
      <c r="EH193" s="230">
        <v>108010</v>
      </c>
      <c r="EI193" s="229">
        <v>-0.26179999999999998</v>
      </c>
      <c r="EJ193" s="229">
        <v>0.38679999999999998</v>
      </c>
      <c r="EK193" s="228">
        <v>359.43</v>
      </c>
      <c r="EL193" s="228">
        <v>107.4</v>
      </c>
      <c r="EM193" s="228">
        <v>115.7</v>
      </c>
      <c r="EN193" s="228">
        <v>73.260000000000005</v>
      </c>
      <c r="EO193" s="228">
        <v>582.53</v>
      </c>
      <c r="EP193" s="228">
        <v>662.62</v>
      </c>
      <c r="EQ193" s="228">
        <v>-80.09</v>
      </c>
      <c r="ER193" s="229">
        <v>-0.12089999999999999</v>
      </c>
      <c r="ES193" s="228">
        <v>620.72</v>
      </c>
      <c r="ET193" s="228">
        <v>248.92</v>
      </c>
      <c r="EU193" s="231">
        <v>1009.95</v>
      </c>
      <c r="EV193" s="231">
        <v>5241946</v>
      </c>
      <c r="EW193" s="231">
        <v>1879.59</v>
      </c>
      <c r="EX193" s="231">
        <v>1767.85</v>
      </c>
      <c r="EY193" s="228">
        <v>111.74</v>
      </c>
      <c r="EZ193" s="229">
        <v>6.3200000000000006E-2</v>
      </c>
      <c r="FA193" s="229">
        <v>0.83609999999999995</v>
      </c>
      <c r="FB193" s="227" t="s">
        <v>555</v>
      </c>
      <c r="FC193">
        <f t="shared" si="3"/>
        <v>0</v>
      </c>
    </row>
    <row r="194" spans="1:159" ht="17.25" thickBot="1" x14ac:dyDescent="0.3">
      <c r="A194" s="226">
        <v>46146</v>
      </c>
      <c r="B194" s="227" t="s">
        <v>161</v>
      </c>
      <c r="C194" s="227" t="s">
        <v>293</v>
      </c>
      <c r="D194" s="228">
        <v>1450</v>
      </c>
      <c r="E194" s="228">
        <v>22</v>
      </c>
      <c r="F194" s="228">
        <v>443.9</v>
      </c>
      <c r="G194" s="228">
        <v>447.05</v>
      </c>
      <c r="H194" s="228">
        <v>-3.15</v>
      </c>
      <c r="I194" s="229">
        <v>-7.0000000000000001E-3</v>
      </c>
      <c r="J194" s="228">
        <v>441.4</v>
      </c>
      <c r="K194" s="228">
        <v>444.55</v>
      </c>
      <c r="L194" s="228">
        <v>-3.15</v>
      </c>
      <c r="M194" s="229">
        <v>-7.1000000000000004E-3</v>
      </c>
      <c r="N194" s="228">
        <v>443.9</v>
      </c>
      <c r="O194" s="228">
        <v>447.05</v>
      </c>
      <c r="P194" s="228">
        <v>-3.15</v>
      </c>
      <c r="Q194" s="229">
        <v>-7.0000000000000001E-3</v>
      </c>
      <c r="R194" s="228">
        <v>444.8</v>
      </c>
      <c r="S194" s="228">
        <v>448.1</v>
      </c>
      <c r="T194" s="228">
        <v>-3.3</v>
      </c>
      <c r="U194" s="229">
        <v>-7.4000000000000003E-3</v>
      </c>
      <c r="V194" s="228">
        <v>447.2</v>
      </c>
      <c r="W194" s="228">
        <v>450.85</v>
      </c>
      <c r="X194" s="228">
        <v>-3.65</v>
      </c>
      <c r="Y194" s="229">
        <v>-8.0999999999999996E-3</v>
      </c>
      <c r="Z194" s="228">
        <v>2.5</v>
      </c>
      <c r="AA194" s="228">
        <v>2.5</v>
      </c>
      <c r="AB194" s="228">
        <v>0</v>
      </c>
      <c r="AC194" s="229">
        <v>5.7000000000000002E-3</v>
      </c>
      <c r="AD194" s="228">
        <v>2.5</v>
      </c>
      <c r="AE194" s="228">
        <v>2.5</v>
      </c>
      <c r="AF194" s="228">
        <v>0</v>
      </c>
      <c r="AG194" s="229">
        <v>5.7000000000000002E-3</v>
      </c>
      <c r="AH194" s="228">
        <v>3.4</v>
      </c>
      <c r="AI194" s="228">
        <v>3.55</v>
      </c>
      <c r="AJ194" s="228">
        <v>-0.15</v>
      </c>
      <c r="AK194" s="229">
        <v>7.7000000000000002E-3</v>
      </c>
      <c r="AL194" s="228">
        <v>5.8</v>
      </c>
      <c r="AM194" s="228">
        <v>6.3</v>
      </c>
      <c r="AN194" s="228">
        <v>-0.5</v>
      </c>
      <c r="AO194" s="229">
        <v>1.3100000000000001E-2</v>
      </c>
      <c r="AP194" s="228">
        <v>445.64</v>
      </c>
      <c r="AQ194" s="228">
        <v>446.92</v>
      </c>
      <c r="AR194" s="228">
        <v>0</v>
      </c>
      <c r="AS194" s="228">
        <v>309</v>
      </c>
      <c r="AT194" s="228">
        <v>350</v>
      </c>
      <c r="AU194" s="228">
        <v>-41</v>
      </c>
      <c r="AV194" s="229">
        <v>-0.1177</v>
      </c>
      <c r="AW194" s="228">
        <v>282</v>
      </c>
      <c r="AX194" s="228">
        <v>329</v>
      </c>
      <c r="AY194" s="228">
        <v>-48</v>
      </c>
      <c r="AZ194" s="229">
        <v>-0.1452</v>
      </c>
      <c r="BA194" s="228">
        <v>21</v>
      </c>
      <c r="BB194" s="228">
        <v>18</v>
      </c>
      <c r="BC194" s="228">
        <v>3</v>
      </c>
      <c r="BD194" s="229">
        <v>0.1855</v>
      </c>
      <c r="BE194" s="228">
        <v>7</v>
      </c>
      <c r="BF194" s="228">
        <v>3</v>
      </c>
      <c r="BG194" s="228">
        <v>3</v>
      </c>
      <c r="BH194" s="229">
        <v>0.98080000000000001</v>
      </c>
      <c r="BI194" s="230">
        <v>1024</v>
      </c>
      <c r="BJ194" s="230">
        <v>1072</v>
      </c>
      <c r="BK194" s="228">
        <v>-47</v>
      </c>
      <c r="BL194" s="229">
        <v>-4.3999999999999997E-2</v>
      </c>
      <c r="BM194" s="228">
        <v>328</v>
      </c>
      <c r="BN194" s="228">
        <v>622</v>
      </c>
      <c r="BO194" s="228">
        <v>-294</v>
      </c>
      <c r="BP194" s="229">
        <v>-0.47289999999999999</v>
      </c>
      <c r="BQ194" s="230">
        <v>1661</v>
      </c>
      <c r="BR194" s="230">
        <v>2044</v>
      </c>
      <c r="BS194" s="228">
        <v>-383</v>
      </c>
      <c r="BT194" s="229">
        <v>-0.18720000000000001</v>
      </c>
      <c r="BU194" s="230">
        <v>5352162</v>
      </c>
      <c r="BV194" s="230">
        <v>6888836</v>
      </c>
      <c r="BW194" s="230">
        <v>-1536674</v>
      </c>
      <c r="BX194" s="229">
        <v>-0.22309999999999999</v>
      </c>
      <c r="BY194" s="230">
        <v>2238</v>
      </c>
      <c r="BZ194" s="230">
        <v>2193</v>
      </c>
      <c r="CA194" s="228">
        <v>45</v>
      </c>
      <c r="CB194" s="229">
        <v>2.0400000000000001E-2</v>
      </c>
      <c r="CC194" s="230">
        <v>2176</v>
      </c>
      <c r="CD194" s="230">
        <v>2139</v>
      </c>
      <c r="CE194" s="228">
        <v>37</v>
      </c>
      <c r="CF194" s="229">
        <v>1.72E-2</v>
      </c>
      <c r="CG194" s="228">
        <v>52</v>
      </c>
      <c r="CH194" s="228">
        <v>50</v>
      </c>
      <c r="CI194" s="228">
        <v>2</v>
      </c>
      <c r="CJ194" s="229">
        <v>4.7899999999999998E-2</v>
      </c>
      <c r="CK194" s="228">
        <v>10</v>
      </c>
      <c r="CL194" s="228">
        <v>4</v>
      </c>
      <c r="CM194" s="228">
        <v>6</v>
      </c>
      <c r="CN194" s="229">
        <v>1.3871</v>
      </c>
      <c r="CO194" s="230">
        <v>1028</v>
      </c>
      <c r="CP194" s="228">
        <v>892</v>
      </c>
      <c r="CQ194" s="228">
        <v>136</v>
      </c>
      <c r="CR194" s="229">
        <v>0.15210000000000001</v>
      </c>
      <c r="CS194" s="228">
        <v>659</v>
      </c>
      <c r="CT194" s="228">
        <v>622</v>
      </c>
      <c r="CU194" s="228">
        <v>36</v>
      </c>
      <c r="CV194" s="229">
        <v>5.8200000000000002E-2</v>
      </c>
      <c r="CW194" s="230">
        <v>3925</v>
      </c>
      <c r="CX194" s="230">
        <v>3708</v>
      </c>
      <c r="CY194" s="228">
        <v>217</v>
      </c>
      <c r="CZ194" s="229">
        <v>5.8400000000000001E-2</v>
      </c>
      <c r="DA194" s="228">
        <v>32.06</v>
      </c>
      <c r="DB194" s="228">
        <v>31.15</v>
      </c>
      <c r="DC194" s="228">
        <v>0.91</v>
      </c>
      <c r="DD194" s="228">
        <v>0.91</v>
      </c>
      <c r="DE194" s="228">
        <v>31.8</v>
      </c>
      <c r="DF194" s="228">
        <v>31.86</v>
      </c>
      <c r="DG194" s="228">
        <v>0.26</v>
      </c>
      <c r="DH194" s="228">
        <v>-0.06</v>
      </c>
      <c r="DI194" s="228">
        <v>32.340000000000003</v>
      </c>
      <c r="DJ194" s="228">
        <v>31.57</v>
      </c>
      <c r="DK194" s="228">
        <v>0.77</v>
      </c>
      <c r="DL194" s="228">
        <v>0.77</v>
      </c>
      <c r="DM194" s="228">
        <v>31.19</v>
      </c>
      <c r="DN194" s="228">
        <v>30.44</v>
      </c>
      <c r="DO194" s="228">
        <v>0.75</v>
      </c>
      <c r="DP194" s="228">
        <v>0.75</v>
      </c>
      <c r="DQ194" s="228">
        <v>0.64</v>
      </c>
      <c r="DR194" s="228">
        <v>0.7</v>
      </c>
      <c r="DS194" s="228">
        <v>-0.06</v>
      </c>
      <c r="DT194" s="229">
        <v>-8.5699999999999998E-2</v>
      </c>
      <c r="DU194" s="228">
        <v>460</v>
      </c>
      <c r="DV194" s="228">
        <v>430</v>
      </c>
      <c r="DW194" s="228">
        <v>0.32</v>
      </c>
      <c r="DX194" s="228">
        <v>0.57999999999999996</v>
      </c>
      <c r="DY194" s="228">
        <v>-0.26</v>
      </c>
      <c r="DZ194" s="229">
        <v>-0.44829999999999998</v>
      </c>
      <c r="EA194" s="229">
        <v>2.76E-2</v>
      </c>
      <c r="EB194" s="230">
        <v>1210750</v>
      </c>
      <c r="EC194" s="229">
        <v>2E-3</v>
      </c>
      <c r="ED194" s="229">
        <v>2.76E-2</v>
      </c>
      <c r="EE194" s="228">
        <v>1.28</v>
      </c>
      <c r="EF194" s="229">
        <v>2.8999999999999998E-3</v>
      </c>
      <c r="EG194" s="230">
        <v>2115949</v>
      </c>
      <c r="EH194" s="230">
        <v>3379922</v>
      </c>
      <c r="EI194" s="229">
        <v>-0.374</v>
      </c>
      <c r="EJ194" s="229">
        <v>0.39529999999999998</v>
      </c>
      <c r="EK194" s="231">
        <v>1092.1099999999999</v>
      </c>
      <c r="EL194" s="228">
        <v>328.35</v>
      </c>
      <c r="EM194" s="228">
        <v>310.45999999999998</v>
      </c>
      <c r="EN194" s="228">
        <v>146.1</v>
      </c>
      <c r="EO194" s="231">
        <v>1730.92</v>
      </c>
      <c r="EP194" s="231">
        <v>2122.36</v>
      </c>
      <c r="EQ194" s="228">
        <v>-391.43</v>
      </c>
      <c r="ER194" s="229">
        <v>-0.18440000000000001</v>
      </c>
      <c r="ES194" s="231">
        <v>1070.23</v>
      </c>
      <c r="ET194" s="228">
        <v>637.39</v>
      </c>
      <c r="EU194" s="231">
        <v>2238.1</v>
      </c>
      <c r="EV194" s="231">
        <v>169808198</v>
      </c>
      <c r="EW194" s="231">
        <v>3945.72</v>
      </c>
      <c r="EX194" s="231">
        <v>3738.91</v>
      </c>
      <c r="EY194" s="228">
        <v>206.81</v>
      </c>
      <c r="EZ194" s="229">
        <v>5.5300000000000002E-2</v>
      </c>
      <c r="FA194" s="229">
        <v>0.52070000000000005</v>
      </c>
      <c r="FB194" s="227" t="s">
        <v>566</v>
      </c>
      <c r="FC194">
        <f t="shared" si="3"/>
        <v>0</v>
      </c>
    </row>
    <row r="195" spans="1:159" ht="17.25" thickBot="1" x14ac:dyDescent="0.3">
      <c r="A195" s="226">
        <v>46146</v>
      </c>
      <c r="B195" s="227" t="s">
        <v>227</v>
      </c>
      <c r="C195" s="227" t="s">
        <v>294</v>
      </c>
      <c r="D195" s="228">
        <v>2750</v>
      </c>
      <c r="E195" s="228">
        <v>22</v>
      </c>
      <c r="F195" s="228">
        <v>212.87</v>
      </c>
      <c r="G195" s="228">
        <v>212.06</v>
      </c>
      <c r="H195" s="228">
        <v>0.81</v>
      </c>
      <c r="I195" s="229">
        <v>3.8E-3</v>
      </c>
      <c r="J195" s="228">
        <v>212.24</v>
      </c>
      <c r="K195" s="228">
        <v>211.36</v>
      </c>
      <c r="L195" s="228">
        <v>0.88</v>
      </c>
      <c r="M195" s="229">
        <v>4.1999999999999997E-3</v>
      </c>
      <c r="N195" s="228">
        <v>212.87</v>
      </c>
      <c r="O195" s="228">
        <v>212.06</v>
      </c>
      <c r="P195" s="228">
        <v>0.81</v>
      </c>
      <c r="Q195" s="229">
        <v>3.8E-3</v>
      </c>
      <c r="R195" s="228">
        <v>212.01</v>
      </c>
      <c r="S195" s="228">
        <v>210.35</v>
      </c>
      <c r="T195" s="228">
        <v>1.66</v>
      </c>
      <c r="U195" s="229">
        <v>7.9000000000000008E-3</v>
      </c>
      <c r="V195" s="228">
        <v>212.92</v>
      </c>
      <c r="W195" s="228">
        <v>211.73</v>
      </c>
      <c r="X195" s="228">
        <v>1.19</v>
      </c>
      <c r="Y195" s="229">
        <v>5.5999999999999999E-3</v>
      </c>
      <c r="Z195" s="228">
        <v>0.63</v>
      </c>
      <c r="AA195" s="228">
        <v>0.7</v>
      </c>
      <c r="AB195" s="228">
        <v>-7.0000000000000007E-2</v>
      </c>
      <c r="AC195" s="229">
        <v>3.0000000000000001E-3</v>
      </c>
      <c r="AD195" s="228">
        <v>0.63</v>
      </c>
      <c r="AE195" s="228">
        <v>0.7</v>
      </c>
      <c r="AF195" s="228">
        <v>-7.0000000000000007E-2</v>
      </c>
      <c r="AG195" s="229">
        <v>3.0000000000000001E-3</v>
      </c>
      <c r="AH195" s="228">
        <v>-0.23</v>
      </c>
      <c r="AI195" s="228">
        <v>-1.01</v>
      </c>
      <c r="AJ195" s="228">
        <v>0.78</v>
      </c>
      <c r="AK195" s="229">
        <v>-1.1000000000000001E-3</v>
      </c>
      <c r="AL195" s="228">
        <v>0.68</v>
      </c>
      <c r="AM195" s="228">
        <v>0.37</v>
      </c>
      <c r="AN195" s="228">
        <v>0.31</v>
      </c>
      <c r="AO195" s="229">
        <v>3.2000000000000002E-3</v>
      </c>
      <c r="AP195" s="228">
        <v>213.75</v>
      </c>
      <c r="AQ195" s="228">
        <v>212.41</v>
      </c>
      <c r="AR195" s="228">
        <v>0</v>
      </c>
      <c r="AS195" s="228">
        <v>385</v>
      </c>
      <c r="AT195" s="228">
        <v>608</v>
      </c>
      <c r="AU195" s="228">
        <v>-223</v>
      </c>
      <c r="AV195" s="229">
        <v>-0.3669</v>
      </c>
      <c r="AW195" s="228">
        <v>347</v>
      </c>
      <c r="AX195" s="228">
        <v>549</v>
      </c>
      <c r="AY195" s="228">
        <v>-202</v>
      </c>
      <c r="AZ195" s="229">
        <v>-0.36799999999999999</v>
      </c>
      <c r="BA195" s="228">
        <v>36</v>
      </c>
      <c r="BB195" s="228">
        <v>53</v>
      </c>
      <c r="BC195" s="228">
        <v>-17</v>
      </c>
      <c r="BD195" s="229">
        <v>-0.3226</v>
      </c>
      <c r="BE195" s="228">
        <v>2</v>
      </c>
      <c r="BF195" s="228">
        <v>6</v>
      </c>
      <c r="BG195" s="228">
        <v>-4</v>
      </c>
      <c r="BH195" s="229">
        <v>-0.64759999999999995</v>
      </c>
      <c r="BI195" s="230">
        <v>1271</v>
      </c>
      <c r="BJ195" s="230">
        <v>1668</v>
      </c>
      <c r="BK195" s="228">
        <v>-397</v>
      </c>
      <c r="BL195" s="229">
        <v>-0.23810000000000001</v>
      </c>
      <c r="BM195" s="228">
        <v>704</v>
      </c>
      <c r="BN195" s="230">
        <v>1251</v>
      </c>
      <c r="BO195" s="228">
        <v>-547</v>
      </c>
      <c r="BP195" s="229">
        <v>-0.43719999999999998</v>
      </c>
      <c r="BQ195" s="230">
        <v>2360</v>
      </c>
      <c r="BR195" s="230">
        <v>3527</v>
      </c>
      <c r="BS195" s="230">
        <v>-1167</v>
      </c>
      <c r="BT195" s="229">
        <v>-0.33090000000000003</v>
      </c>
      <c r="BU195" s="230">
        <v>24491559</v>
      </c>
      <c r="BV195" s="230">
        <v>26326581</v>
      </c>
      <c r="BW195" s="230">
        <v>-1835022</v>
      </c>
      <c r="BX195" s="229">
        <v>-6.9699999999999998E-2</v>
      </c>
      <c r="BY195" s="230">
        <v>3950</v>
      </c>
      <c r="BZ195" s="230">
        <v>3947</v>
      </c>
      <c r="CA195" s="228">
        <v>3</v>
      </c>
      <c r="CB195" s="229">
        <v>5.9999999999999995E-4</v>
      </c>
      <c r="CC195" s="230">
        <v>3661</v>
      </c>
      <c r="CD195" s="230">
        <v>3665</v>
      </c>
      <c r="CE195" s="228">
        <v>-4</v>
      </c>
      <c r="CF195" s="229">
        <v>-1.1999999999999999E-3</v>
      </c>
      <c r="CG195" s="228">
        <v>284</v>
      </c>
      <c r="CH195" s="228">
        <v>277</v>
      </c>
      <c r="CI195" s="228">
        <v>6</v>
      </c>
      <c r="CJ195" s="229">
        <v>2.3400000000000001E-2</v>
      </c>
      <c r="CK195" s="228">
        <v>5</v>
      </c>
      <c r="CL195" s="228">
        <v>5</v>
      </c>
      <c r="CM195" s="228">
        <v>0</v>
      </c>
      <c r="CN195" s="229">
        <v>8.9700000000000002E-2</v>
      </c>
      <c r="CO195" s="230">
        <v>1709</v>
      </c>
      <c r="CP195" s="230">
        <v>1661</v>
      </c>
      <c r="CQ195" s="228">
        <v>48</v>
      </c>
      <c r="CR195" s="229">
        <v>2.8899999999999999E-2</v>
      </c>
      <c r="CS195" s="230">
        <v>1119</v>
      </c>
      <c r="CT195" s="230">
        <v>1018</v>
      </c>
      <c r="CU195" s="228">
        <v>101</v>
      </c>
      <c r="CV195" s="229">
        <v>9.9199999999999997E-2</v>
      </c>
      <c r="CW195" s="230">
        <v>6778</v>
      </c>
      <c r="CX195" s="230">
        <v>6626</v>
      </c>
      <c r="CY195" s="228">
        <v>152</v>
      </c>
      <c r="CZ195" s="229">
        <v>2.29E-2</v>
      </c>
      <c r="DA195" s="228">
        <v>30.06</v>
      </c>
      <c r="DB195" s="228">
        <v>30.05</v>
      </c>
      <c r="DC195" s="228">
        <v>0.01</v>
      </c>
      <c r="DD195" s="228">
        <v>0.01</v>
      </c>
      <c r="DE195" s="228">
        <v>35.520000000000003</v>
      </c>
      <c r="DF195" s="228">
        <v>35.61</v>
      </c>
      <c r="DG195" s="228">
        <v>-5.46</v>
      </c>
      <c r="DH195" s="228">
        <v>-0.09</v>
      </c>
      <c r="DI195" s="228">
        <v>29.42</v>
      </c>
      <c r="DJ195" s="228">
        <v>29.93</v>
      </c>
      <c r="DK195" s="228">
        <v>-0.51</v>
      </c>
      <c r="DL195" s="228">
        <v>-0.51</v>
      </c>
      <c r="DM195" s="228">
        <v>31.21</v>
      </c>
      <c r="DN195" s="228">
        <v>30.2</v>
      </c>
      <c r="DO195" s="228">
        <v>1.01</v>
      </c>
      <c r="DP195" s="228">
        <v>1.01</v>
      </c>
      <c r="DQ195" s="228">
        <v>0.65</v>
      </c>
      <c r="DR195" s="228">
        <v>0.61</v>
      </c>
      <c r="DS195" s="228">
        <v>0.04</v>
      </c>
      <c r="DT195" s="229">
        <v>6.5600000000000006E-2</v>
      </c>
      <c r="DU195" s="228">
        <v>210</v>
      </c>
      <c r="DV195" s="228">
        <v>210</v>
      </c>
      <c r="DW195" s="228">
        <v>0.55000000000000004</v>
      </c>
      <c r="DX195" s="228">
        <v>0.75</v>
      </c>
      <c r="DY195" s="228">
        <v>-0.2</v>
      </c>
      <c r="DZ195" s="229">
        <v>-0.26669999999999999</v>
      </c>
      <c r="EA195" s="229">
        <v>7.3099999999999998E-2</v>
      </c>
      <c r="EB195" s="230">
        <v>13238500</v>
      </c>
      <c r="EC195" s="229">
        <v>-4.0000000000000001E-3</v>
      </c>
      <c r="ED195" s="229">
        <v>7.3099999999999998E-2</v>
      </c>
      <c r="EE195" s="228">
        <v>-1.34</v>
      </c>
      <c r="EF195" s="229">
        <v>-6.3E-3</v>
      </c>
      <c r="EG195" s="230">
        <v>12231871</v>
      </c>
      <c r="EH195" s="230">
        <v>12873524</v>
      </c>
      <c r="EI195" s="229">
        <v>-4.9799999999999997E-2</v>
      </c>
      <c r="EJ195" s="229">
        <v>0.49940000000000001</v>
      </c>
      <c r="EK195" s="231">
        <v>1346.81</v>
      </c>
      <c r="EL195" s="228">
        <v>693.37</v>
      </c>
      <c r="EM195" s="228">
        <v>386.07</v>
      </c>
      <c r="EN195" s="228">
        <v>164.76</v>
      </c>
      <c r="EO195" s="231">
        <v>2426.2600000000002</v>
      </c>
      <c r="EP195" s="231">
        <v>3603.39</v>
      </c>
      <c r="EQ195" s="231">
        <v>-1177.1300000000001</v>
      </c>
      <c r="ER195" s="229">
        <v>-0.32669999999999999</v>
      </c>
      <c r="ES195" s="231">
        <v>1749.29</v>
      </c>
      <c r="ET195" s="231">
        <v>1074.58</v>
      </c>
      <c r="EU195" s="231">
        <v>3948.44</v>
      </c>
      <c r="EV195" s="231">
        <v>1049350971</v>
      </c>
      <c r="EW195" s="231">
        <v>6772.31</v>
      </c>
      <c r="EX195" s="231">
        <v>6603.91</v>
      </c>
      <c r="EY195" s="228">
        <v>168.4</v>
      </c>
      <c r="EZ195" s="229">
        <v>2.5499999999999998E-2</v>
      </c>
      <c r="FA195" s="229">
        <v>0.3034</v>
      </c>
      <c r="FB195" s="227" t="s">
        <v>555</v>
      </c>
      <c r="FC195">
        <f t="shared" ref="FC195:FC258" si="4">BY262-CC262</f>
        <v>0</v>
      </c>
    </row>
    <row r="196" spans="1:159" ht="17.25" thickBot="1" x14ac:dyDescent="0.3">
      <c r="A196" s="226">
        <v>46146</v>
      </c>
      <c r="B196" s="227" t="s">
        <v>221</v>
      </c>
      <c r="C196" s="227" t="s">
        <v>295</v>
      </c>
      <c r="D196" s="228">
        <v>175</v>
      </c>
      <c r="E196" s="228">
        <v>22</v>
      </c>
      <c r="F196" s="231">
        <v>2421.8000000000002</v>
      </c>
      <c r="G196" s="231">
        <v>2440.6</v>
      </c>
      <c r="H196" s="228">
        <v>-18.8</v>
      </c>
      <c r="I196" s="229">
        <v>-7.7000000000000002E-3</v>
      </c>
      <c r="J196" s="231">
        <v>2431.3000000000002</v>
      </c>
      <c r="K196" s="231">
        <v>2473.9</v>
      </c>
      <c r="L196" s="228">
        <v>-42.6</v>
      </c>
      <c r="M196" s="229">
        <v>-1.72E-2</v>
      </c>
      <c r="N196" s="231">
        <v>2421.8000000000002</v>
      </c>
      <c r="O196" s="231">
        <v>2440.6</v>
      </c>
      <c r="P196" s="228">
        <v>-18.8</v>
      </c>
      <c r="Q196" s="229">
        <v>-7.7000000000000002E-3</v>
      </c>
      <c r="R196" s="231">
        <v>2410.1999999999998</v>
      </c>
      <c r="S196" s="231">
        <v>2431.9</v>
      </c>
      <c r="T196" s="228">
        <v>-21.7</v>
      </c>
      <c r="U196" s="229">
        <v>-8.8999999999999999E-3</v>
      </c>
      <c r="V196" s="231">
        <v>2409.9</v>
      </c>
      <c r="W196" s="231">
        <v>2431.8000000000002</v>
      </c>
      <c r="X196" s="228">
        <v>-21.9</v>
      </c>
      <c r="Y196" s="229">
        <v>-8.9999999999999993E-3</v>
      </c>
      <c r="Z196" s="228">
        <v>-9.5</v>
      </c>
      <c r="AA196" s="228">
        <v>-33.299999999999997</v>
      </c>
      <c r="AB196" s="228">
        <v>23.8</v>
      </c>
      <c r="AC196" s="229">
        <v>-3.8999999999999998E-3</v>
      </c>
      <c r="AD196" s="228">
        <v>-9.5</v>
      </c>
      <c r="AE196" s="228">
        <v>-33.299999999999997</v>
      </c>
      <c r="AF196" s="228">
        <v>23.8</v>
      </c>
      <c r="AG196" s="229">
        <v>-3.8999999999999998E-3</v>
      </c>
      <c r="AH196" s="228">
        <v>-21.1</v>
      </c>
      <c r="AI196" s="228">
        <v>-42</v>
      </c>
      <c r="AJ196" s="228">
        <v>20.9</v>
      </c>
      <c r="AK196" s="229">
        <v>-8.6999999999999994E-3</v>
      </c>
      <c r="AL196" s="228">
        <v>-21.4</v>
      </c>
      <c r="AM196" s="228">
        <v>-42.1</v>
      </c>
      <c r="AN196" s="228">
        <v>20.7</v>
      </c>
      <c r="AO196" s="229">
        <v>-8.8000000000000005E-3</v>
      </c>
      <c r="AP196" s="231">
        <v>2429.73</v>
      </c>
      <c r="AQ196" s="231">
        <v>2418.17</v>
      </c>
      <c r="AR196" s="228">
        <v>0</v>
      </c>
      <c r="AS196" s="228">
        <v>576</v>
      </c>
      <c r="AT196" s="228">
        <v>854</v>
      </c>
      <c r="AU196" s="228">
        <v>-278</v>
      </c>
      <c r="AV196" s="229">
        <v>-0.32529999999999998</v>
      </c>
      <c r="AW196" s="228">
        <v>439</v>
      </c>
      <c r="AX196" s="228">
        <v>757</v>
      </c>
      <c r="AY196" s="228">
        <v>-318</v>
      </c>
      <c r="AZ196" s="229">
        <v>-0.42030000000000001</v>
      </c>
      <c r="BA196" s="228">
        <v>111</v>
      </c>
      <c r="BB196" s="228">
        <v>87</v>
      </c>
      <c r="BC196" s="228">
        <v>25</v>
      </c>
      <c r="BD196" s="229">
        <v>0.28420000000000001</v>
      </c>
      <c r="BE196" s="228">
        <v>26</v>
      </c>
      <c r="BF196" s="228">
        <v>10</v>
      </c>
      <c r="BG196" s="228">
        <v>16</v>
      </c>
      <c r="BH196" s="229">
        <v>1.5265</v>
      </c>
      <c r="BI196" s="230">
        <v>2273</v>
      </c>
      <c r="BJ196" s="230">
        <v>2395</v>
      </c>
      <c r="BK196" s="228">
        <v>-122</v>
      </c>
      <c r="BL196" s="229">
        <v>-5.0900000000000001E-2</v>
      </c>
      <c r="BM196" s="230">
        <v>1182</v>
      </c>
      <c r="BN196" s="230">
        <v>1146</v>
      </c>
      <c r="BO196" s="228">
        <v>37</v>
      </c>
      <c r="BP196" s="229">
        <v>3.2000000000000001E-2</v>
      </c>
      <c r="BQ196" s="230">
        <v>4032</v>
      </c>
      <c r="BR196" s="230">
        <v>4395</v>
      </c>
      <c r="BS196" s="228">
        <v>-363</v>
      </c>
      <c r="BT196" s="229">
        <v>-8.2600000000000007E-2</v>
      </c>
      <c r="BU196" s="230">
        <v>2958250</v>
      </c>
      <c r="BV196" s="230">
        <v>4427098</v>
      </c>
      <c r="BW196" s="230">
        <v>-1468848</v>
      </c>
      <c r="BX196" s="229">
        <v>-0.33179999999999998</v>
      </c>
      <c r="BY196" s="230">
        <v>9137</v>
      </c>
      <c r="BZ196" s="230">
        <v>9074</v>
      </c>
      <c r="CA196" s="228">
        <v>63</v>
      </c>
      <c r="CB196" s="229">
        <v>6.8999999999999999E-3</v>
      </c>
      <c r="CC196" s="230">
        <v>8479</v>
      </c>
      <c r="CD196" s="230">
        <v>8476</v>
      </c>
      <c r="CE196" s="228">
        <v>3</v>
      </c>
      <c r="CF196" s="229">
        <v>4.0000000000000002E-4</v>
      </c>
      <c r="CG196" s="228">
        <v>612</v>
      </c>
      <c r="CH196" s="228">
        <v>582</v>
      </c>
      <c r="CI196" s="228">
        <v>30</v>
      </c>
      <c r="CJ196" s="229">
        <v>5.16E-2</v>
      </c>
      <c r="CK196" s="228">
        <v>45</v>
      </c>
      <c r="CL196" s="228">
        <v>16</v>
      </c>
      <c r="CM196" s="228">
        <v>30</v>
      </c>
      <c r="CN196" s="229">
        <v>1.8889</v>
      </c>
      <c r="CO196" s="230">
        <v>2789</v>
      </c>
      <c r="CP196" s="230">
        <v>2465</v>
      </c>
      <c r="CQ196" s="228">
        <v>324</v>
      </c>
      <c r="CR196" s="229">
        <v>0.1313</v>
      </c>
      <c r="CS196" s="230">
        <v>2050</v>
      </c>
      <c r="CT196" s="230">
        <v>1990</v>
      </c>
      <c r="CU196" s="228">
        <v>59</v>
      </c>
      <c r="CV196" s="229">
        <v>2.98E-2</v>
      </c>
      <c r="CW196" s="230">
        <v>13976</v>
      </c>
      <c r="CX196" s="230">
        <v>13530</v>
      </c>
      <c r="CY196" s="228">
        <v>446</v>
      </c>
      <c r="CZ196" s="229">
        <v>3.2899999999999999E-2</v>
      </c>
      <c r="DA196" s="228">
        <v>27.53</v>
      </c>
      <c r="DB196" s="228">
        <v>27.35</v>
      </c>
      <c r="DC196" s="228">
        <v>0.18</v>
      </c>
      <c r="DD196" s="228">
        <v>0.18</v>
      </c>
      <c r="DE196" s="228">
        <v>28.09</v>
      </c>
      <c r="DF196" s="228">
        <v>28.06</v>
      </c>
      <c r="DG196" s="228">
        <v>-0.56000000000000005</v>
      </c>
      <c r="DH196" s="228">
        <v>0.03</v>
      </c>
      <c r="DI196" s="228">
        <v>27.5</v>
      </c>
      <c r="DJ196" s="228">
        <v>27.36</v>
      </c>
      <c r="DK196" s="228">
        <v>0.14000000000000001</v>
      </c>
      <c r="DL196" s="228">
        <v>0.14000000000000001</v>
      </c>
      <c r="DM196" s="228">
        <v>27.59</v>
      </c>
      <c r="DN196" s="228">
        <v>27.32</v>
      </c>
      <c r="DO196" s="228">
        <v>0.27</v>
      </c>
      <c r="DP196" s="228">
        <v>0.27</v>
      </c>
      <c r="DQ196" s="228">
        <v>0.73</v>
      </c>
      <c r="DR196" s="228">
        <v>0.81</v>
      </c>
      <c r="DS196" s="228">
        <v>-0.08</v>
      </c>
      <c r="DT196" s="229">
        <v>-9.8799999999999999E-2</v>
      </c>
      <c r="DU196" s="231">
        <v>2600</v>
      </c>
      <c r="DV196" s="231">
        <v>3120</v>
      </c>
      <c r="DW196" s="228">
        <v>0.52</v>
      </c>
      <c r="DX196" s="228">
        <v>0.48</v>
      </c>
      <c r="DY196" s="228">
        <v>0.04</v>
      </c>
      <c r="DZ196" s="229">
        <v>8.3299999999999999E-2</v>
      </c>
      <c r="EA196" s="229">
        <v>7.1999999999999995E-2</v>
      </c>
      <c r="EB196" s="230">
        <v>2469475</v>
      </c>
      <c r="EC196" s="229">
        <v>-4.7999999999999996E-3</v>
      </c>
      <c r="ED196" s="229">
        <v>7.1999999999999995E-2</v>
      </c>
      <c r="EE196" s="228">
        <v>-11.56</v>
      </c>
      <c r="EF196" s="229">
        <v>-4.7999999999999996E-3</v>
      </c>
      <c r="EG196" s="230">
        <v>1629236</v>
      </c>
      <c r="EH196" s="230">
        <v>1994914</v>
      </c>
      <c r="EI196" s="229">
        <v>-0.18329999999999999</v>
      </c>
      <c r="EJ196" s="229">
        <v>0.55069999999999997</v>
      </c>
      <c r="EK196" s="231">
        <v>2418.61</v>
      </c>
      <c r="EL196" s="231">
        <v>1178.68</v>
      </c>
      <c r="EM196" s="228">
        <v>585.16999999999996</v>
      </c>
      <c r="EN196" s="228">
        <v>608.72</v>
      </c>
      <c r="EO196" s="231">
        <v>4182.46</v>
      </c>
      <c r="EP196" s="231">
        <v>4567.33</v>
      </c>
      <c r="EQ196" s="228">
        <v>-384.87</v>
      </c>
      <c r="ER196" s="229">
        <v>-8.43E-2</v>
      </c>
      <c r="ES196" s="231">
        <v>2966.11</v>
      </c>
      <c r="ET196" s="231">
        <v>2119.06</v>
      </c>
      <c r="EU196" s="231">
        <v>9133.77</v>
      </c>
      <c r="EV196" s="231">
        <v>153229333</v>
      </c>
      <c r="EW196" s="231">
        <v>14218.94</v>
      </c>
      <c r="EX196" s="231">
        <v>13826.86</v>
      </c>
      <c r="EY196" s="228">
        <v>392.08</v>
      </c>
      <c r="EZ196" s="229">
        <v>2.8400000000000002E-2</v>
      </c>
      <c r="FA196" s="229">
        <v>0.37659999999999999</v>
      </c>
      <c r="FB196" s="227" t="s">
        <v>566</v>
      </c>
      <c r="FC196">
        <f t="shared" si="4"/>
        <v>0</v>
      </c>
    </row>
    <row r="197" spans="1:159" ht="17.25" thickBot="1" x14ac:dyDescent="0.3">
      <c r="A197" s="226">
        <v>46146</v>
      </c>
      <c r="B197" s="227" t="s">
        <v>221</v>
      </c>
      <c r="C197" s="227" t="s">
        <v>296</v>
      </c>
      <c r="D197" s="228">
        <v>600</v>
      </c>
      <c r="E197" s="228">
        <v>22</v>
      </c>
      <c r="F197" s="231">
        <v>1467.3</v>
      </c>
      <c r="G197" s="231">
        <v>1474.8</v>
      </c>
      <c r="H197" s="228">
        <v>-7.5</v>
      </c>
      <c r="I197" s="229">
        <v>-5.1000000000000004E-3</v>
      </c>
      <c r="J197" s="231">
        <v>1471.6</v>
      </c>
      <c r="K197" s="231">
        <v>1473.5</v>
      </c>
      <c r="L197" s="228">
        <v>-1.9</v>
      </c>
      <c r="M197" s="229">
        <v>-1.2999999999999999E-3</v>
      </c>
      <c r="N197" s="231">
        <v>1467.3</v>
      </c>
      <c r="O197" s="231">
        <v>1474.8</v>
      </c>
      <c r="P197" s="228">
        <v>-7.5</v>
      </c>
      <c r="Q197" s="229">
        <v>-5.1000000000000004E-3</v>
      </c>
      <c r="R197" s="231">
        <v>1466.4</v>
      </c>
      <c r="S197" s="231">
        <v>1473.4</v>
      </c>
      <c r="T197" s="228">
        <v>-7</v>
      </c>
      <c r="U197" s="229">
        <v>-4.7999999999999996E-3</v>
      </c>
      <c r="V197" s="231">
        <v>1464</v>
      </c>
      <c r="W197" s="231">
        <v>1474.8</v>
      </c>
      <c r="X197" s="228">
        <v>-10.8</v>
      </c>
      <c r="Y197" s="229">
        <v>-7.3000000000000001E-3</v>
      </c>
      <c r="Z197" s="228">
        <v>-4.3</v>
      </c>
      <c r="AA197" s="228">
        <v>1.3</v>
      </c>
      <c r="AB197" s="228">
        <v>-5.6</v>
      </c>
      <c r="AC197" s="229">
        <v>-2.8999999999999998E-3</v>
      </c>
      <c r="AD197" s="228">
        <v>-4.3</v>
      </c>
      <c r="AE197" s="228">
        <v>1.3</v>
      </c>
      <c r="AF197" s="228">
        <v>-5.6</v>
      </c>
      <c r="AG197" s="229">
        <v>-2.8999999999999998E-3</v>
      </c>
      <c r="AH197" s="228">
        <v>-5.2</v>
      </c>
      <c r="AI197" s="228">
        <v>-0.1</v>
      </c>
      <c r="AJ197" s="228">
        <v>-5.0999999999999996</v>
      </c>
      <c r="AK197" s="229">
        <v>-3.5000000000000001E-3</v>
      </c>
      <c r="AL197" s="228">
        <v>-7.6</v>
      </c>
      <c r="AM197" s="228">
        <v>1.3</v>
      </c>
      <c r="AN197" s="228">
        <v>-8.9</v>
      </c>
      <c r="AO197" s="229">
        <v>-5.1999999999999998E-3</v>
      </c>
      <c r="AP197" s="231">
        <v>1469.36</v>
      </c>
      <c r="AQ197" s="231">
        <v>1468.59</v>
      </c>
      <c r="AR197" s="228">
        <v>0</v>
      </c>
      <c r="AS197" s="228">
        <v>342</v>
      </c>
      <c r="AT197" s="228">
        <v>556</v>
      </c>
      <c r="AU197" s="228">
        <v>-214</v>
      </c>
      <c r="AV197" s="229">
        <v>-0.38540000000000002</v>
      </c>
      <c r="AW197" s="228">
        <v>314</v>
      </c>
      <c r="AX197" s="228">
        <v>538</v>
      </c>
      <c r="AY197" s="228">
        <v>-224</v>
      </c>
      <c r="AZ197" s="229">
        <v>-0.41660000000000003</v>
      </c>
      <c r="BA197" s="228">
        <v>28</v>
      </c>
      <c r="BB197" s="228">
        <v>16</v>
      </c>
      <c r="BC197" s="228">
        <v>11</v>
      </c>
      <c r="BD197" s="229">
        <v>0.69189999999999996</v>
      </c>
      <c r="BE197" s="228">
        <v>1</v>
      </c>
      <c r="BF197" s="228">
        <v>2</v>
      </c>
      <c r="BG197" s="228">
        <v>-2</v>
      </c>
      <c r="BH197" s="229">
        <v>-0.75</v>
      </c>
      <c r="BI197" s="228">
        <v>636</v>
      </c>
      <c r="BJ197" s="230">
        <v>1638</v>
      </c>
      <c r="BK197" s="230">
        <v>-1002</v>
      </c>
      <c r="BL197" s="229">
        <v>-0.61140000000000005</v>
      </c>
      <c r="BM197" s="228">
        <v>403</v>
      </c>
      <c r="BN197" s="228">
        <v>731</v>
      </c>
      <c r="BO197" s="228">
        <v>-328</v>
      </c>
      <c r="BP197" s="229">
        <v>-0.44850000000000001</v>
      </c>
      <c r="BQ197" s="230">
        <v>1381</v>
      </c>
      <c r="BR197" s="230">
        <v>2924</v>
      </c>
      <c r="BS197" s="230">
        <v>-1543</v>
      </c>
      <c r="BT197" s="229">
        <v>-0.52780000000000005</v>
      </c>
      <c r="BU197" s="230">
        <v>1539393</v>
      </c>
      <c r="BV197" s="230">
        <v>2939615</v>
      </c>
      <c r="BW197" s="230">
        <v>-1400222</v>
      </c>
      <c r="BX197" s="229">
        <v>-0.4763</v>
      </c>
      <c r="BY197" s="230">
        <v>2868</v>
      </c>
      <c r="BZ197" s="230">
        <v>2817</v>
      </c>
      <c r="CA197" s="228">
        <v>51</v>
      </c>
      <c r="CB197" s="229">
        <v>1.83E-2</v>
      </c>
      <c r="CC197" s="230">
        <v>2801</v>
      </c>
      <c r="CD197" s="230">
        <v>2764</v>
      </c>
      <c r="CE197" s="228">
        <v>37</v>
      </c>
      <c r="CF197" s="229">
        <v>1.35E-2</v>
      </c>
      <c r="CG197" s="228">
        <v>65</v>
      </c>
      <c r="CH197" s="228">
        <v>51</v>
      </c>
      <c r="CI197" s="228">
        <v>14</v>
      </c>
      <c r="CJ197" s="229">
        <v>0.26989999999999997</v>
      </c>
      <c r="CK197" s="228">
        <v>2</v>
      </c>
      <c r="CL197" s="228">
        <v>2</v>
      </c>
      <c r="CM197" s="228">
        <v>0</v>
      </c>
      <c r="CN197" s="229">
        <v>0.2273</v>
      </c>
      <c r="CO197" s="228">
        <v>935</v>
      </c>
      <c r="CP197" s="228">
        <v>861</v>
      </c>
      <c r="CQ197" s="228">
        <v>74</v>
      </c>
      <c r="CR197" s="229">
        <v>8.6300000000000002E-2</v>
      </c>
      <c r="CS197" s="228">
        <v>684</v>
      </c>
      <c r="CT197" s="228">
        <v>668</v>
      </c>
      <c r="CU197" s="228">
        <v>16</v>
      </c>
      <c r="CV197" s="229">
        <v>2.47E-2</v>
      </c>
      <c r="CW197" s="230">
        <v>4488</v>
      </c>
      <c r="CX197" s="230">
        <v>4346</v>
      </c>
      <c r="CY197" s="228">
        <v>142</v>
      </c>
      <c r="CZ197" s="229">
        <v>3.27E-2</v>
      </c>
      <c r="DA197" s="228">
        <v>28.95</v>
      </c>
      <c r="DB197" s="228">
        <v>28.35</v>
      </c>
      <c r="DC197" s="228">
        <v>0.6</v>
      </c>
      <c r="DD197" s="228">
        <v>0.6</v>
      </c>
      <c r="DE197" s="228">
        <v>32.159999999999997</v>
      </c>
      <c r="DF197" s="228">
        <v>32.24</v>
      </c>
      <c r="DG197" s="228">
        <v>-3.21</v>
      </c>
      <c r="DH197" s="228">
        <v>-0.08</v>
      </c>
      <c r="DI197" s="228">
        <v>28.38</v>
      </c>
      <c r="DJ197" s="228">
        <v>27.78</v>
      </c>
      <c r="DK197" s="228">
        <v>0.6</v>
      </c>
      <c r="DL197" s="228">
        <v>0.6</v>
      </c>
      <c r="DM197" s="228">
        <v>29.85</v>
      </c>
      <c r="DN197" s="228">
        <v>29.64</v>
      </c>
      <c r="DO197" s="228">
        <v>0.21</v>
      </c>
      <c r="DP197" s="228">
        <v>0.21</v>
      </c>
      <c r="DQ197" s="228">
        <v>0.73</v>
      </c>
      <c r="DR197" s="228">
        <v>0.78</v>
      </c>
      <c r="DS197" s="228">
        <v>-0.05</v>
      </c>
      <c r="DT197" s="229">
        <v>-6.4100000000000004E-2</v>
      </c>
      <c r="DU197" s="231">
        <v>1500</v>
      </c>
      <c r="DV197" s="231">
        <v>1300</v>
      </c>
      <c r="DW197" s="228">
        <v>0.63</v>
      </c>
      <c r="DX197" s="228">
        <v>0.45</v>
      </c>
      <c r="DY197" s="228">
        <v>0.18</v>
      </c>
      <c r="DZ197" s="229">
        <v>0.4</v>
      </c>
      <c r="EA197" s="229">
        <v>2.3400000000000001E-2</v>
      </c>
      <c r="EB197" s="230">
        <v>360000</v>
      </c>
      <c r="EC197" s="229">
        <v>-5.9999999999999995E-4</v>
      </c>
      <c r="ED197" s="229">
        <v>2.3400000000000001E-2</v>
      </c>
      <c r="EE197" s="228">
        <v>-0.77</v>
      </c>
      <c r="EF197" s="229">
        <v>-5.0000000000000001E-4</v>
      </c>
      <c r="EG197" s="230">
        <v>766308</v>
      </c>
      <c r="EH197" s="230">
        <v>1406062</v>
      </c>
      <c r="EI197" s="229">
        <v>-0.45500000000000002</v>
      </c>
      <c r="EJ197" s="229">
        <v>0.49780000000000002</v>
      </c>
      <c r="EK197" s="228">
        <v>676.05</v>
      </c>
      <c r="EL197" s="228">
        <v>393.66</v>
      </c>
      <c r="EM197" s="228">
        <v>342.14</v>
      </c>
      <c r="EN197" s="228">
        <v>108.52</v>
      </c>
      <c r="EO197" s="231">
        <v>1411.85</v>
      </c>
      <c r="EP197" s="231">
        <v>2987.95</v>
      </c>
      <c r="EQ197" s="231">
        <v>-1576.11</v>
      </c>
      <c r="ER197" s="229">
        <v>-0.52749999999999997</v>
      </c>
      <c r="ES197" s="228">
        <v>968</v>
      </c>
      <c r="ET197" s="228">
        <v>650.17999999999995</v>
      </c>
      <c r="EU197" s="231">
        <v>2868.32</v>
      </c>
      <c r="EV197" s="231">
        <v>95553300</v>
      </c>
      <c r="EW197" s="231">
        <v>4486.5</v>
      </c>
      <c r="EX197" s="231">
        <v>4352.6499999999996</v>
      </c>
      <c r="EY197" s="228">
        <v>133.85</v>
      </c>
      <c r="EZ197" s="229">
        <v>3.0800000000000001E-2</v>
      </c>
      <c r="FA197" s="229">
        <v>0.3201</v>
      </c>
      <c r="FB197" s="227" t="s">
        <v>566</v>
      </c>
      <c r="FC197">
        <f t="shared" si="4"/>
        <v>0</v>
      </c>
    </row>
    <row r="198" spans="1:159" ht="17.25" thickBot="1" x14ac:dyDescent="0.3">
      <c r="A198" s="226">
        <v>46146</v>
      </c>
      <c r="B198" s="227" t="s">
        <v>184</v>
      </c>
      <c r="C198" s="227" t="s">
        <v>594</v>
      </c>
      <c r="D198" s="228">
        <v>200</v>
      </c>
      <c r="E198" s="228">
        <v>22</v>
      </c>
      <c r="F198" s="231">
        <v>2910.9</v>
      </c>
      <c r="G198" s="231">
        <v>2965.4</v>
      </c>
      <c r="H198" s="228">
        <v>-54.5</v>
      </c>
      <c r="I198" s="229">
        <v>-1.84E-2</v>
      </c>
      <c r="J198" s="231">
        <v>2906</v>
      </c>
      <c r="K198" s="231">
        <v>2947.9</v>
      </c>
      <c r="L198" s="228">
        <v>-41.9</v>
      </c>
      <c r="M198" s="229">
        <v>-1.4200000000000001E-2</v>
      </c>
      <c r="N198" s="231">
        <v>2910.9</v>
      </c>
      <c r="O198" s="231">
        <v>2965.4</v>
      </c>
      <c r="P198" s="228">
        <v>-54.5</v>
      </c>
      <c r="Q198" s="229">
        <v>-1.84E-2</v>
      </c>
      <c r="R198" s="231">
        <v>2921.2</v>
      </c>
      <c r="S198" s="231">
        <v>2981.6</v>
      </c>
      <c r="T198" s="228">
        <v>-60.4</v>
      </c>
      <c r="U198" s="229">
        <v>-2.0299999999999999E-2</v>
      </c>
      <c r="V198" s="231">
        <v>2951.6</v>
      </c>
      <c r="W198" s="231">
        <v>2951.6</v>
      </c>
      <c r="X198" s="228">
        <v>0</v>
      </c>
      <c r="Y198" s="229">
        <v>0</v>
      </c>
      <c r="Z198" s="228">
        <v>4.9000000000000004</v>
      </c>
      <c r="AA198" s="228">
        <v>17.5</v>
      </c>
      <c r="AB198" s="228">
        <v>-12.6</v>
      </c>
      <c r="AC198" s="229">
        <v>1.6999999999999999E-3</v>
      </c>
      <c r="AD198" s="228">
        <v>4.9000000000000004</v>
      </c>
      <c r="AE198" s="228">
        <v>17.5</v>
      </c>
      <c r="AF198" s="228">
        <v>-12.6</v>
      </c>
      <c r="AG198" s="229">
        <v>1.6999999999999999E-3</v>
      </c>
      <c r="AH198" s="228">
        <v>15.2</v>
      </c>
      <c r="AI198" s="228">
        <v>33.700000000000003</v>
      </c>
      <c r="AJ198" s="228">
        <v>-18.5</v>
      </c>
      <c r="AK198" s="229">
        <v>5.1999999999999998E-3</v>
      </c>
      <c r="AL198" s="228">
        <v>45.6</v>
      </c>
      <c r="AM198" s="228">
        <v>3.7</v>
      </c>
      <c r="AN198" s="228">
        <v>41.9</v>
      </c>
      <c r="AO198" s="229">
        <v>1.5699999999999999E-2</v>
      </c>
      <c r="AP198" s="231">
        <v>2926.65</v>
      </c>
      <c r="AQ198" s="231">
        <v>2925.14</v>
      </c>
      <c r="AR198" s="228">
        <v>0</v>
      </c>
      <c r="AS198" s="228">
        <v>58</v>
      </c>
      <c r="AT198" s="228">
        <v>59</v>
      </c>
      <c r="AU198" s="228">
        <v>-1</v>
      </c>
      <c r="AV198" s="229">
        <v>-1.09E-2</v>
      </c>
      <c r="AW198" s="228">
        <v>56</v>
      </c>
      <c r="AX198" s="228">
        <v>57</v>
      </c>
      <c r="AY198" s="228">
        <v>-1</v>
      </c>
      <c r="AZ198" s="229">
        <v>-2.5499999999999998E-2</v>
      </c>
      <c r="BA198" s="228">
        <v>2</v>
      </c>
      <c r="BB198" s="228">
        <v>1</v>
      </c>
      <c r="BC198" s="228">
        <v>1</v>
      </c>
      <c r="BD198" s="229">
        <v>0.76190000000000002</v>
      </c>
      <c r="BE198" s="228">
        <v>0</v>
      </c>
      <c r="BF198" s="228">
        <v>0</v>
      </c>
      <c r="BG198" s="228">
        <v>0</v>
      </c>
      <c r="BH198" s="229">
        <v>-1</v>
      </c>
      <c r="BI198" s="228">
        <v>67</v>
      </c>
      <c r="BJ198" s="228">
        <v>33</v>
      </c>
      <c r="BK198" s="228">
        <v>33</v>
      </c>
      <c r="BL198" s="229">
        <v>0.99829999999999997</v>
      </c>
      <c r="BM198" s="228">
        <v>21</v>
      </c>
      <c r="BN198" s="228">
        <v>23</v>
      </c>
      <c r="BO198" s="228">
        <v>-2</v>
      </c>
      <c r="BP198" s="229">
        <v>-0.1008</v>
      </c>
      <c r="BQ198" s="228">
        <v>145</v>
      </c>
      <c r="BR198" s="228">
        <v>115</v>
      </c>
      <c r="BS198" s="228">
        <v>30</v>
      </c>
      <c r="BT198" s="229">
        <v>0.26379999999999998</v>
      </c>
      <c r="BU198" s="230">
        <v>141219</v>
      </c>
      <c r="BV198" s="230">
        <v>247295</v>
      </c>
      <c r="BW198" s="230">
        <v>-106076</v>
      </c>
      <c r="BX198" s="229">
        <v>-0.4289</v>
      </c>
      <c r="BY198" s="228">
        <v>707</v>
      </c>
      <c r="BZ198" s="228">
        <v>706</v>
      </c>
      <c r="CA198" s="228">
        <v>1</v>
      </c>
      <c r="CB198" s="229">
        <v>1.5E-3</v>
      </c>
      <c r="CC198" s="228">
        <v>701</v>
      </c>
      <c r="CD198" s="228">
        <v>701</v>
      </c>
      <c r="CE198" s="228">
        <v>0</v>
      </c>
      <c r="CF198" s="229">
        <v>2.0000000000000001E-4</v>
      </c>
      <c r="CG198" s="228">
        <v>6</v>
      </c>
      <c r="CH198" s="228">
        <v>5</v>
      </c>
      <c r="CI198" s="228">
        <v>1</v>
      </c>
      <c r="CJ198" s="229">
        <v>0.17860000000000001</v>
      </c>
      <c r="CK198" s="228">
        <v>0</v>
      </c>
      <c r="CL198" s="228">
        <v>0</v>
      </c>
      <c r="CM198" s="228">
        <v>0</v>
      </c>
      <c r="CN198" s="229">
        <v>0</v>
      </c>
      <c r="CO198" s="228">
        <v>79</v>
      </c>
      <c r="CP198" s="228">
        <v>61</v>
      </c>
      <c r="CQ198" s="228">
        <v>19</v>
      </c>
      <c r="CR198" s="229">
        <v>0.30869999999999997</v>
      </c>
      <c r="CS198" s="228">
        <v>63</v>
      </c>
      <c r="CT198" s="228">
        <v>62</v>
      </c>
      <c r="CU198" s="228">
        <v>1</v>
      </c>
      <c r="CV198" s="229">
        <v>1.3100000000000001E-2</v>
      </c>
      <c r="CW198" s="228">
        <v>849</v>
      </c>
      <c r="CX198" s="228">
        <v>829</v>
      </c>
      <c r="CY198" s="228">
        <v>21</v>
      </c>
      <c r="CZ198" s="229">
        <v>2.4799999999999999E-2</v>
      </c>
      <c r="DA198" s="228">
        <v>40.68</v>
      </c>
      <c r="DB198" s="228">
        <v>40.58</v>
      </c>
      <c r="DC198" s="228">
        <v>0.1</v>
      </c>
      <c r="DD198" s="228">
        <v>0.1</v>
      </c>
      <c r="DE198" s="228">
        <v>44.23</v>
      </c>
      <c r="DF198" s="228">
        <v>44.27</v>
      </c>
      <c r="DG198" s="228">
        <v>-3.55</v>
      </c>
      <c r="DH198" s="228">
        <v>-0.04</v>
      </c>
      <c r="DI198" s="228">
        <v>40.61</v>
      </c>
      <c r="DJ198" s="228">
        <v>40</v>
      </c>
      <c r="DK198" s="228">
        <v>0.61</v>
      </c>
      <c r="DL198" s="228">
        <v>0.61</v>
      </c>
      <c r="DM198" s="228">
        <v>40.909999999999997</v>
      </c>
      <c r="DN198" s="228">
        <v>41.42</v>
      </c>
      <c r="DO198" s="228">
        <v>-0.51</v>
      </c>
      <c r="DP198" s="228">
        <v>-0.51</v>
      </c>
      <c r="DQ198" s="228">
        <v>0.79</v>
      </c>
      <c r="DR198" s="228">
        <v>1.02</v>
      </c>
      <c r="DS198" s="228">
        <v>-0.23</v>
      </c>
      <c r="DT198" s="229">
        <v>-0.22550000000000001</v>
      </c>
      <c r="DU198" s="231">
        <v>3200</v>
      </c>
      <c r="DV198" s="231">
        <v>3000</v>
      </c>
      <c r="DW198" s="228">
        <v>0.31</v>
      </c>
      <c r="DX198" s="228">
        <v>0.69</v>
      </c>
      <c r="DY198" s="228">
        <v>-0.38</v>
      </c>
      <c r="DZ198" s="229">
        <v>-0.55069999999999997</v>
      </c>
      <c r="EA198" s="229">
        <v>8.3999999999999995E-3</v>
      </c>
      <c r="EB198" s="230">
        <v>17400</v>
      </c>
      <c r="EC198" s="229">
        <v>3.5000000000000001E-3</v>
      </c>
      <c r="ED198" s="229">
        <v>8.3999999999999995E-3</v>
      </c>
      <c r="EE198" s="228">
        <v>-1.51</v>
      </c>
      <c r="EF198" s="229">
        <v>-5.0000000000000001E-4</v>
      </c>
      <c r="EG198" s="230">
        <v>62020</v>
      </c>
      <c r="EH198" s="230">
        <v>122860</v>
      </c>
      <c r="EI198" s="229">
        <v>-0.49519999999999997</v>
      </c>
      <c r="EJ198" s="229">
        <v>0.43919999999999998</v>
      </c>
      <c r="EK198" s="228">
        <v>72.47</v>
      </c>
      <c r="EL198" s="228">
        <v>21.11</v>
      </c>
      <c r="EM198" s="228">
        <v>58.18</v>
      </c>
      <c r="EN198" s="228">
        <v>41.04</v>
      </c>
      <c r="EO198" s="228">
        <v>151.76</v>
      </c>
      <c r="EP198" s="228">
        <v>118.77</v>
      </c>
      <c r="EQ198" s="228">
        <v>32.99</v>
      </c>
      <c r="ER198" s="229">
        <v>0.27779999999999999</v>
      </c>
      <c r="ES198" s="228">
        <v>84.77</v>
      </c>
      <c r="ET198" s="228">
        <v>61.11</v>
      </c>
      <c r="EU198" s="228">
        <v>707.02</v>
      </c>
      <c r="EV198" s="231">
        <v>16239060</v>
      </c>
      <c r="EW198" s="228">
        <v>852.9</v>
      </c>
      <c r="EX198" s="228">
        <v>844.45</v>
      </c>
      <c r="EY198" s="228">
        <v>8.4499999999999993</v>
      </c>
      <c r="EZ198" s="229">
        <v>0.01</v>
      </c>
      <c r="FA198" s="229">
        <v>0.17960000000000001</v>
      </c>
      <c r="FB198" s="227" t="s">
        <v>566</v>
      </c>
      <c r="FC198">
        <f t="shared" si="4"/>
        <v>0</v>
      </c>
    </row>
    <row r="199" spans="1:159" ht="17.25" thickBot="1" x14ac:dyDescent="0.3">
      <c r="A199" s="226">
        <v>46146</v>
      </c>
      <c r="B199" s="227" t="s">
        <v>168</v>
      </c>
      <c r="C199" s="227" t="s">
        <v>297</v>
      </c>
      <c r="D199" s="228">
        <v>175</v>
      </c>
      <c r="E199" s="228">
        <v>22</v>
      </c>
      <c r="F199" s="231">
        <v>4382.3</v>
      </c>
      <c r="G199" s="231">
        <v>4402.2</v>
      </c>
      <c r="H199" s="228">
        <v>-19.899999999999999</v>
      </c>
      <c r="I199" s="229">
        <v>-4.4999999999999997E-3</v>
      </c>
      <c r="J199" s="231">
        <v>4363</v>
      </c>
      <c r="K199" s="231">
        <v>4385.2</v>
      </c>
      <c r="L199" s="228">
        <v>-22.2</v>
      </c>
      <c r="M199" s="229">
        <v>-5.1000000000000004E-3</v>
      </c>
      <c r="N199" s="231">
        <v>4382.3</v>
      </c>
      <c r="O199" s="231">
        <v>4402.2</v>
      </c>
      <c r="P199" s="228">
        <v>-19.899999999999999</v>
      </c>
      <c r="Q199" s="229">
        <v>-4.4999999999999997E-3</v>
      </c>
      <c r="R199" s="231">
        <v>4411.7</v>
      </c>
      <c r="S199" s="231">
        <v>4433.3</v>
      </c>
      <c r="T199" s="228">
        <v>-21.6</v>
      </c>
      <c r="U199" s="229">
        <v>-4.8999999999999998E-3</v>
      </c>
      <c r="V199" s="231">
        <v>4420</v>
      </c>
      <c r="W199" s="231">
        <v>4447.3</v>
      </c>
      <c r="X199" s="228">
        <v>-27.3</v>
      </c>
      <c r="Y199" s="229">
        <v>-6.1000000000000004E-3</v>
      </c>
      <c r="Z199" s="228">
        <v>19.3</v>
      </c>
      <c r="AA199" s="228">
        <v>17</v>
      </c>
      <c r="AB199" s="228">
        <v>2.2999999999999998</v>
      </c>
      <c r="AC199" s="229">
        <v>4.4000000000000003E-3</v>
      </c>
      <c r="AD199" s="228">
        <v>19.3</v>
      </c>
      <c r="AE199" s="228">
        <v>17</v>
      </c>
      <c r="AF199" s="228">
        <v>2.2999999999999998</v>
      </c>
      <c r="AG199" s="229">
        <v>4.4000000000000003E-3</v>
      </c>
      <c r="AH199" s="228">
        <v>48.7</v>
      </c>
      <c r="AI199" s="228">
        <v>48.1</v>
      </c>
      <c r="AJ199" s="228">
        <v>0.6</v>
      </c>
      <c r="AK199" s="229">
        <v>1.12E-2</v>
      </c>
      <c r="AL199" s="228">
        <v>57</v>
      </c>
      <c r="AM199" s="228">
        <v>62.1</v>
      </c>
      <c r="AN199" s="228">
        <v>-5.0999999999999996</v>
      </c>
      <c r="AO199" s="229">
        <v>1.3100000000000001E-2</v>
      </c>
      <c r="AP199" s="231">
        <v>4409.8500000000004</v>
      </c>
      <c r="AQ199" s="231">
        <v>4429.6499999999996</v>
      </c>
      <c r="AR199" s="228">
        <v>0</v>
      </c>
      <c r="AS199" s="228">
        <v>395</v>
      </c>
      <c r="AT199" s="228">
        <v>292</v>
      </c>
      <c r="AU199" s="228">
        <v>103</v>
      </c>
      <c r="AV199" s="229">
        <v>0.35399999999999998</v>
      </c>
      <c r="AW199" s="228">
        <v>337</v>
      </c>
      <c r="AX199" s="228">
        <v>281</v>
      </c>
      <c r="AY199" s="228">
        <v>56</v>
      </c>
      <c r="AZ199" s="229">
        <v>0.20100000000000001</v>
      </c>
      <c r="BA199" s="228">
        <v>57</v>
      </c>
      <c r="BB199" s="228">
        <v>10</v>
      </c>
      <c r="BC199" s="228">
        <v>47</v>
      </c>
      <c r="BD199" s="229">
        <v>4.6565000000000003</v>
      </c>
      <c r="BE199" s="228">
        <v>1</v>
      </c>
      <c r="BF199" s="228">
        <v>1</v>
      </c>
      <c r="BG199" s="228">
        <v>0</v>
      </c>
      <c r="BH199" s="229">
        <v>0.1333</v>
      </c>
      <c r="BI199" s="228">
        <v>915</v>
      </c>
      <c r="BJ199" s="228">
        <v>840</v>
      </c>
      <c r="BK199" s="228">
        <v>75</v>
      </c>
      <c r="BL199" s="229">
        <v>8.9200000000000002E-2</v>
      </c>
      <c r="BM199" s="228">
        <v>638</v>
      </c>
      <c r="BN199" s="228">
        <v>596</v>
      </c>
      <c r="BO199" s="228">
        <v>42</v>
      </c>
      <c r="BP199" s="229">
        <v>7.0000000000000007E-2</v>
      </c>
      <c r="BQ199" s="230">
        <v>1948</v>
      </c>
      <c r="BR199" s="230">
        <v>1728</v>
      </c>
      <c r="BS199" s="228">
        <v>220</v>
      </c>
      <c r="BT199" s="229">
        <v>0.1273</v>
      </c>
      <c r="BU199" s="230">
        <v>728004</v>
      </c>
      <c r="BV199" s="230">
        <v>908203</v>
      </c>
      <c r="BW199" s="230">
        <v>-180199</v>
      </c>
      <c r="BX199" s="229">
        <v>-0.19839999999999999</v>
      </c>
      <c r="BY199" s="230">
        <v>3870</v>
      </c>
      <c r="BZ199" s="230">
        <v>3842</v>
      </c>
      <c r="CA199" s="228">
        <v>28</v>
      </c>
      <c r="CB199" s="229">
        <v>7.3000000000000001E-3</v>
      </c>
      <c r="CC199" s="230">
        <v>3482</v>
      </c>
      <c r="CD199" s="230">
        <v>3493</v>
      </c>
      <c r="CE199" s="228">
        <v>-11</v>
      </c>
      <c r="CF199" s="229">
        <v>-3.2000000000000002E-3</v>
      </c>
      <c r="CG199" s="228">
        <v>387</v>
      </c>
      <c r="CH199" s="228">
        <v>348</v>
      </c>
      <c r="CI199" s="228">
        <v>39</v>
      </c>
      <c r="CJ199" s="229">
        <v>0.1125</v>
      </c>
      <c r="CK199" s="228">
        <v>2</v>
      </c>
      <c r="CL199" s="228">
        <v>2</v>
      </c>
      <c r="CM199" s="228">
        <v>0</v>
      </c>
      <c r="CN199" s="229">
        <v>0.1905</v>
      </c>
      <c r="CO199" s="228">
        <v>670</v>
      </c>
      <c r="CP199" s="228">
        <v>596</v>
      </c>
      <c r="CQ199" s="228">
        <v>74</v>
      </c>
      <c r="CR199" s="229">
        <v>0.12330000000000001</v>
      </c>
      <c r="CS199" s="228">
        <v>562</v>
      </c>
      <c r="CT199" s="228">
        <v>466</v>
      </c>
      <c r="CU199" s="228">
        <v>96</v>
      </c>
      <c r="CV199" s="229">
        <v>0.20680000000000001</v>
      </c>
      <c r="CW199" s="230">
        <v>5102</v>
      </c>
      <c r="CX199" s="230">
        <v>4904</v>
      </c>
      <c r="CY199" s="228">
        <v>198</v>
      </c>
      <c r="CZ199" s="229">
        <v>4.0300000000000002E-2</v>
      </c>
      <c r="DA199" s="228">
        <v>28.2</v>
      </c>
      <c r="DB199" s="228">
        <v>26.95</v>
      </c>
      <c r="DC199" s="228">
        <v>1.25</v>
      </c>
      <c r="DD199" s="228">
        <v>1.25</v>
      </c>
      <c r="DE199" s="228">
        <v>27.44</v>
      </c>
      <c r="DF199" s="228">
        <v>27.5</v>
      </c>
      <c r="DG199" s="228">
        <v>0.76</v>
      </c>
      <c r="DH199" s="228">
        <v>-0.06</v>
      </c>
      <c r="DI199" s="228">
        <v>27.74</v>
      </c>
      <c r="DJ199" s="228">
        <v>26.49</v>
      </c>
      <c r="DK199" s="228">
        <v>1.25</v>
      </c>
      <c r="DL199" s="228">
        <v>1.25</v>
      </c>
      <c r="DM199" s="228">
        <v>28.86</v>
      </c>
      <c r="DN199" s="228">
        <v>27.61</v>
      </c>
      <c r="DO199" s="228">
        <v>1.25</v>
      </c>
      <c r="DP199" s="228">
        <v>1.25</v>
      </c>
      <c r="DQ199" s="228">
        <v>0.84</v>
      </c>
      <c r="DR199" s="228">
        <v>0.78</v>
      </c>
      <c r="DS199" s="228">
        <v>0.06</v>
      </c>
      <c r="DT199" s="229">
        <v>7.6899999999999996E-2</v>
      </c>
      <c r="DU199" s="231">
        <v>4500</v>
      </c>
      <c r="DV199" s="231">
        <v>4200</v>
      </c>
      <c r="DW199" s="228">
        <v>0.7</v>
      </c>
      <c r="DX199" s="228">
        <v>0.71</v>
      </c>
      <c r="DY199" s="228">
        <v>-0.01</v>
      </c>
      <c r="DZ199" s="229">
        <v>-1.41E-2</v>
      </c>
      <c r="EA199" s="229">
        <v>0.1004</v>
      </c>
      <c r="EB199" s="230">
        <v>796775</v>
      </c>
      <c r="EC199" s="229">
        <v>6.7000000000000002E-3</v>
      </c>
      <c r="ED199" s="229">
        <v>0.1004</v>
      </c>
      <c r="EE199" s="228">
        <v>19.8</v>
      </c>
      <c r="EF199" s="229">
        <v>4.4999999999999997E-3</v>
      </c>
      <c r="EG199" s="230">
        <v>416612</v>
      </c>
      <c r="EH199" s="230">
        <v>566402</v>
      </c>
      <c r="EI199" s="229">
        <v>-0.26450000000000001</v>
      </c>
      <c r="EJ199" s="229">
        <v>0.57230000000000003</v>
      </c>
      <c r="EK199" s="228">
        <v>969.03</v>
      </c>
      <c r="EL199" s="228">
        <v>631.17999999999995</v>
      </c>
      <c r="EM199" s="228">
        <v>398.17</v>
      </c>
      <c r="EN199" s="228">
        <v>137.69999999999999</v>
      </c>
      <c r="EO199" s="231">
        <v>1998.38</v>
      </c>
      <c r="EP199" s="231">
        <v>1769.4</v>
      </c>
      <c r="EQ199" s="228">
        <v>228.99</v>
      </c>
      <c r="ER199" s="229">
        <v>0.12939999999999999</v>
      </c>
      <c r="ES199" s="228">
        <v>699.09</v>
      </c>
      <c r="ET199" s="228">
        <v>536.66</v>
      </c>
      <c r="EU199" s="231">
        <v>3872.71</v>
      </c>
      <c r="EV199" s="231">
        <v>41744334</v>
      </c>
      <c r="EW199" s="231">
        <v>5108.46</v>
      </c>
      <c r="EX199" s="231">
        <v>4930.03</v>
      </c>
      <c r="EY199" s="228">
        <v>178.43</v>
      </c>
      <c r="EZ199" s="229">
        <v>3.6200000000000003E-2</v>
      </c>
      <c r="FA199" s="229">
        <v>0.27889999999999998</v>
      </c>
      <c r="FB199" s="227" t="s">
        <v>566</v>
      </c>
      <c r="FC199">
        <f t="shared" si="4"/>
        <v>0</v>
      </c>
    </row>
    <row r="200" spans="1:159" ht="17.25" thickBot="1" x14ac:dyDescent="0.3">
      <c r="A200" s="226">
        <v>46146</v>
      </c>
      <c r="B200" s="227" t="s">
        <v>162</v>
      </c>
      <c r="C200" s="227" t="s">
        <v>685</v>
      </c>
      <c r="D200" s="228">
        <v>800</v>
      </c>
      <c r="E200" s="228">
        <v>22</v>
      </c>
      <c r="F200" s="228">
        <v>345.2</v>
      </c>
      <c r="G200" s="228">
        <v>343.15</v>
      </c>
      <c r="H200" s="228">
        <v>2.0499999999999998</v>
      </c>
      <c r="I200" s="229">
        <v>6.0000000000000001E-3</v>
      </c>
      <c r="J200" s="228">
        <v>343.05</v>
      </c>
      <c r="K200" s="228">
        <v>341.55</v>
      </c>
      <c r="L200" s="228">
        <v>1.5</v>
      </c>
      <c r="M200" s="229">
        <v>4.4000000000000003E-3</v>
      </c>
      <c r="N200" s="228">
        <v>345.2</v>
      </c>
      <c r="O200" s="228">
        <v>343.15</v>
      </c>
      <c r="P200" s="228">
        <v>2.0499999999999998</v>
      </c>
      <c r="Q200" s="229">
        <v>6.0000000000000001E-3</v>
      </c>
      <c r="R200" s="228">
        <v>345.4</v>
      </c>
      <c r="S200" s="228">
        <v>342.65</v>
      </c>
      <c r="T200" s="228">
        <v>2.75</v>
      </c>
      <c r="U200" s="229">
        <v>8.0000000000000002E-3</v>
      </c>
      <c r="V200" s="228">
        <v>347.25</v>
      </c>
      <c r="W200" s="228">
        <v>344.2</v>
      </c>
      <c r="X200" s="228">
        <v>3.05</v>
      </c>
      <c r="Y200" s="229">
        <v>8.8999999999999999E-3</v>
      </c>
      <c r="Z200" s="228">
        <v>2.15</v>
      </c>
      <c r="AA200" s="228">
        <v>1.6</v>
      </c>
      <c r="AB200" s="228">
        <v>0.55000000000000004</v>
      </c>
      <c r="AC200" s="229">
        <v>6.3E-3</v>
      </c>
      <c r="AD200" s="228">
        <v>2.15</v>
      </c>
      <c r="AE200" s="228">
        <v>1.6</v>
      </c>
      <c r="AF200" s="228">
        <v>0.55000000000000004</v>
      </c>
      <c r="AG200" s="229">
        <v>6.3E-3</v>
      </c>
      <c r="AH200" s="228">
        <v>2.35</v>
      </c>
      <c r="AI200" s="228">
        <v>1.1000000000000001</v>
      </c>
      <c r="AJ200" s="228">
        <v>1.25</v>
      </c>
      <c r="AK200" s="229">
        <v>6.8999999999999999E-3</v>
      </c>
      <c r="AL200" s="228">
        <v>4.2</v>
      </c>
      <c r="AM200" s="228">
        <v>2.65</v>
      </c>
      <c r="AN200" s="228">
        <v>1.55</v>
      </c>
      <c r="AO200" s="229">
        <v>1.2200000000000001E-2</v>
      </c>
      <c r="AP200" s="228">
        <v>344.82</v>
      </c>
      <c r="AQ200" s="228">
        <v>344.92</v>
      </c>
      <c r="AR200" s="228">
        <v>0</v>
      </c>
      <c r="AS200" s="228">
        <v>425</v>
      </c>
      <c r="AT200" s="228">
        <v>716</v>
      </c>
      <c r="AU200" s="228">
        <v>-291</v>
      </c>
      <c r="AV200" s="229">
        <v>-0.40679999999999999</v>
      </c>
      <c r="AW200" s="228">
        <v>376</v>
      </c>
      <c r="AX200" s="228">
        <v>645</v>
      </c>
      <c r="AY200" s="228">
        <v>-269</v>
      </c>
      <c r="AZ200" s="229">
        <v>-0.41749999999999998</v>
      </c>
      <c r="BA200" s="228">
        <v>46</v>
      </c>
      <c r="BB200" s="228">
        <v>58</v>
      </c>
      <c r="BC200" s="228">
        <v>-11</v>
      </c>
      <c r="BD200" s="229">
        <v>-0.19489999999999999</v>
      </c>
      <c r="BE200" s="228">
        <v>2</v>
      </c>
      <c r="BF200" s="228">
        <v>13</v>
      </c>
      <c r="BG200" s="228">
        <v>-11</v>
      </c>
      <c r="BH200" s="229">
        <v>-0.81089999999999995</v>
      </c>
      <c r="BI200" s="228">
        <v>870</v>
      </c>
      <c r="BJ200" s="230">
        <v>1067</v>
      </c>
      <c r="BK200" s="228">
        <v>-197</v>
      </c>
      <c r="BL200" s="229">
        <v>-0.18479999999999999</v>
      </c>
      <c r="BM200" s="228">
        <v>298</v>
      </c>
      <c r="BN200" s="228">
        <v>525</v>
      </c>
      <c r="BO200" s="228">
        <v>-227</v>
      </c>
      <c r="BP200" s="229">
        <v>-0.43219999999999997</v>
      </c>
      <c r="BQ200" s="230">
        <v>1593</v>
      </c>
      <c r="BR200" s="230">
        <v>2308</v>
      </c>
      <c r="BS200" s="228">
        <v>-715</v>
      </c>
      <c r="BT200" s="229">
        <v>-0.30990000000000001</v>
      </c>
      <c r="BU200" s="230">
        <v>7734863</v>
      </c>
      <c r="BV200" s="230">
        <v>12670807</v>
      </c>
      <c r="BW200" s="230">
        <v>-4935944</v>
      </c>
      <c r="BX200" s="229">
        <v>-0.3896</v>
      </c>
      <c r="BY200" s="230">
        <v>2353</v>
      </c>
      <c r="BZ200" s="230">
        <v>2309</v>
      </c>
      <c r="CA200" s="228">
        <v>44</v>
      </c>
      <c r="CB200" s="229">
        <v>1.9099999999999999E-2</v>
      </c>
      <c r="CC200" s="230">
        <v>2193</v>
      </c>
      <c r="CD200" s="230">
        <v>2167</v>
      </c>
      <c r="CE200" s="228">
        <v>26</v>
      </c>
      <c r="CF200" s="229">
        <v>1.1900000000000001E-2</v>
      </c>
      <c r="CG200" s="228">
        <v>143</v>
      </c>
      <c r="CH200" s="228">
        <v>125</v>
      </c>
      <c r="CI200" s="228">
        <v>17</v>
      </c>
      <c r="CJ200" s="229">
        <v>0.1376</v>
      </c>
      <c r="CK200" s="228">
        <v>17</v>
      </c>
      <c r="CL200" s="228">
        <v>16</v>
      </c>
      <c r="CM200" s="228">
        <v>1</v>
      </c>
      <c r="CN200" s="229">
        <v>5.3699999999999998E-2</v>
      </c>
      <c r="CO200" s="228">
        <v>814</v>
      </c>
      <c r="CP200" s="228">
        <v>615</v>
      </c>
      <c r="CQ200" s="228">
        <v>199</v>
      </c>
      <c r="CR200" s="229">
        <v>0.32319999999999999</v>
      </c>
      <c r="CS200" s="228">
        <v>558</v>
      </c>
      <c r="CT200" s="228">
        <v>529</v>
      </c>
      <c r="CU200" s="228">
        <v>29</v>
      </c>
      <c r="CV200" s="229">
        <v>5.45E-2</v>
      </c>
      <c r="CW200" s="230">
        <v>3724</v>
      </c>
      <c r="CX200" s="230">
        <v>3453</v>
      </c>
      <c r="CY200" s="228">
        <v>272</v>
      </c>
      <c r="CZ200" s="229">
        <v>7.8700000000000006E-2</v>
      </c>
      <c r="DA200" s="228">
        <v>39.369999999999997</v>
      </c>
      <c r="DB200" s="228">
        <v>39.67</v>
      </c>
      <c r="DC200" s="228">
        <v>-0.3</v>
      </c>
      <c r="DD200" s="228">
        <v>-0.3</v>
      </c>
      <c r="DE200" s="228">
        <v>37.99</v>
      </c>
      <c r="DF200" s="228">
        <v>38.07</v>
      </c>
      <c r="DG200" s="228">
        <v>1.38</v>
      </c>
      <c r="DH200" s="228">
        <v>-0.08</v>
      </c>
      <c r="DI200" s="228">
        <v>39.17</v>
      </c>
      <c r="DJ200" s="228">
        <v>39.67</v>
      </c>
      <c r="DK200" s="228">
        <v>-0.5</v>
      </c>
      <c r="DL200" s="228">
        <v>-0.5</v>
      </c>
      <c r="DM200" s="228">
        <v>39.979999999999997</v>
      </c>
      <c r="DN200" s="228">
        <v>39.65</v>
      </c>
      <c r="DO200" s="228">
        <v>0.33</v>
      </c>
      <c r="DP200" s="228">
        <v>0.33</v>
      </c>
      <c r="DQ200" s="228">
        <v>0.69</v>
      </c>
      <c r="DR200" s="228">
        <v>0.86</v>
      </c>
      <c r="DS200" s="228">
        <v>-0.17</v>
      </c>
      <c r="DT200" s="229">
        <v>-0.19769999999999999</v>
      </c>
      <c r="DU200" s="228">
        <v>360</v>
      </c>
      <c r="DV200" s="228">
        <v>300</v>
      </c>
      <c r="DW200" s="228">
        <v>0.34</v>
      </c>
      <c r="DX200" s="228">
        <v>0.49</v>
      </c>
      <c r="DY200" s="228">
        <v>-0.15</v>
      </c>
      <c r="DZ200" s="229">
        <v>-0.30609999999999998</v>
      </c>
      <c r="EA200" s="229">
        <v>6.8000000000000005E-2</v>
      </c>
      <c r="EB200" s="230">
        <v>4111200</v>
      </c>
      <c r="EC200" s="229">
        <v>5.9999999999999995E-4</v>
      </c>
      <c r="ED200" s="229">
        <v>6.8000000000000005E-2</v>
      </c>
      <c r="EE200" s="228">
        <v>0.1</v>
      </c>
      <c r="EF200" s="229">
        <v>2.9999999999999997E-4</v>
      </c>
      <c r="EG200" s="230">
        <v>3133643</v>
      </c>
      <c r="EH200" s="230">
        <v>4644391</v>
      </c>
      <c r="EI200" s="229">
        <v>-0.32529999999999998</v>
      </c>
      <c r="EJ200" s="229">
        <v>0.40510000000000002</v>
      </c>
      <c r="EK200" s="228">
        <v>938.08</v>
      </c>
      <c r="EL200" s="228">
        <v>294.42</v>
      </c>
      <c r="EM200" s="228">
        <v>426.67</v>
      </c>
      <c r="EN200" s="228">
        <v>288.01</v>
      </c>
      <c r="EO200" s="231">
        <v>1659.18</v>
      </c>
      <c r="EP200" s="231">
        <v>2393.13</v>
      </c>
      <c r="EQ200" s="228">
        <v>-733.95</v>
      </c>
      <c r="ER200" s="229">
        <v>-0.30669999999999997</v>
      </c>
      <c r="ES200" s="228">
        <v>864.74</v>
      </c>
      <c r="ET200" s="228">
        <v>556.72</v>
      </c>
      <c r="EU200" s="231">
        <v>2352.9899999999998</v>
      </c>
      <c r="EV200" s="231">
        <v>317244234</v>
      </c>
      <c r="EW200" s="231">
        <v>3774.45</v>
      </c>
      <c r="EX200" s="231">
        <v>3476.43</v>
      </c>
      <c r="EY200" s="228">
        <v>298.02</v>
      </c>
      <c r="EZ200" s="229">
        <v>8.5699999999999998E-2</v>
      </c>
      <c r="FA200" s="229">
        <v>0.34010000000000001</v>
      </c>
      <c r="FB200" s="227" t="s">
        <v>555</v>
      </c>
      <c r="FC200">
        <f t="shared" si="4"/>
        <v>0</v>
      </c>
    </row>
    <row r="201" spans="1:159" ht="17.25" thickBot="1" x14ac:dyDescent="0.3">
      <c r="A201" s="226">
        <v>46146</v>
      </c>
      <c r="B201" s="227" t="s">
        <v>170</v>
      </c>
      <c r="C201" s="227" t="s">
        <v>298</v>
      </c>
      <c r="D201" s="228">
        <v>125</v>
      </c>
      <c r="E201" s="228">
        <v>22</v>
      </c>
      <c r="F201" s="231">
        <v>4276.8999999999996</v>
      </c>
      <c r="G201" s="231">
        <v>4203.5</v>
      </c>
      <c r="H201" s="228">
        <v>73.400000000000006</v>
      </c>
      <c r="I201" s="229">
        <v>1.7500000000000002E-2</v>
      </c>
      <c r="J201" s="231">
        <v>4251.8</v>
      </c>
      <c r="K201" s="231">
        <v>4185.1000000000004</v>
      </c>
      <c r="L201" s="228">
        <v>66.7</v>
      </c>
      <c r="M201" s="229">
        <v>1.5900000000000001E-2</v>
      </c>
      <c r="N201" s="231">
        <v>4276.8999999999996</v>
      </c>
      <c r="O201" s="231">
        <v>4203.5</v>
      </c>
      <c r="P201" s="228">
        <v>73.400000000000006</v>
      </c>
      <c r="Q201" s="229">
        <v>1.7500000000000002E-2</v>
      </c>
      <c r="R201" s="231">
        <v>4277.3999999999996</v>
      </c>
      <c r="S201" s="231">
        <v>4210.8999999999996</v>
      </c>
      <c r="T201" s="228">
        <v>66.5</v>
      </c>
      <c r="U201" s="229">
        <v>1.5800000000000002E-2</v>
      </c>
      <c r="V201" s="228">
        <v>0</v>
      </c>
      <c r="W201" s="231">
        <v>4190.2</v>
      </c>
      <c r="X201" s="228">
        <v>0</v>
      </c>
      <c r="Y201" s="229">
        <v>0</v>
      </c>
      <c r="Z201" s="228">
        <v>25.1</v>
      </c>
      <c r="AA201" s="228">
        <v>18.399999999999999</v>
      </c>
      <c r="AB201" s="228">
        <v>6.7</v>
      </c>
      <c r="AC201" s="229">
        <v>5.8999999999999999E-3</v>
      </c>
      <c r="AD201" s="228">
        <v>25.1</v>
      </c>
      <c r="AE201" s="228">
        <v>18.399999999999999</v>
      </c>
      <c r="AF201" s="228">
        <v>6.7</v>
      </c>
      <c r="AG201" s="229">
        <v>5.8999999999999999E-3</v>
      </c>
      <c r="AH201" s="228">
        <v>25.6</v>
      </c>
      <c r="AI201" s="228">
        <v>25.8</v>
      </c>
      <c r="AJ201" s="228">
        <v>-0.2</v>
      </c>
      <c r="AK201" s="229">
        <v>6.0000000000000001E-3</v>
      </c>
      <c r="AL201" s="228">
        <v>0</v>
      </c>
      <c r="AM201" s="228">
        <v>5.0999999999999996</v>
      </c>
      <c r="AN201" s="228">
        <v>0</v>
      </c>
      <c r="AO201" s="229">
        <v>0</v>
      </c>
      <c r="AP201" s="231">
        <v>4269.37</v>
      </c>
      <c r="AQ201" s="231">
        <v>4274</v>
      </c>
      <c r="AR201" s="228">
        <v>0</v>
      </c>
      <c r="AS201" s="228">
        <v>135</v>
      </c>
      <c r="AT201" s="228">
        <v>118</v>
      </c>
      <c r="AU201" s="228">
        <v>18</v>
      </c>
      <c r="AV201" s="229">
        <v>0.15049999999999999</v>
      </c>
      <c r="AW201" s="228">
        <v>134</v>
      </c>
      <c r="AX201" s="228">
        <v>117</v>
      </c>
      <c r="AY201" s="228">
        <v>17</v>
      </c>
      <c r="AZ201" s="229">
        <v>0.14499999999999999</v>
      </c>
      <c r="BA201" s="228">
        <v>1</v>
      </c>
      <c r="BB201" s="228">
        <v>0</v>
      </c>
      <c r="BC201" s="228">
        <v>1</v>
      </c>
      <c r="BD201" s="229">
        <v>3</v>
      </c>
      <c r="BE201" s="228">
        <v>0</v>
      </c>
      <c r="BF201" s="228">
        <v>0</v>
      </c>
      <c r="BG201" s="228">
        <v>0</v>
      </c>
      <c r="BH201" s="229">
        <v>0</v>
      </c>
      <c r="BI201" s="228">
        <v>177</v>
      </c>
      <c r="BJ201" s="228">
        <v>77</v>
      </c>
      <c r="BK201" s="228">
        <v>100</v>
      </c>
      <c r="BL201" s="229">
        <v>1.3096000000000001</v>
      </c>
      <c r="BM201" s="228">
        <v>41</v>
      </c>
      <c r="BN201" s="228">
        <v>47</v>
      </c>
      <c r="BO201" s="228">
        <v>-6</v>
      </c>
      <c r="BP201" s="229">
        <v>-0.13689999999999999</v>
      </c>
      <c r="BQ201" s="228">
        <v>353</v>
      </c>
      <c r="BR201" s="228">
        <v>241</v>
      </c>
      <c r="BS201" s="228">
        <v>111</v>
      </c>
      <c r="BT201" s="229">
        <v>0.46160000000000001</v>
      </c>
      <c r="BU201" s="230">
        <v>298852</v>
      </c>
      <c r="BV201" s="230">
        <v>299928</v>
      </c>
      <c r="BW201" s="230">
        <v>-1076</v>
      </c>
      <c r="BX201" s="229">
        <v>-3.5999999999999999E-3</v>
      </c>
      <c r="BY201" s="230">
        <v>1125</v>
      </c>
      <c r="BZ201" s="230">
        <v>1123</v>
      </c>
      <c r="CA201" s="228">
        <v>2</v>
      </c>
      <c r="CB201" s="229">
        <v>1.6000000000000001E-3</v>
      </c>
      <c r="CC201" s="230">
        <v>1122</v>
      </c>
      <c r="CD201" s="230">
        <v>1121</v>
      </c>
      <c r="CE201" s="228">
        <v>2</v>
      </c>
      <c r="CF201" s="229">
        <v>1.5E-3</v>
      </c>
      <c r="CG201" s="228">
        <v>3</v>
      </c>
      <c r="CH201" s="228">
        <v>3</v>
      </c>
      <c r="CI201" s="228">
        <v>0</v>
      </c>
      <c r="CJ201" s="229">
        <v>4.0800000000000003E-2</v>
      </c>
      <c r="CK201" s="228">
        <v>0</v>
      </c>
      <c r="CL201" s="228">
        <v>0</v>
      </c>
      <c r="CM201" s="228">
        <v>0</v>
      </c>
      <c r="CN201" s="229">
        <v>0</v>
      </c>
      <c r="CO201" s="228">
        <v>141</v>
      </c>
      <c r="CP201" s="228">
        <v>104</v>
      </c>
      <c r="CQ201" s="228">
        <v>37</v>
      </c>
      <c r="CR201" s="229">
        <v>0.35920000000000002</v>
      </c>
      <c r="CS201" s="228">
        <v>79</v>
      </c>
      <c r="CT201" s="228">
        <v>82</v>
      </c>
      <c r="CU201" s="228">
        <v>-3</v>
      </c>
      <c r="CV201" s="229">
        <v>-3.1399999999999997E-2</v>
      </c>
      <c r="CW201" s="230">
        <v>1346</v>
      </c>
      <c r="CX201" s="230">
        <v>1309</v>
      </c>
      <c r="CY201" s="228">
        <v>37</v>
      </c>
      <c r="CZ201" s="229">
        <v>2.8000000000000001E-2</v>
      </c>
      <c r="DA201" s="228">
        <v>27.29</v>
      </c>
      <c r="DB201" s="228">
        <v>27.46</v>
      </c>
      <c r="DC201" s="228">
        <v>-0.17</v>
      </c>
      <c r="DD201" s="228">
        <v>-0.17</v>
      </c>
      <c r="DE201" s="228">
        <v>25.44</v>
      </c>
      <c r="DF201" s="228">
        <v>25.42</v>
      </c>
      <c r="DG201" s="228">
        <v>1.85</v>
      </c>
      <c r="DH201" s="228">
        <v>0.02</v>
      </c>
      <c r="DI201" s="228">
        <v>27.2</v>
      </c>
      <c r="DJ201" s="228">
        <v>27.64</v>
      </c>
      <c r="DK201" s="228">
        <v>-0.44</v>
      </c>
      <c r="DL201" s="228">
        <v>-0.44</v>
      </c>
      <c r="DM201" s="228">
        <v>27.69</v>
      </c>
      <c r="DN201" s="228">
        <v>27.16</v>
      </c>
      <c r="DO201" s="228">
        <v>0.53</v>
      </c>
      <c r="DP201" s="228">
        <v>0.53</v>
      </c>
      <c r="DQ201" s="228">
        <v>0.56000000000000005</v>
      </c>
      <c r="DR201" s="228">
        <v>0.79</v>
      </c>
      <c r="DS201" s="228">
        <v>-0.23</v>
      </c>
      <c r="DT201" s="229">
        <v>-0.29110000000000003</v>
      </c>
      <c r="DU201" s="231">
        <v>4300</v>
      </c>
      <c r="DV201" s="231">
        <v>4300</v>
      </c>
      <c r="DW201" s="228">
        <v>0.23</v>
      </c>
      <c r="DX201" s="228">
        <v>0.62</v>
      </c>
      <c r="DY201" s="228">
        <v>-0.39</v>
      </c>
      <c r="DZ201" s="229">
        <v>-0.629</v>
      </c>
      <c r="EA201" s="229">
        <v>2.3999999999999998E-3</v>
      </c>
      <c r="EB201" s="230">
        <v>6125</v>
      </c>
      <c r="EC201" s="229">
        <v>1E-4</v>
      </c>
      <c r="ED201" s="229">
        <v>2.3999999999999998E-3</v>
      </c>
      <c r="EE201" s="228">
        <v>4.63</v>
      </c>
      <c r="EF201" s="229">
        <v>1.1000000000000001E-3</v>
      </c>
      <c r="EG201" s="230">
        <v>201796</v>
      </c>
      <c r="EH201" s="230">
        <v>174373</v>
      </c>
      <c r="EI201" s="229">
        <v>0.1573</v>
      </c>
      <c r="EJ201" s="229">
        <v>0.67520000000000002</v>
      </c>
      <c r="EK201" s="228">
        <v>185.62</v>
      </c>
      <c r="EL201" s="228">
        <v>40.340000000000003</v>
      </c>
      <c r="EM201" s="228">
        <v>135.07</v>
      </c>
      <c r="EN201" s="228">
        <v>41.18</v>
      </c>
      <c r="EO201" s="228">
        <v>361.03</v>
      </c>
      <c r="EP201" s="228">
        <v>241.22</v>
      </c>
      <c r="EQ201" s="228">
        <v>119.82</v>
      </c>
      <c r="ER201" s="229">
        <v>0.49669999999999997</v>
      </c>
      <c r="ES201" s="228">
        <v>145.47</v>
      </c>
      <c r="ET201" s="228">
        <v>76.73</v>
      </c>
      <c r="EU201" s="231">
        <v>1124.99</v>
      </c>
      <c r="EV201" s="231">
        <v>10726004</v>
      </c>
      <c r="EW201" s="231">
        <v>1347.18</v>
      </c>
      <c r="EX201" s="231">
        <v>1288.32</v>
      </c>
      <c r="EY201" s="228">
        <v>58.86</v>
      </c>
      <c r="EZ201" s="229">
        <v>4.5699999999999998E-2</v>
      </c>
      <c r="FA201" s="229">
        <v>0.29330000000000001</v>
      </c>
      <c r="FB201" s="227" t="s">
        <v>555</v>
      </c>
      <c r="FC201">
        <f t="shared" si="4"/>
        <v>0</v>
      </c>
    </row>
    <row r="202" spans="1:159" ht="17.25" thickBot="1" x14ac:dyDescent="0.3">
      <c r="A202" s="226">
        <v>46146</v>
      </c>
      <c r="B202" s="227" t="s">
        <v>197</v>
      </c>
      <c r="C202" s="227" t="s">
        <v>482</v>
      </c>
      <c r="D202" s="228">
        <v>100</v>
      </c>
      <c r="E202" s="228">
        <v>22</v>
      </c>
      <c r="F202" s="231">
        <v>4181.8</v>
      </c>
      <c r="G202" s="231">
        <v>4166.3999999999996</v>
      </c>
      <c r="H202" s="228">
        <v>15.4</v>
      </c>
      <c r="I202" s="229">
        <v>3.7000000000000002E-3</v>
      </c>
      <c r="J202" s="231">
        <v>4158.5</v>
      </c>
      <c r="K202" s="231">
        <v>4144.6000000000004</v>
      </c>
      <c r="L202" s="228">
        <v>13.9</v>
      </c>
      <c r="M202" s="229">
        <v>3.3999999999999998E-3</v>
      </c>
      <c r="N202" s="231">
        <v>4181.8</v>
      </c>
      <c r="O202" s="231">
        <v>4166.3999999999996</v>
      </c>
      <c r="P202" s="228">
        <v>15.4</v>
      </c>
      <c r="Q202" s="229">
        <v>3.7000000000000002E-3</v>
      </c>
      <c r="R202" s="231">
        <v>4157.2</v>
      </c>
      <c r="S202" s="231">
        <v>4139.7</v>
      </c>
      <c r="T202" s="228">
        <v>17.5</v>
      </c>
      <c r="U202" s="229">
        <v>4.1999999999999997E-3</v>
      </c>
      <c r="V202" s="231">
        <v>4162.5</v>
      </c>
      <c r="W202" s="231">
        <v>4135.8</v>
      </c>
      <c r="X202" s="228">
        <v>26.7</v>
      </c>
      <c r="Y202" s="229">
        <v>6.4999999999999997E-3</v>
      </c>
      <c r="Z202" s="228">
        <v>23.3</v>
      </c>
      <c r="AA202" s="228">
        <v>21.8</v>
      </c>
      <c r="AB202" s="228">
        <v>1.5</v>
      </c>
      <c r="AC202" s="229">
        <v>5.5999999999999999E-3</v>
      </c>
      <c r="AD202" s="228">
        <v>23.3</v>
      </c>
      <c r="AE202" s="228">
        <v>21.8</v>
      </c>
      <c r="AF202" s="228">
        <v>1.5</v>
      </c>
      <c r="AG202" s="229">
        <v>5.5999999999999999E-3</v>
      </c>
      <c r="AH202" s="228">
        <v>-1.3</v>
      </c>
      <c r="AI202" s="228">
        <v>-4.9000000000000004</v>
      </c>
      <c r="AJ202" s="228">
        <v>3.6</v>
      </c>
      <c r="AK202" s="229">
        <v>-2.9999999999999997E-4</v>
      </c>
      <c r="AL202" s="228">
        <v>4</v>
      </c>
      <c r="AM202" s="228">
        <v>-8.8000000000000007</v>
      </c>
      <c r="AN202" s="228">
        <v>12.8</v>
      </c>
      <c r="AO202" s="229">
        <v>1E-3</v>
      </c>
      <c r="AP202" s="231">
        <v>4150.71</v>
      </c>
      <c r="AQ202" s="231">
        <v>4126.76</v>
      </c>
      <c r="AR202" s="228">
        <v>0</v>
      </c>
      <c r="AS202" s="228">
        <v>305</v>
      </c>
      <c r="AT202" s="228">
        <v>343</v>
      </c>
      <c r="AU202" s="228">
        <v>-38</v>
      </c>
      <c r="AV202" s="229">
        <v>-0.1103</v>
      </c>
      <c r="AW202" s="228">
        <v>280</v>
      </c>
      <c r="AX202" s="228">
        <v>297</v>
      </c>
      <c r="AY202" s="228">
        <v>-17</v>
      </c>
      <c r="AZ202" s="229">
        <v>-5.7500000000000002E-2</v>
      </c>
      <c r="BA202" s="228">
        <v>24</v>
      </c>
      <c r="BB202" s="228">
        <v>43</v>
      </c>
      <c r="BC202" s="228">
        <v>-19</v>
      </c>
      <c r="BD202" s="229">
        <v>-0.43959999999999999</v>
      </c>
      <c r="BE202" s="228">
        <v>1</v>
      </c>
      <c r="BF202" s="228">
        <v>3</v>
      </c>
      <c r="BG202" s="228">
        <v>-2</v>
      </c>
      <c r="BH202" s="229">
        <v>-0.60870000000000002</v>
      </c>
      <c r="BI202" s="230">
        <v>1306</v>
      </c>
      <c r="BJ202" s="230">
        <v>1140</v>
      </c>
      <c r="BK202" s="228">
        <v>166</v>
      </c>
      <c r="BL202" s="229">
        <v>0.1452</v>
      </c>
      <c r="BM202" s="228">
        <v>442</v>
      </c>
      <c r="BN202" s="228">
        <v>549</v>
      </c>
      <c r="BO202" s="228">
        <v>-107</v>
      </c>
      <c r="BP202" s="229">
        <v>-0.19409999999999999</v>
      </c>
      <c r="BQ202" s="230">
        <v>2054</v>
      </c>
      <c r="BR202" s="230">
        <v>2032</v>
      </c>
      <c r="BS202" s="228">
        <v>21</v>
      </c>
      <c r="BT202" s="229">
        <v>1.04E-2</v>
      </c>
      <c r="BU202" s="230">
        <v>714603</v>
      </c>
      <c r="BV202" s="230">
        <v>594504</v>
      </c>
      <c r="BW202" s="230">
        <v>120099</v>
      </c>
      <c r="BX202" s="229">
        <v>0.20200000000000001</v>
      </c>
      <c r="BY202" s="230">
        <v>2955</v>
      </c>
      <c r="BZ202" s="230">
        <v>2944</v>
      </c>
      <c r="CA202" s="228">
        <v>10</v>
      </c>
      <c r="CB202" s="229">
        <v>3.5000000000000001E-3</v>
      </c>
      <c r="CC202" s="230">
        <v>2824</v>
      </c>
      <c r="CD202" s="230">
        <v>2822</v>
      </c>
      <c r="CE202" s="228">
        <v>2</v>
      </c>
      <c r="CF202" s="229">
        <v>6.9999999999999999E-4</v>
      </c>
      <c r="CG202" s="228">
        <v>124</v>
      </c>
      <c r="CH202" s="228">
        <v>117</v>
      </c>
      <c r="CI202" s="228">
        <v>7</v>
      </c>
      <c r="CJ202" s="229">
        <v>6.2300000000000001E-2</v>
      </c>
      <c r="CK202" s="228">
        <v>7</v>
      </c>
      <c r="CL202" s="228">
        <v>5</v>
      </c>
      <c r="CM202" s="228">
        <v>1</v>
      </c>
      <c r="CN202" s="229">
        <v>0.22090000000000001</v>
      </c>
      <c r="CO202" s="230">
        <v>1399</v>
      </c>
      <c r="CP202" s="230">
        <v>1318</v>
      </c>
      <c r="CQ202" s="228">
        <v>81</v>
      </c>
      <c r="CR202" s="229">
        <v>6.1699999999999998E-2</v>
      </c>
      <c r="CS202" s="228">
        <v>563</v>
      </c>
      <c r="CT202" s="228">
        <v>553</v>
      </c>
      <c r="CU202" s="228">
        <v>10</v>
      </c>
      <c r="CV202" s="229">
        <v>1.89E-2</v>
      </c>
      <c r="CW202" s="230">
        <v>4917</v>
      </c>
      <c r="CX202" s="230">
        <v>4815</v>
      </c>
      <c r="CY202" s="228">
        <v>102</v>
      </c>
      <c r="CZ202" s="229">
        <v>2.12E-2</v>
      </c>
      <c r="DA202" s="228">
        <v>34.340000000000003</v>
      </c>
      <c r="DB202" s="228">
        <v>34.06</v>
      </c>
      <c r="DC202" s="228">
        <v>0.28000000000000003</v>
      </c>
      <c r="DD202" s="228">
        <v>0.28000000000000003</v>
      </c>
      <c r="DE202" s="228">
        <v>44.08</v>
      </c>
      <c r="DF202" s="228">
        <v>44.19</v>
      </c>
      <c r="DG202" s="228">
        <v>-9.74</v>
      </c>
      <c r="DH202" s="228">
        <v>-0.11</v>
      </c>
      <c r="DI202" s="228">
        <v>34.36</v>
      </c>
      <c r="DJ202" s="228">
        <v>34.380000000000003</v>
      </c>
      <c r="DK202" s="228">
        <v>-0.02</v>
      </c>
      <c r="DL202" s="228">
        <v>-0.02</v>
      </c>
      <c r="DM202" s="228">
        <v>34.270000000000003</v>
      </c>
      <c r="DN202" s="228">
        <v>33.39</v>
      </c>
      <c r="DO202" s="228">
        <v>0.88</v>
      </c>
      <c r="DP202" s="228">
        <v>0.88</v>
      </c>
      <c r="DQ202" s="228">
        <v>0.4</v>
      </c>
      <c r="DR202" s="228">
        <v>0.42</v>
      </c>
      <c r="DS202" s="228">
        <v>-0.02</v>
      </c>
      <c r="DT202" s="229">
        <v>-4.7600000000000003E-2</v>
      </c>
      <c r="DU202" s="231">
        <v>4500</v>
      </c>
      <c r="DV202" s="231">
        <v>4000</v>
      </c>
      <c r="DW202" s="228">
        <v>0.34</v>
      </c>
      <c r="DX202" s="228">
        <v>0.48</v>
      </c>
      <c r="DY202" s="228">
        <v>-0.14000000000000001</v>
      </c>
      <c r="DZ202" s="229">
        <v>-0.29170000000000001</v>
      </c>
      <c r="EA202" s="229">
        <v>4.4200000000000003E-2</v>
      </c>
      <c r="EB202" s="230">
        <v>292000</v>
      </c>
      <c r="EC202" s="229">
        <v>-5.8999999999999999E-3</v>
      </c>
      <c r="ED202" s="229">
        <v>4.4200000000000003E-2</v>
      </c>
      <c r="EE202" s="228">
        <v>-23.95</v>
      </c>
      <c r="EF202" s="229">
        <v>-5.7999999999999996E-3</v>
      </c>
      <c r="EG202" s="230">
        <v>314475</v>
      </c>
      <c r="EH202" s="230">
        <v>207984</v>
      </c>
      <c r="EI202" s="229">
        <v>0.51200000000000001</v>
      </c>
      <c r="EJ202" s="229">
        <v>0.44009999999999999</v>
      </c>
      <c r="EK202" s="231">
        <v>1399.57</v>
      </c>
      <c r="EL202" s="228">
        <v>433.69</v>
      </c>
      <c r="EM202" s="228">
        <v>303.62</v>
      </c>
      <c r="EN202" s="228">
        <v>202.09</v>
      </c>
      <c r="EO202" s="231">
        <v>2136.88</v>
      </c>
      <c r="EP202" s="231">
        <v>2114.6999999999998</v>
      </c>
      <c r="EQ202" s="228">
        <v>22.19</v>
      </c>
      <c r="ER202" s="229">
        <v>1.0500000000000001E-2</v>
      </c>
      <c r="ES202" s="231">
        <v>1485.28</v>
      </c>
      <c r="ET202" s="228">
        <v>542.07000000000005</v>
      </c>
      <c r="EU202" s="231">
        <v>2954.08</v>
      </c>
      <c r="EV202" s="231">
        <v>33590487</v>
      </c>
      <c r="EW202" s="231">
        <v>4981.43</v>
      </c>
      <c r="EX202" s="231">
        <v>4868.9399999999996</v>
      </c>
      <c r="EY202" s="228">
        <v>112.49</v>
      </c>
      <c r="EZ202" s="229">
        <v>2.3099999999999999E-2</v>
      </c>
      <c r="FA202" s="229">
        <v>0.35010000000000002</v>
      </c>
      <c r="FB202" s="227" t="s">
        <v>555</v>
      </c>
      <c r="FC202">
        <f t="shared" si="4"/>
        <v>0</v>
      </c>
    </row>
    <row r="203" spans="1:159" ht="17.25" thickBot="1" x14ac:dyDescent="0.3">
      <c r="A203" s="226">
        <v>46146</v>
      </c>
      <c r="B203" s="227" t="s">
        <v>162</v>
      </c>
      <c r="C203" s="227" t="s">
        <v>300</v>
      </c>
      <c r="D203" s="228">
        <v>175</v>
      </c>
      <c r="E203" s="228">
        <v>22</v>
      </c>
      <c r="F203" s="231">
        <v>3507.7</v>
      </c>
      <c r="G203" s="231">
        <v>3514.4</v>
      </c>
      <c r="H203" s="228">
        <v>-6.7</v>
      </c>
      <c r="I203" s="229">
        <v>-1.9E-3</v>
      </c>
      <c r="J203" s="231">
        <v>3495.5</v>
      </c>
      <c r="K203" s="231">
        <v>3492.9</v>
      </c>
      <c r="L203" s="228">
        <v>2.6</v>
      </c>
      <c r="M203" s="229">
        <v>6.9999999999999999E-4</v>
      </c>
      <c r="N203" s="231">
        <v>3507.7</v>
      </c>
      <c r="O203" s="231">
        <v>3514.4</v>
      </c>
      <c r="P203" s="228">
        <v>-6.7</v>
      </c>
      <c r="Q203" s="229">
        <v>-1.9E-3</v>
      </c>
      <c r="R203" s="231">
        <v>3531.2</v>
      </c>
      <c r="S203" s="231">
        <v>3530.4</v>
      </c>
      <c r="T203" s="228">
        <v>0.8</v>
      </c>
      <c r="U203" s="229">
        <v>2.0000000000000001E-4</v>
      </c>
      <c r="V203" s="231">
        <v>3550</v>
      </c>
      <c r="W203" s="231">
        <v>3540</v>
      </c>
      <c r="X203" s="228">
        <v>10</v>
      </c>
      <c r="Y203" s="229">
        <v>2.8E-3</v>
      </c>
      <c r="Z203" s="228">
        <v>12.2</v>
      </c>
      <c r="AA203" s="228">
        <v>21.5</v>
      </c>
      <c r="AB203" s="228">
        <v>-9.3000000000000007</v>
      </c>
      <c r="AC203" s="229">
        <v>3.5000000000000001E-3</v>
      </c>
      <c r="AD203" s="228">
        <v>12.2</v>
      </c>
      <c r="AE203" s="228">
        <v>21.5</v>
      </c>
      <c r="AF203" s="228">
        <v>-9.3000000000000007</v>
      </c>
      <c r="AG203" s="229">
        <v>3.5000000000000001E-3</v>
      </c>
      <c r="AH203" s="228">
        <v>35.700000000000003</v>
      </c>
      <c r="AI203" s="228">
        <v>37.5</v>
      </c>
      <c r="AJ203" s="228">
        <v>-1.8</v>
      </c>
      <c r="AK203" s="229">
        <v>1.0200000000000001E-2</v>
      </c>
      <c r="AL203" s="228">
        <v>54.5</v>
      </c>
      <c r="AM203" s="228">
        <v>47.1</v>
      </c>
      <c r="AN203" s="228">
        <v>7.4</v>
      </c>
      <c r="AO203" s="229">
        <v>1.5599999999999999E-2</v>
      </c>
      <c r="AP203" s="231">
        <v>3492.99</v>
      </c>
      <c r="AQ203" s="231">
        <v>3517.78</v>
      </c>
      <c r="AR203" s="228">
        <v>0</v>
      </c>
      <c r="AS203" s="228">
        <v>485</v>
      </c>
      <c r="AT203" s="228">
        <v>431</v>
      </c>
      <c r="AU203" s="228">
        <v>54</v>
      </c>
      <c r="AV203" s="229">
        <v>0.12590000000000001</v>
      </c>
      <c r="AW203" s="228">
        <v>477</v>
      </c>
      <c r="AX203" s="228">
        <v>418</v>
      </c>
      <c r="AY203" s="228">
        <v>59</v>
      </c>
      <c r="AZ203" s="229">
        <v>0.14149999999999999</v>
      </c>
      <c r="BA203" s="228">
        <v>7</v>
      </c>
      <c r="BB203" s="228">
        <v>12</v>
      </c>
      <c r="BC203" s="228">
        <v>-4</v>
      </c>
      <c r="BD203" s="229">
        <v>-0.37630000000000002</v>
      </c>
      <c r="BE203" s="228">
        <v>0</v>
      </c>
      <c r="BF203" s="228">
        <v>1</v>
      </c>
      <c r="BG203" s="228">
        <v>0</v>
      </c>
      <c r="BH203" s="229">
        <v>-0.5</v>
      </c>
      <c r="BI203" s="228">
        <v>855</v>
      </c>
      <c r="BJ203" s="228">
        <v>723</v>
      </c>
      <c r="BK203" s="228">
        <v>132</v>
      </c>
      <c r="BL203" s="229">
        <v>0.18229999999999999</v>
      </c>
      <c r="BM203" s="228">
        <v>309</v>
      </c>
      <c r="BN203" s="228">
        <v>522</v>
      </c>
      <c r="BO203" s="228">
        <v>-213</v>
      </c>
      <c r="BP203" s="229">
        <v>-0.40839999999999999</v>
      </c>
      <c r="BQ203" s="230">
        <v>1648</v>
      </c>
      <c r="BR203" s="230">
        <v>1676</v>
      </c>
      <c r="BS203" s="228">
        <v>-27</v>
      </c>
      <c r="BT203" s="229">
        <v>-1.6199999999999999E-2</v>
      </c>
      <c r="BU203" s="230">
        <v>1381122</v>
      </c>
      <c r="BV203" s="230">
        <v>1060746</v>
      </c>
      <c r="BW203" s="230">
        <v>320376</v>
      </c>
      <c r="BX203" s="229">
        <v>0.30199999999999999</v>
      </c>
      <c r="BY203" s="230">
        <v>3066</v>
      </c>
      <c r="BZ203" s="230">
        <v>3031</v>
      </c>
      <c r="CA203" s="228">
        <v>35</v>
      </c>
      <c r="CB203" s="229">
        <v>1.1599999999999999E-2</v>
      </c>
      <c r="CC203" s="230">
        <v>2930</v>
      </c>
      <c r="CD203" s="230">
        <v>2898</v>
      </c>
      <c r="CE203" s="228">
        <v>32</v>
      </c>
      <c r="CF203" s="229">
        <v>1.12E-2</v>
      </c>
      <c r="CG203" s="228">
        <v>134</v>
      </c>
      <c r="CH203" s="228">
        <v>132</v>
      </c>
      <c r="CI203" s="228">
        <v>3</v>
      </c>
      <c r="CJ203" s="229">
        <v>1.9099999999999999E-2</v>
      </c>
      <c r="CK203" s="228">
        <v>1</v>
      </c>
      <c r="CL203" s="228">
        <v>1</v>
      </c>
      <c r="CM203" s="228">
        <v>0</v>
      </c>
      <c r="CN203" s="229">
        <v>0.33329999999999999</v>
      </c>
      <c r="CO203" s="228">
        <v>513</v>
      </c>
      <c r="CP203" s="228">
        <v>420</v>
      </c>
      <c r="CQ203" s="228">
        <v>93</v>
      </c>
      <c r="CR203" s="229">
        <v>0.22189999999999999</v>
      </c>
      <c r="CS203" s="228">
        <v>313</v>
      </c>
      <c r="CT203" s="228">
        <v>289</v>
      </c>
      <c r="CU203" s="228">
        <v>24</v>
      </c>
      <c r="CV203" s="229">
        <v>8.3400000000000002E-2</v>
      </c>
      <c r="CW203" s="230">
        <v>3892</v>
      </c>
      <c r="CX203" s="230">
        <v>3739</v>
      </c>
      <c r="CY203" s="228">
        <v>153</v>
      </c>
      <c r="CZ203" s="229">
        <v>4.0800000000000003E-2</v>
      </c>
      <c r="DA203" s="228">
        <v>37.17</v>
      </c>
      <c r="DB203" s="228">
        <v>36.26</v>
      </c>
      <c r="DC203" s="228">
        <v>0.91</v>
      </c>
      <c r="DD203" s="228">
        <v>0.91</v>
      </c>
      <c r="DE203" s="228">
        <v>33.71</v>
      </c>
      <c r="DF203" s="228">
        <v>33.799999999999997</v>
      </c>
      <c r="DG203" s="228">
        <v>3.46</v>
      </c>
      <c r="DH203" s="228">
        <v>-0.09</v>
      </c>
      <c r="DI203" s="228">
        <v>37.090000000000003</v>
      </c>
      <c r="DJ203" s="228">
        <v>35.78</v>
      </c>
      <c r="DK203" s="228">
        <v>1.31</v>
      </c>
      <c r="DL203" s="228">
        <v>1.31</v>
      </c>
      <c r="DM203" s="228">
        <v>37.39</v>
      </c>
      <c r="DN203" s="228">
        <v>36.909999999999997</v>
      </c>
      <c r="DO203" s="228">
        <v>0.48</v>
      </c>
      <c r="DP203" s="228">
        <v>0.48</v>
      </c>
      <c r="DQ203" s="228">
        <v>0.61</v>
      </c>
      <c r="DR203" s="228">
        <v>0.69</v>
      </c>
      <c r="DS203" s="228">
        <v>-0.08</v>
      </c>
      <c r="DT203" s="229">
        <v>-0.1159</v>
      </c>
      <c r="DU203" s="231">
        <v>3600</v>
      </c>
      <c r="DV203" s="231">
        <v>3500</v>
      </c>
      <c r="DW203" s="228">
        <v>0.36</v>
      </c>
      <c r="DX203" s="228">
        <v>0.72</v>
      </c>
      <c r="DY203" s="228">
        <v>-0.36</v>
      </c>
      <c r="DZ203" s="229">
        <v>-0.5</v>
      </c>
      <c r="EA203" s="229">
        <v>4.4200000000000003E-2</v>
      </c>
      <c r="EB203" s="230">
        <v>378525</v>
      </c>
      <c r="EC203" s="229">
        <v>6.7000000000000002E-3</v>
      </c>
      <c r="ED203" s="229">
        <v>4.4200000000000003E-2</v>
      </c>
      <c r="EE203" s="228">
        <v>24.79</v>
      </c>
      <c r="EF203" s="229">
        <v>7.1000000000000004E-3</v>
      </c>
      <c r="EG203" s="230">
        <v>720497</v>
      </c>
      <c r="EH203" s="230">
        <v>482221</v>
      </c>
      <c r="EI203" s="229">
        <v>0.49409999999999998</v>
      </c>
      <c r="EJ203" s="229">
        <v>0.52170000000000005</v>
      </c>
      <c r="EK203" s="228">
        <v>904.68</v>
      </c>
      <c r="EL203" s="228">
        <v>306.27999999999997</v>
      </c>
      <c r="EM203" s="228">
        <v>483.15</v>
      </c>
      <c r="EN203" s="228">
        <v>159.62</v>
      </c>
      <c r="EO203" s="231">
        <v>1694.12</v>
      </c>
      <c r="EP203" s="231">
        <v>1713.71</v>
      </c>
      <c r="EQ203" s="228">
        <v>-19.59</v>
      </c>
      <c r="ER203" s="229">
        <v>-1.14E-2</v>
      </c>
      <c r="ES203" s="228">
        <v>536.09</v>
      </c>
      <c r="ET203" s="228">
        <v>310.49</v>
      </c>
      <c r="EU203" s="231">
        <v>3066.78</v>
      </c>
      <c r="EV203" s="231">
        <v>32253708</v>
      </c>
      <c r="EW203" s="231">
        <v>3913.36</v>
      </c>
      <c r="EX203" s="231">
        <v>3761.23</v>
      </c>
      <c r="EY203" s="228">
        <v>152.13</v>
      </c>
      <c r="EZ203" s="229">
        <v>4.0399999999999998E-2</v>
      </c>
      <c r="FA203" s="229">
        <v>0.34399999999999997</v>
      </c>
      <c r="FB203" s="227" t="s">
        <v>566</v>
      </c>
      <c r="FC203">
        <f t="shared" si="4"/>
        <v>0</v>
      </c>
    </row>
    <row r="204" spans="1:159" ht="17.25" thickBot="1" x14ac:dyDescent="0.3">
      <c r="A204" s="226">
        <v>46146</v>
      </c>
      <c r="B204" s="227" t="s">
        <v>157</v>
      </c>
      <c r="C204" s="227" t="s">
        <v>302</v>
      </c>
      <c r="D204" s="228">
        <v>50</v>
      </c>
      <c r="E204" s="228">
        <v>22</v>
      </c>
      <c r="F204" s="231">
        <v>11820</v>
      </c>
      <c r="G204" s="231">
        <v>11655</v>
      </c>
      <c r="H204" s="228">
        <v>165</v>
      </c>
      <c r="I204" s="229">
        <v>1.4200000000000001E-2</v>
      </c>
      <c r="J204" s="231">
        <v>11758</v>
      </c>
      <c r="K204" s="231">
        <v>11586</v>
      </c>
      <c r="L204" s="228">
        <v>172</v>
      </c>
      <c r="M204" s="229">
        <v>1.4800000000000001E-2</v>
      </c>
      <c r="N204" s="231">
        <v>11820</v>
      </c>
      <c r="O204" s="231">
        <v>11655</v>
      </c>
      <c r="P204" s="228">
        <v>165</v>
      </c>
      <c r="Q204" s="229">
        <v>1.4200000000000001E-2</v>
      </c>
      <c r="R204" s="231">
        <v>11892</v>
      </c>
      <c r="S204" s="231">
        <v>11732</v>
      </c>
      <c r="T204" s="228">
        <v>160</v>
      </c>
      <c r="U204" s="229">
        <v>1.3599999999999999E-2</v>
      </c>
      <c r="V204" s="231">
        <v>11930</v>
      </c>
      <c r="W204" s="231">
        <v>11785</v>
      </c>
      <c r="X204" s="228">
        <v>145</v>
      </c>
      <c r="Y204" s="229">
        <v>1.23E-2</v>
      </c>
      <c r="Z204" s="228">
        <v>62</v>
      </c>
      <c r="AA204" s="228">
        <v>69</v>
      </c>
      <c r="AB204" s="228">
        <v>-7</v>
      </c>
      <c r="AC204" s="229">
        <v>5.3E-3</v>
      </c>
      <c r="AD204" s="228">
        <v>62</v>
      </c>
      <c r="AE204" s="228">
        <v>69</v>
      </c>
      <c r="AF204" s="228">
        <v>-7</v>
      </c>
      <c r="AG204" s="229">
        <v>5.3E-3</v>
      </c>
      <c r="AH204" s="228">
        <v>134</v>
      </c>
      <c r="AI204" s="228">
        <v>146</v>
      </c>
      <c r="AJ204" s="228">
        <v>-12</v>
      </c>
      <c r="AK204" s="229">
        <v>1.14E-2</v>
      </c>
      <c r="AL204" s="228">
        <v>172</v>
      </c>
      <c r="AM204" s="228">
        <v>199</v>
      </c>
      <c r="AN204" s="228">
        <v>-27</v>
      </c>
      <c r="AO204" s="229">
        <v>1.46E-2</v>
      </c>
      <c r="AP204" s="231">
        <v>11772.39</v>
      </c>
      <c r="AQ204" s="231">
        <v>11829.67</v>
      </c>
      <c r="AR204" s="228">
        <v>0</v>
      </c>
      <c r="AS204" s="228">
        <v>603</v>
      </c>
      <c r="AT204" s="228">
        <v>670</v>
      </c>
      <c r="AU204" s="228">
        <v>-67</v>
      </c>
      <c r="AV204" s="229">
        <v>-9.9500000000000005E-2</v>
      </c>
      <c r="AW204" s="228">
        <v>577</v>
      </c>
      <c r="AX204" s="228">
        <v>630</v>
      </c>
      <c r="AY204" s="228">
        <v>-52</v>
      </c>
      <c r="AZ204" s="229">
        <v>-8.3000000000000004E-2</v>
      </c>
      <c r="BA204" s="228">
        <v>25</v>
      </c>
      <c r="BB204" s="228">
        <v>38</v>
      </c>
      <c r="BC204" s="228">
        <v>-13</v>
      </c>
      <c r="BD204" s="229">
        <v>-0.34250000000000003</v>
      </c>
      <c r="BE204" s="228">
        <v>1</v>
      </c>
      <c r="BF204" s="228">
        <v>2</v>
      </c>
      <c r="BG204" s="228">
        <v>-1</v>
      </c>
      <c r="BH204" s="229">
        <v>-0.6774</v>
      </c>
      <c r="BI204" s="230">
        <v>2093</v>
      </c>
      <c r="BJ204" s="230">
        <v>1948</v>
      </c>
      <c r="BK204" s="228">
        <v>145</v>
      </c>
      <c r="BL204" s="229">
        <v>7.4499999999999997E-2</v>
      </c>
      <c r="BM204" s="228">
        <v>886</v>
      </c>
      <c r="BN204" s="230">
        <v>1068</v>
      </c>
      <c r="BO204" s="228">
        <v>-183</v>
      </c>
      <c r="BP204" s="229">
        <v>-0.1709</v>
      </c>
      <c r="BQ204" s="230">
        <v>3582</v>
      </c>
      <c r="BR204" s="230">
        <v>3686</v>
      </c>
      <c r="BS204" s="228">
        <v>-104</v>
      </c>
      <c r="BT204" s="229">
        <v>-2.8199999999999999E-2</v>
      </c>
      <c r="BU204" s="230">
        <v>473310</v>
      </c>
      <c r="BV204" s="230">
        <v>779076</v>
      </c>
      <c r="BW204" s="230">
        <v>-305766</v>
      </c>
      <c r="BX204" s="229">
        <v>-0.39250000000000002</v>
      </c>
      <c r="BY204" s="230">
        <v>3327</v>
      </c>
      <c r="BZ204" s="230">
        <v>3409</v>
      </c>
      <c r="CA204" s="228">
        <v>-81</v>
      </c>
      <c r="CB204" s="229">
        <v>-2.3800000000000002E-2</v>
      </c>
      <c r="CC204" s="230">
        <v>2791</v>
      </c>
      <c r="CD204" s="230">
        <v>2881</v>
      </c>
      <c r="CE204" s="228">
        <v>-90</v>
      </c>
      <c r="CF204" s="229">
        <v>-3.1199999999999999E-2</v>
      </c>
      <c r="CG204" s="228">
        <v>534</v>
      </c>
      <c r="CH204" s="228">
        <v>526</v>
      </c>
      <c r="CI204" s="228">
        <v>8</v>
      </c>
      <c r="CJ204" s="229">
        <v>1.61E-2</v>
      </c>
      <c r="CK204" s="228">
        <v>2</v>
      </c>
      <c r="CL204" s="228">
        <v>2</v>
      </c>
      <c r="CM204" s="228">
        <v>0</v>
      </c>
      <c r="CN204" s="229">
        <v>8.3299999999999999E-2</v>
      </c>
      <c r="CO204" s="230">
        <v>1346</v>
      </c>
      <c r="CP204" s="230">
        <v>1302</v>
      </c>
      <c r="CQ204" s="228">
        <v>44</v>
      </c>
      <c r="CR204" s="229">
        <v>3.4000000000000002E-2</v>
      </c>
      <c r="CS204" s="228">
        <v>581</v>
      </c>
      <c r="CT204" s="228">
        <v>550</v>
      </c>
      <c r="CU204" s="228">
        <v>31</v>
      </c>
      <c r="CV204" s="229">
        <v>5.62E-2</v>
      </c>
      <c r="CW204" s="230">
        <v>5254</v>
      </c>
      <c r="CX204" s="230">
        <v>5261</v>
      </c>
      <c r="CY204" s="228">
        <v>-6</v>
      </c>
      <c r="CZ204" s="229">
        <v>-1.1999999999999999E-3</v>
      </c>
      <c r="DA204" s="228">
        <v>28.36</v>
      </c>
      <c r="DB204" s="228">
        <v>29.01</v>
      </c>
      <c r="DC204" s="228">
        <v>-0.65</v>
      </c>
      <c r="DD204" s="228">
        <v>-0.65</v>
      </c>
      <c r="DE204" s="228">
        <v>29.82</v>
      </c>
      <c r="DF204" s="228">
        <v>29.83</v>
      </c>
      <c r="DG204" s="228">
        <v>-1.46</v>
      </c>
      <c r="DH204" s="228">
        <v>-0.01</v>
      </c>
      <c r="DI204" s="228">
        <v>28.14</v>
      </c>
      <c r="DJ204" s="228">
        <v>28.81</v>
      </c>
      <c r="DK204" s="228">
        <v>-0.67</v>
      </c>
      <c r="DL204" s="228">
        <v>-0.67</v>
      </c>
      <c r="DM204" s="228">
        <v>28.87</v>
      </c>
      <c r="DN204" s="228">
        <v>29.38</v>
      </c>
      <c r="DO204" s="228">
        <v>-0.51</v>
      </c>
      <c r="DP204" s="228">
        <v>-0.51</v>
      </c>
      <c r="DQ204" s="228">
        <v>0.43</v>
      </c>
      <c r="DR204" s="228">
        <v>0.42</v>
      </c>
      <c r="DS204" s="228">
        <v>0.01</v>
      </c>
      <c r="DT204" s="229">
        <v>2.3800000000000002E-2</v>
      </c>
      <c r="DU204" s="231">
        <v>13000</v>
      </c>
      <c r="DV204" s="231">
        <v>12000</v>
      </c>
      <c r="DW204" s="228">
        <v>0.42</v>
      </c>
      <c r="DX204" s="228">
        <v>0.55000000000000004</v>
      </c>
      <c r="DY204" s="228">
        <v>-0.13</v>
      </c>
      <c r="DZ204" s="229">
        <v>-0.2364</v>
      </c>
      <c r="EA204" s="229">
        <v>0.16120000000000001</v>
      </c>
      <c r="EB204" s="230">
        <v>446600</v>
      </c>
      <c r="EC204" s="229">
        <v>6.1000000000000004E-3</v>
      </c>
      <c r="ED204" s="229">
        <v>0.16120000000000001</v>
      </c>
      <c r="EE204" s="228">
        <v>57.28</v>
      </c>
      <c r="EF204" s="229">
        <v>4.8999999999999998E-3</v>
      </c>
      <c r="EG204" s="230">
        <v>252368</v>
      </c>
      <c r="EH204" s="230">
        <v>487536</v>
      </c>
      <c r="EI204" s="229">
        <v>-0.4824</v>
      </c>
      <c r="EJ204" s="229">
        <v>0.53320000000000001</v>
      </c>
      <c r="EK204" s="231">
        <v>2218.46</v>
      </c>
      <c r="EL204" s="228">
        <v>869.29</v>
      </c>
      <c r="EM204" s="228">
        <v>600.87</v>
      </c>
      <c r="EN204" s="228">
        <v>217.42</v>
      </c>
      <c r="EO204" s="231">
        <v>3688.63</v>
      </c>
      <c r="EP204" s="231">
        <v>3741.72</v>
      </c>
      <c r="EQ204" s="228">
        <v>-53.09</v>
      </c>
      <c r="ER204" s="229">
        <v>-1.4200000000000001E-2</v>
      </c>
      <c r="ES204" s="231">
        <v>1428.88</v>
      </c>
      <c r="ET204" s="228">
        <v>559.08000000000004</v>
      </c>
      <c r="EU204" s="231">
        <v>3330.66</v>
      </c>
      <c r="EV204" s="231">
        <v>12994504</v>
      </c>
      <c r="EW204" s="231">
        <v>5318.62</v>
      </c>
      <c r="EX204" s="231">
        <v>5282.12</v>
      </c>
      <c r="EY204" s="228">
        <v>36.5</v>
      </c>
      <c r="EZ204" s="229">
        <v>6.8999999999999999E-3</v>
      </c>
      <c r="FA204" s="229">
        <v>0.34210000000000002</v>
      </c>
      <c r="FB204" s="227" t="s">
        <v>691</v>
      </c>
      <c r="FC204">
        <f t="shared" si="4"/>
        <v>0</v>
      </c>
    </row>
    <row r="205" spans="1:159" ht="17.25" thickBot="1" x14ac:dyDescent="0.3">
      <c r="A205" s="226">
        <v>46146</v>
      </c>
      <c r="B205" s="227" t="s">
        <v>172</v>
      </c>
      <c r="C205" s="227" t="s">
        <v>592</v>
      </c>
      <c r="D205" s="228">
        <v>4425</v>
      </c>
      <c r="E205" s="228">
        <v>22</v>
      </c>
      <c r="F205" s="228">
        <v>164.7</v>
      </c>
      <c r="G205" s="228">
        <v>166.97</v>
      </c>
      <c r="H205" s="228">
        <v>-2.27</v>
      </c>
      <c r="I205" s="229">
        <v>-1.3599999999999999E-2</v>
      </c>
      <c r="J205" s="228">
        <v>163.77000000000001</v>
      </c>
      <c r="K205" s="228">
        <v>165.94</v>
      </c>
      <c r="L205" s="228">
        <v>-2.17</v>
      </c>
      <c r="M205" s="229">
        <v>-1.3100000000000001E-2</v>
      </c>
      <c r="N205" s="228">
        <v>164.7</v>
      </c>
      <c r="O205" s="228">
        <v>166.97</v>
      </c>
      <c r="P205" s="228">
        <v>-2.27</v>
      </c>
      <c r="Q205" s="229">
        <v>-1.3599999999999999E-2</v>
      </c>
      <c r="R205" s="228">
        <v>164.89</v>
      </c>
      <c r="S205" s="228">
        <v>166.84</v>
      </c>
      <c r="T205" s="228">
        <v>-1.95</v>
      </c>
      <c r="U205" s="229">
        <v>-1.17E-2</v>
      </c>
      <c r="V205" s="228">
        <v>165.33</v>
      </c>
      <c r="W205" s="228">
        <v>167.66</v>
      </c>
      <c r="X205" s="228">
        <v>-2.33</v>
      </c>
      <c r="Y205" s="229">
        <v>-1.3899999999999999E-2</v>
      </c>
      <c r="Z205" s="228">
        <v>0.93</v>
      </c>
      <c r="AA205" s="228">
        <v>1.03</v>
      </c>
      <c r="AB205" s="228">
        <v>-0.1</v>
      </c>
      <c r="AC205" s="229">
        <v>5.7000000000000002E-3</v>
      </c>
      <c r="AD205" s="228">
        <v>0.93</v>
      </c>
      <c r="AE205" s="228">
        <v>1.03</v>
      </c>
      <c r="AF205" s="228">
        <v>-0.1</v>
      </c>
      <c r="AG205" s="229">
        <v>5.7000000000000002E-3</v>
      </c>
      <c r="AH205" s="228">
        <v>1.1200000000000001</v>
      </c>
      <c r="AI205" s="228">
        <v>0.9</v>
      </c>
      <c r="AJ205" s="228">
        <v>0.22</v>
      </c>
      <c r="AK205" s="229">
        <v>6.7999999999999996E-3</v>
      </c>
      <c r="AL205" s="228">
        <v>1.56</v>
      </c>
      <c r="AM205" s="228">
        <v>1.72</v>
      </c>
      <c r="AN205" s="228">
        <v>-0.16</v>
      </c>
      <c r="AO205" s="229">
        <v>9.4999999999999998E-3</v>
      </c>
      <c r="AP205" s="228">
        <v>166.52</v>
      </c>
      <c r="AQ205" s="228">
        <v>166.97</v>
      </c>
      <c r="AR205" s="228">
        <v>0</v>
      </c>
      <c r="AS205" s="228">
        <v>311</v>
      </c>
      <c r="AT205" s="228">
        <v>437</v>
      </c>
      <c r="AU205" s="228">
        <v>-126</v>
      </c>
      <c r="AV205" s="229">
        <v>-0.28870000000000001</v>
      </c>
      <c r="AW205" s="228">
        <v>285</v>
      </c>
      <c r="AX205" s="228">
        <v>405</v>
      </c>
      <c r="AY205" s="228">
        <v>-119</v>
      </c>
      <c r="AZ205" s="229">
        <v>-0.29499999999999998</v>
      </c>
      <c r="BA205" s="228">
        <v>24</v>
      </c>
      <c r="BB205" s="228">
        <v>30</v>
      </c>
      <c r="BC205" s="228">
        <v>-6</v>
      </c>
      <c r="BD205" s="229">
        <v>-0.18629999999999999</v>
      </c>
      <c r="BE205" s="228">
        <v>1</v>
      </c>
      <c r="BF205" s="228">
        <v>3</v>
      </c>
      <c r="BG205" s="228">
        <v>-1</v>
      </c>
      <c r="BH205" s="229">
        <v>-0.45950000000000002</v>
      </c>
      <c r="BI205" s="228">
        <v>697</v>
      </c>
      <c r="BJ205" s="228">
        <v>893</v>
      </c>
      <c r="BK205" s="228">
        <v>-196</v>
      </c>
      <c r="BL205" s="229">
        <v>-0.21929999999999999</v>
      </c>
      <c r="BM205" s="228">
        <v>221</v>
      </c>
      <c r="BN205" s="228">
        <v>471</v>
      </c>
      <c r="BO205" s="228">
        <v>-251</v>
      </c>
      <c r="BP205" s="229">
        <v>-0.53149999999999997</v>
      </c>
      <c r="BQ205" s="230">
        <v>1229</v>
      </c>
      <c r="BR205" s="230">
        <v>1801</v>
      </c>
      <c r="BS205" s="228">
        <v>-573</v>
      </c>
      <c r="BT205" s="229">
        <v>-0.31780000000000003</v>
      </c>
      <c r="BU205" s="230">
        <v>15402062</v>
      </c>
      <c r="BV205" s="230">
        <v>18414984</v>
      </c>
      <c r="BW205" s="230">
        <v>-3012922</v>
      </c>
      <c r="BX205" s="229">
        <v>-0.1636</v>
      </c>
      <c r="BY205" s="230">
        <v>2323</v>
      </c>
      <c r="BZ205" s="230">
        <v>2252</v>
      </c>
      <c r="CA205" s="228">
        <v>72</v>
      </c>
      <c r="CB205" s="229">
        <v>3.1899999999999998E-2</v>
      </c>
      <c r="CC205" s="230">
        <v>2233</v>
      </c>
      <c r="CD205" s="230">
        <v>2172</v>
      </c>
      <c r="CE205" s="228">
        <v>61</v>
      </c>
      <c r="CF205" s="229">
        <v>2.81E-2</v>
      </c>
      <c r="CG205" s="228">
        <v>87</v>
      </c>
      <c r="CH205" s="228">
        <v>77</v>
      </c>
      <c r="CI205" s="228">
        <v>9</v>
      </c>
      <c r="CJ205" s="229">
        <v>0.1229</v>
      </c>
      <c r="CK205" s="228">
        <v>4</v>
      </c>
      <c r="CL205" s="228">
        <v>3</v>
      </c>
      <c r="CM205" s="228">
        <v>1</v>
      </c>
      <c r="CN205" s="229">
        <v>0.52780000000000005</v>
      </c>
      <c r="CO205" s="230">
        <v>1026</v>
      </c>
      <c r="CP205" s="228">
        <v>899</v>
      </c>
      <c r="CQ205" s="228">
        <v>127</v>
      </c>
      <c r="CR205" s="229">
        <v>0.1411</v>
      </c>
      <c r="CS205" s="228">
        <v>523</v>
      </c>
      <c r="CT205" s="228">
        <v>513</v>
      </c>
      <c r="CU205" s="228">
        <v>10</v>
      </c>
      <c r="CV205" s="229">
        <v>1.9599999999999999E-2</v>
      </c>
      <c r="CW205" s="230">
        <v>3872</v>
      </c>
      <c r="CX205" s="230">
        <v>3664</v>
      </c>
      <c r="CY205" s="228">
        <v>209</v>
      </c>
      <c r="CZ205" s="229">
        <v>5.7000000000000002E-2</v>
      </c>
      <c r="DA205" s="228">
        <v>41.16</v>
      </c>
      <c r="DB205" s="228">
        <v>40.49</v>
      </c>
      <c r="DC205" s="228">
        <v>0.67</v>
      </c>
      <c r="DD205" s="228">
        <v>0.67</v>
      </c>
      <c r="DE205" s="228">
        <v>44.48</v>
      </c>
      <c r="DF205" s="228">
        <v>44.56</v>
      </c>
      <c r="DG205" s="228">
        <v>-3.32</v>
      </c>
      <c r="DH205" s="228">
        <v>-0.08</v>
      </c>
      <c r="DI205" s="228">
        <v>41.64</v>
      </c>
      <c r="DJ205" s="228">
        <v>40.71</v>
      </c>
      <c r="DK205" s="228">
        <v>0.93</v>
      </c>
      <c r="DL205" s="228">
        <v>0.93</v>
      </c>
      <c r="DM205" s="228">
        <v>39.65</v>
      </c>
      <c r="DN205" s="228">
        <v>40.08</v>
      </c>
      <c r="DO205" s="228">
        <v>-0.43</v>
      </c>
      <c r="DP205" s="228">
        <v>-0.43</v>
      </c>
      <c r="DQ205" s="228">
        <v>0.51</v>
      </c>
      <c r="DR205" s="228">
        <v>0.56999999999999995</v>
      </c>
      <c r="DS205" s="228">
        <v>-0.06</v>
      </c>
      <c r="DT205" s="229">
        <v>-0.1053</v>
      </c>
      <c r="DU205" s="228">
        <v>190</v>
      </c>
      <c r="DV205" s="228">
        <v>180</v>
      </c>
      <c r="DW205" s="228">
        <v>0.32</v>
      </c>
      <c r="DX205" s="228">
        <v>0.53</v>
      </c>
      <c r="DY205" s="228">
        <v>-0.21</v>
      </c>
      <c r="DZ205" s="229">
        <v>-0.3962</v>
      </c>
      <c r="EA205" s="229">
        <v>3.9E-2</v>
      </c>
      <c r="EB205" s="230">
        <v>4840950</v>
      </c>
      <c r="EC205" s="229">
        <v>1.1999999999999999E-3</v>
      </c>
      <c r="ED205" s="229">
        <v>3.9E-2</v>
      </c>
      <c r="EE205" s="228">
        <v>0.45</v>
      </c>
      <c r="EF205" s="229">
        <v>2.7000000000000001E-3</v>
      </c>
      <c r="EG205" s="230">
        <v>8006513</v>
      </c>
      <c r="EH205" s="230">
        <v>8035130</v>
      </c>
      <c r="EI205" s="229">
        <v>-3.5999999999999999E-3</v>
      </c>
      <c r="EJ205" s="229">
        <v>0.51980000000000004</v>
      </c>
      <c r="EK205" s="228">
        <v>778.68</v>
      </c>
      <c r="EL205" s="228">
        <v>221.15</v>
      </c>
      <c r="EM205" s="228">
        <v>314.57</v>
      </c>
      <c r="EN205" s="228">
        <v>110.57</v>
      </c>
      <c r="EO205" s="231">
        <v>1314.4</v>
      </c>
      <c r="EP205" s="231">
        <v>1901.57</v>
      </c>
      <c r="EQ205" s="228">
        <v>-587.16999999999996</v>
      </c>
      <c r="ER205" s="229">
        <v>-0.30880000000000002</v>
      </c>
      <c r="ES205" s="231">
        <v>1163.54</v>
      </c>
      <c r="ET205" s="228">
        <v>536.70000000000005</v>
      </c>
      <c r="EU205" s="231">
        <v>2323.52</v>
      </c>
      <c r="EV205" s="231">
        <v>289041713</v>
      </c>
      <c r="EW205" s="231">
        <v>4023.76</v>
      </c>
      <c r="EX205" s="231">
        <v>3826.09</v>
      </c>
      <c r="EY205" s="228">
        <v>197.67</v>
      </c>
      <c r="EZ205" s="229">
        <v>5.1700000000000003E-2</v>
      </c>
      <c r="FA205" s="229">
        <v>0.81340000000000001</v>
      </c>
      <c r="FB205" s="227" t="s">
        <v>566</v>
      </c>
      <c r="FC205">
        <f t="shared" si="4"/>
        <v>0</v>
      </c>
    </row>
    <row r="206" spans="1:159" ht="17.25" thickBot="1" x14ac:dyDescent="0.3">
      <c r="A206" s="226">
        <v>46146</v>
      </c>
      <c r="B206" s="227" t="s">
        <v>168</v>
      </c>
      <c r="C206" s="227" t="s">
        <v>568</v>
      </c>
      <c r="D206" s="228">
        <v>400</v>
      </c>
      <c r="E206" s="228">
        <v>22</v>
      </c>
      <c r="F206" s="231">
        <v>1328.9</v>
      </c>
      <c r="G206" s="231">
        <v>1333.6</v>
      </c>
      <c r="H206" s="228">
        <v>-4.7</v>
      </c>
      <c r="I206" s="229">
        <v>-3.5000000000000001E-3</v>
      </c>
      <c r="J206" s="231">
        <v>1321.7</v>
      </c>
      <c r="K206" s="231">
        <v>1325.6</v>
      </c>
      <c r="L206" s="228">
        <v>-3.9</v>
      </c>
      <c r="M206" s="229">
        <v>-2.8999999999999998E-3</v>
      </c>
      <c r="N206" s="231">
        <v>1328.9</v>
      </c>
      <c r="O206" s="231">
        <v>1333.6</v>
      </c>
      <c r="P206" s="228">
        <v>-4.7</v>
      </c>
      <c r="Q206" s="229">
        <v>-3.5000000000000001E-3</v>
      </c>
      <c r="R206" s="231">
        <v>1337.9</v>
      </c>
      <c r="S206" s="231">
        <v>1341.2</v>
      </c>
      <c r="T206" s="228">
        <v>-3.3</v>
      </c>
      <c r="U206" s="229">
        <v>-2.5000000000000001E-3</v>
      </c>
      <c r="V206" s="231">
        <v>1345</v>
      </c>
      <c r="W206" s="231">
        <v>1348.9</v>
      </c>
      <c r="X206" s="228">
        <v>-3.9</v>
      </c>
      <c r="Y206" s="229">
        <v>-2.8999999999999998E-3</v>
      </c>
      <c r="Z206" s="228">
        <v>7.2</v>
      </c>
      <c r="AA206" s="228">
        <v>8</v>
      </c>
      <c r="AB206" s="228">
        <v>-0.8</v>
      </c>
      <c r="AC206" s="229">
        <v>5.4000000000000003E-3</v>
      </c>
      <c r="AD206" s="228">
        <v>7.2</v>
      </c>
      <c r="AE206" s="228">
        <v>8</v>
      </c>
      <c r="AF206" s="228">
        <v>-0.8</v>
      </c>
      <c r="AG206" s="229">
        <v>5.4000000000000003E-3</v>
      </c>
      <c r="AH206" s="228">
        <v>16.2</v>
      </c>
      <c r="AI206" s="228">
        <v>15.6</v>
      </c>
      <c r="AJ206" s="228">
        <v>0.6</v>
      </c>
      <c r="AK206" s="229">
        <v>1.23E-2</v>
      </c>
      <c r="AL206" s="228">
        <v>23.3</v>
      </c>
      <c r="AM206" s="228">
        <v>23.3</v>
      </c>
      <c r="AN206" s="228">
        <v>0</v>
      </c>
      <c r="AO206" s="229">
        <v>1.7600000000000001E-2</v>
      </c>
      <c r="AP206" s="231">
        <v>1331.54</v>
      </c>
      <c r="AQ206" s="231">
        <v>1335.67</v>
      </c>
      <c r="AR206" s="228">
        <v>0</v>
      </c>
      <c r="AS206" s="228">
        <v>95</v>
      </c>
      <c r="AT206" s="228">
        <v>159</v>
      </c>
      <c r="AU206" s="228">
        <v>-65</v>
      </c>
      <c r="AV206" s="229">
        <v>-0.40560000000000002</v>
      </c>
      <c r="AW206" s="228">
        <v>92</v>
      </c>
      <c r="AX206" s="228">
        <v>153</v>
      </c>
      <c r="AY206" s="228">
        <v>-61</v>
      </c>
      <c r="AZ206" s="229">
        <v>-0.39800000000000002</v>
      </c>
      <c r="BA206" s="228">
        <v>2</v>
      </c>
      <c r="BB206" s="228">
        <v>5</v>
      </c>
      <c r="BC206" s="228">
        <v>-3</v>
      </c>
      <c r="BD206" s="229">
        <v>-0.56379999999999997</v>
      </c>
      <c r="BE206" s="228">
        <v>0</v>
      </c>
      <c r="BF206" s="228">
        <v>1</v>
      </c>
      <c r="BG206" s="228">
        <v>-1</v>
      </c>
      <c r="BH206" s="229">
        <v>-0.82350000000000001</v>
      </c>
      <c r="BI206" s="228">
        <v>172</v>
      </c>
      <c r="BJ206" s="228">
        <v>207</v>
      </c>
      <c r="BK206" s="228">
        <v>-35</v>
      </c>
      <c r="BL206" s="229">
        <v>-0.16969999999999999</v>
      </c>
      <c r="BM206" s="228">
        <v>49</v>
      </c>
      <c r="BN206" s="228">
        <v>83</v>
      </c>
      <c r="BO206" s="228">
        <v>-33</v>
      </c>
      <c r="BP206" s="229">
        <v>-0.40489999999999998</v>
      </c>
      <c r="BQ206" s="228">
        <v>316</v>
      </c>
      <c r="BR206" s="228">
        <v>449</v>
      </c>
      <c r="BS206" s="228">
        <v>-133</v>
      </c>
      <c r="BT206" s="229">
        <v>-0.29659999999999997</v>
      </c>
      <c r="BU206" s="230">
        <v>1000123</v>
      </c>
      <c r="BV206" s="230">
        <v>1091504</v>
      </c>
      <c r="BW206" s="230">
        <v>-91381</v>
      </c>
      <c r="BX206" s="229">
        <v>-8.3699999999999997E-2</v>
      </c>
      <c r="BY206" s="230">
        <v>1518</v>
      </c>
      <c r="BZ206" s="230">
        <v>1469</v>
      </c>
      <c r="CA206" s="228">
        <v>49</v>
      </c>
      <c r="CB206" s="229">
        <v>3.3500000000000002E-2</v>
      </c>
      <c r="CC206" s="230">
        <v>1438</v>
      </c>
      <c r="CD206" s="230">
        <v>1390</v>
      </c>
      <c r="CE206" s="228">
        <v>48</v>
      </c>
      <c r="CF206" s="229">
        <v>3.4700000000000002E-2</v>
      </c>
      <c r="CG206" s="228">
        <v>79</v>
      </c>
      <c r="CH206" s="228">
        <v>78</v>
      </c>
      <c r="CI206" s="228">
        <v>1</v>
      </c>
      <c r="CJ206" s="229">
        <v>1.0200000000000001E-2</v>
      </c>
      <c r="CK206" s="228">
        <v>1</v>
      </c>
      <c r="CL206" s="228">
        <v>1</v>
      </c>
      <c r="CM206" s="228">
        <v>0</v>
      </c>
      <c r="CN206" s="229">
        <v>0.17649999999999999</v>
      </c>
      <c r="CO206" s="228">
        <v>378</v>
      </c>
      <c r="CP206" s="228">
        <v>357</v>
      </c>
      <c r="CQ206" s="228">
        <v>22</v>
      </c>
      <c r="CR206" s="229">
        <v>6.0999999999999999E-2</v>
      </c>
      <c r="CS206" s="228">
        <v>259</v>
      </c>
      <c r="CT206" s="228">
        <v>256</v>
      </c>
      <c r="CU206" s="228">
        <v>3</v>
      </c>
      <c r="CV206" s="229">
        <v>1.12E-2</v>
      </c>
      <c r="CW206" s="230">
        <v>2155</v>
      </c>
      <c r="CX206" s="230">
        <v>2081</v>
      </c>
      <c r="CY206" s="228">
        <v>74</v>
      </c>
      <c r="CZ206" s="229">
        <v>3.5499999999999997E-2</v>
      </c>
      <c r="DA206" s="228">
        <v>31.11</v>
      </c>
      <c r="DB206" s="228">
        <v>30.23</v>
      </c>
      <c r="DC206" s="228">
        <v>0.88</v>
      </c>
      <c r="DD206" s="228">
        <v>0.88</v>
      </c>
      <c r="DE206" s="228">
        <v>30.32</v>
      </c>
      <c r="DF206" s="228">
        <v>30.39</v>
      </c>
      <c r="DG206" s="228">
        <v>0.79</v>
      </c>
      <c r="DH206" s="228">
        <v>-7.0000000000000007E-2</v>
      </c>
      <c r="DI206" s="228">
        <v>31</v>
      </c>
      <c r="DJ206" s="228">
        <v>30.4</v>
      </c>
      <c r="DK206" s="228">
        <v>0.6</v>
      </c>
      <c r="DL206" s="228">
        <v>0.6</v>
      </c>
      <c r="DM206" s="228">
        <v>31.48</v>
      </c>
      <c r="DN206" s="228">
        <v>29.82</v>
      </c>
      <c r="DO206" s="228">
        <v>1.66</v>
      </c>
      <c r="DP206" s="228">
        <v>1.66</v>
      </c>
      <c r="DQ206" s="228">
        <v>0.68</v>
      </c>
      <c r="DR206" s="228">
        <v>0.72</v>
      </c>
      <c r="DS206" s="228">
        <v>-0.04</v>
      </c>
      <c r="DT206" s="229">
        <v>-5.5599999999999997E-2</v>
      </c>
      <c r="DU206" s="231">
        <v>1500</v>
      </c>
      <c r="DV206" s="231">
        <v>1400</v>
      </c>
      <c r="DW206" s="228">
        <v>0.28999999999999998</v>
      </c>
      <c r="DX206" s="228">
        <v>0.4</v>
      </c>
      <c r="DY206" s="228">
        <v>-0.11</v>
      </c>
      <c r="DZ206" s="229">
        <v>-0.27500000000000002</v>
      </c>
      <c r="EA206" s="229">
        <v>5.2499999999999998E-2</v>
      </c>
      <c r="EB206" s="230">
        <v>592800</v>
      </c>
      <c r="EC206" s="229">
        <v>6.7999999999999996E-3</v>
      </c>
      <c r="ED206" s="229">
        <v>5.2499999999999998E-2</v>
      </c>
      <c r="EE206" s="228">
        <v>4.13</v>
      </c>
      <c r="EF206" s="229">
        <v>3.0999999999999999E-3</v>
      </c>
      <c r="EG206" s="230">
        <v>710052</v>
      </c>
      <c r="EH206" s="230">
        <v>721480</v>
      </c>
      <c r="EI206" s="229">
        <v>-1.5800000000000002E-2</v>
      </c>
      <c r="EJ206" s="229">
        <v>0.71</v>
      </c>
      <c r="EK206" s="228">
        <v>186.54</v>
      </c>
      <c r="EL206" s="228">
        <v>48.85</v>
      </c>
      <c r="EM206" s="228">
        <v>94.92</v>
      </c>
      <c r="EN206" s="228">
        <v>76.599999999999994</v>
      </c>
      <c r="EO206" s="228">
        <v>330.32</v>
      </c>
      <c r="EP206" s="228">
        <v>469.23</v>
      </c>
      <c r="EQ206" s="228">
        <v>-138.91999999999999</v>
      </c>
      <c r="ER206" s="229">
        <v>-0.29609999999999997</v>
      </c>
      <c r="ES206" s="228">
        <v>406.8</v>
      </c>
      <c r="ET206" s="228">
        <v>265.89999999999998</v>
      </c>
      <c r="EU206" s="231">
        <v>1518.31</v>
      </c>
      <c r="EV206" s="231">
        <v>38847259</v>
      </c>
      <c r="EW206" s="231">
        <v>2191.0100000000002</v>
      </c>
      <c r="EX206" s="231">
        <v>2121.27</v>
      </c>
      <c r="EY206" s="228">
        <v>69.739999999999995</v>
      </c>
      <c r="EZ206" s="229">
        <v>3.2899999999999999E-2</v>
      </c>
      <c r="FA206" s="229">
        <v>0.41739999999999999</v>
      </c>
      <c r="FB206" s="227" t="s">
        <v>566</v>
      </c>
      <c r="FC206">
        <f t="shared" si="4"/>
        <v>0</v>
      </c>
    </row>
    <row r="207" spans="1:159" ht="17.25" thickBot="1" x14ac:dyDescent="0.3">
      <c r="A207" s="226">
        <v>46146</v>
      </c>
      <c r="B207" s="227" t="s">
        <v>162</v>
      </c>
      <c r="C207" s="227" t="s">
        <v>671</v>
      </c>
      <c r="D207" s="228">
        <v>550</v>
      </c>
      <c r="E207" s="228">
        <v>22</v>
      </c>
      <c r="F207" s="231">
        <v>1116.0999999999999</v>
      </c>
      <c r="G207" s="231">
        <v>1119.9000000000001</v>
      </c>
      <c r="H207" s="228">
        <v>-3.8</v>
      </c>
      <c r="I207" s="229">
        <v>-3.3999999999999998E-3</v>
      </c>
      <c r="J207" s="231">
        <v>1109.8</v>
      </c>
      <c r="K207" s="231">
        <v>1112.5</v>
      </c>
      <c r="L207" s="228">
        <v>-2.7</v>
      </c>
      <c r="M207" s="229">
        <v>-2.3999999999999998E-3</v>
      </c>
      <c r="N207" s="231">
        <v>1116.0999999999999</v>
      </c>
      <c r="O207" s="231">
        <v>1119.9000000000001</v>
      </c>
      <c r="P207" s="228">
        <v>-3.8</v>
      </c>
      <c r="Q207" s="229">
        <v>-3.3999999999999998E-3</v>
      </c>
      <c r="R207" s="231">
        <v>1123.4000000000001</v>
      </c>
      <c r="S207" s="231">
        <v>1127.0999999999999</v>
      </c>
      <c r="T207" s="228">
        <v>-3.7</v>
      </c>
      <c r="U207" s="229">
        <v>-3.3E-3</v>
      </c>
      <c r="V207" s="228">
        <v>0</v>
      </c>
      <c r="W207" s="228">
        <v>0</v>
      </c>
      <c r="X207" s="228">
        <v>0</v>
      </c>
      <c r="Y207" s="229">
        <v>0</v>
      </c>
      <c r="Z207" s="228">
        <v>6.3</v>
      </c>
      <c r="AA207" s="228">
        <v>7.4</v>
      </c>
      <c r="AB207" s="228">
        <v>-1.1000000000000001</v>
      </c>
      <c r="AC207" s="229">
        <v>5.7000000000000002E-3</v>
      </c>
      <c r="AD207" s="228">
        <v>6.3</v>
      </c>
      <c r="AE207" s="228">
        <v>7.4</v>
      </c>
      <c r="AF207" s="228">
        <v>-1.1000000000000001</v>
      </c>
      <c r="AG207" s="229">
        <v>5.7000000000000002E-3</v>
      </c>
      <c r="AH207" s="228">
        <v>13.6</v>
      </c>
      <c r="AI207" s="228">
        <v>14.6</v>
      </c>
      <c r="AJ207" s="228">
        <v>-1</v>
      </c>
      <c r="AK207" s="229">
        <v>1.23E-2</v>
      </c>
      <c r="AL207" s="228">
        <v>0</v>
      </c>
      <c r="AM207" s="228">
        <v>0</v>
      </c>
      <c r="AN207" s="228">
        <v>0</v>
      </c>
      <c r="AO207" s="229">
        <v>0</v>
      </c>
      <c r="AP207" s="231">
        <v>1119.72</v>
      </c>
      <c r="AQ207" s="231">
        <v>1122.78</v>
      </c>
      <c r="AR207" s="228">
        <v>0</v>
      </c>
      <c r="AS207" s="228">
        <v>73</v>
      </c>
      <c r="AT207" s="228">
        <v>41</v>
      </c>
      <c r="AU207" s="228">
        <v>33</v>
      </c>
      <c r="AV207" s="229">
        <v>0.8054</v>
      </c>
      <c r="AW207" s="228">
        <v>72</v>
      </c>
      <c r="AX207" s="228">
        <v>40</v>
      </c>
      <c r="AY207" s="228">
        <v>32</v>
      </c>
      <c r="AZ207" s="229">
        <v>0.81259999999999999</v>
      </c>
      <c r="BA207" s="228">
        <v>1</v>
      </c>
      <c r="BB207" s="228">
        <v>1</v>
      </c>
      <c r="BC207" s="228">
        <v>0</v>
      </c>
      <c r="BD207" s="229">
        <v>0.41670000000000001</v>
      </c>
      <c r="BE207" s="228">
        <v>0</v>
      </c>
      <c r="BF207" s="228">
        <v>0</v>
      </c>
      <c r="BG207" s="228">
        <v>0</v>
      </c>
      <c r="BH207" s="229">
        <v>0</v>
      </c>
      <c r="BI207" s="228">
        <v>71</v>
      </c>
      <c r="BJ207" s="228">
        <v>54</v>
      </c>
      <c r="BK207" s="228">
        <v>17</v>
      </c>
      <c r="BL207" s="229">
        <v>0.31879999999999997</v>
      </c>
      <c r="BM207" s="228">
        <v>22</v>
      </c>
      <c r="BN207" s="228">
        <v>15</v>
      </c>
      <c r="BO207" s="228">
        <v>7</v>
      </c>
      <c r="BP207" s="229">
        <v>0.45750000000000002</v>
      </c>
      <c r="BQ207" s="228">
        <v>166</v>
      </c>
      <c r="BR207" s="228">
        <v>109</v>
      </c>
      <c r="BS207" s="228">
        <v>57</v>
      </c>
      <c r="BT207" s="229">
        <v>0.51910000000000001</v>
      </c>
      <c r="BU207" s="230">
        <v>661276</v>
      </c>
      <c r="BV207" s="230">
        <v>615492</v>
      </c>
      <c r="BW207" s="230">
        <v>45784</v>
      </c>
      <c r="BX207" s="229">
        <v>7.4399999999999994E-2</v>
      </c>
      <c r="BY207" s="228">
        <v>482</v>
      </c>
      <c r="BZ207" s="228">
        <v>486</v>
      </c>
      <c r="CA207" s="228">
        <v>-4</v>
      </c>
      <c r="CB207" s="229">
        <v>-7.6E-3</v>
      </c>
      <c r="CC207" s="228">
        <v>479</v>
      </c>
      <c r="CD207" s="228">
        <v>483</v>
      </c>
      <c r="CE207" s="228">
        <v>-4</v>
      </c>
      <c r="CF207" s="229">
        <v>-7.6E-3</v>
      </c>
      <c r="CG207" s="228">
        <v>3</v>
      </c>
      <c r="CH207" s="228">
        <v>3</v>
      </c>
      <c r="CI207" s="228">
        <v>0</v>
      </c>
      <c r="CJ207" s="229">
        <v>0</v>
      </c>
      <c r="CK207" s="228">
        <v>0</v>
      </c>
      <c r="CL207" s="228">
        <v>0</v>
      </c>
      <c r="CM207" s="228">
        <v>0</v>
      </c>
      <c r="CN207" s="229">
        <v>0</v>
      </c>
      <c r="CO207" s="228">
        <v>114</v>
      </c>
      <c r="CP207" s="228">
        <v>91</v>
      </c>
      <c r="CQ207" s="228">
        <v>23</v>
      </c>
      <c r="CR207" s="229">
        <v>0.25269999999999998</v>
      </c>
      <c r="CS207" s="228">
        <v>52</v>
      </c>
      <c r="CT207" s="228">
        <v>43</v>
      </c>
      <c r="CU207" s="228">
        <v>9</v>
      </c>
      <c r="CV207" s="229">
        <v>0.21729999999999999</v>
      </c>
      <c r="CW207" s="228">
        <v>648</v>
      </c>
      <c r="CX207" s="228">
        <v>620</v>
      </c>
      <c r="CY207" s="228">
        <v>29</v>
      </c>
      <c r="CZ207" s="229">
        <v>4.6100000000000002E-2</v>
      </c>
      <c r="DA207" s="228">
        <v>40.98</v>
      </c>
      <c r="DB207" s="228">
        <v>40.96</v>
      </c>
      <c r="DC207" s="228">
        <v>0.02</v>
      </c>
      <c r="DD207" s="228">
        <v>0.02</v>
      </c>
      <c r="DE207" s="228">
        <v>42.42</v>
      </c>
      <c r="DF207" s="228">
        <v>42.53</v>
      </c>
      <c r="DG207" s="228">
        <v>-1.44</v>
      </c>
      <c r="DH207" s="228">
        <v>-0.11</v>
      </c>
      <c r="DI207" s="228">
        <v>40.08</v>
      </c>
      <c r="DJ207" s="228">
        <v>40.6</v>
      </c>
      <c r="DK207" s="228">
        <v>-0.52</v>
      </c>
      <c r="DL207" s="228">
        <v>-0.52</v>
      </c>
      <c r="DM207" s="228">
        <v>43.85</v>
      </c>
      <c r="DN207" s="228">
        <v>42.23</v>
      </c>
      <c r="DO207" s="228">
        <v>1.62</v>
      </c>
      <c r="DP207" s="228">
        <v>1.62</v>
      </c>
      <c r="DQ207" s="228">
        <v>0.46</v>
      </c>
      <c r="DR207" s="228">
        <v>0.47</v>
      </c>
      <c r="DS207" s="228">
        <v>-0.01</v>
      </c>
      <c r="DT207" s="229">
        <v>-2.1299999999999999E-2</v>
      </c>
      <c r="DU207" s="231">
        <v>1200</v>
      </c>
      <c r="DV207" s="231">
        <v>1100</v>
      </c>
      <c r="DW207" s="228">
        <v>0.31</v>
      </c>
      <c r="DX207" s="228">
        <v>0.28000000000000003</v>
      </c>
      <c r="DY207" s="228">
        <v>0.03</v>
      </c>
      <c r="DZ207" s="229">
        <v>0.1071</v>
      </c>
      <c r="EA207" s="229">
        <v>6.1999999999999998E-3</v>
      </c>
      <c r="EB207" s="230">
        <v>26950</v>
      </c>
      <c r="EC207" s="229">
        <v>6.4999999999999997E-3</v>
      </c>
      <c r="ED207" s="229">
        <v>6.1999999999999998E-3</v>
      </c>
      <c r="EE207" s="228">
        <v>3.06</v>
      </c>
      <c r="EF207" s="229">
        <v>2.7000000000000001E-3</v>
      </c>
      <c r="EG207" s="230">
        <v>322098</v>
      </c>
      <c r="EH207" s="230">
        <v>291595</v>
      </c>
      <c r="EI207" s="229">
        <v>0.1046</v>
      </c>
      <c r="EJ207" s="229">
        <v>0.48709999999999998</v>
      </c>
      <c r="EK207" s="228">
        <v>77.31</v>
      </c>
      <c r="EL207" s="228">
        <v>21.88</v>
      </c>
      <c r="EM207" s="228">
        <v>73.72</v>
      </c>
      <c r="EN207" s="228">
        <v>23.05</v>
      </c>
      <c r="EO207" s="228">
        <v>172.91</v>
      </c>
      <c r="EP207" s="228">
        <v>114.09</v>
      </c>
      <c r="EQ207" s="228">
        <v>58.83</v>
      </c>
      <c r="ER207" s="229">
        <v>0.51559999999999995</v>
      </c>
      <c r="ES207" s="228">
        <v>122.07</v>
      </c>
      <c r="ET207" s="228">
        <v>50.72</v>
      </c>
      <c r="EU207" s="228">
        <v>482.51</v>
      </c>
      <c r="EV207" s="231">
        <v>27343613</v>
      </c>
      <c r="EW207" s="228">
        <v>655.30999999999995</v>
      </c>
      <c r="EX207" s="228">
        <v>626.96</v>
      </c>
      <c r="EY207" s="228">
        <v>28.35</v>
      </c>
      <c r="EZ207" s="229">
        <v>4.5199999999999997E-2</v>
      </c>
      <c r="FA207" s="229">
        <v>0.21240000000000001</v>
      </c>
      <c r="FB207" s="227" t="s">
        <v>567</v>
      </c>
      <c r="FC207">
        <f t="shared" si="4"/>
        <v>0</v>
      </c>
    </row>
    <row r="208" spans="1:159" ht="17.25" thickBot="1" x14ac:dyDescent="0.3">
      <c r="A208" s="226">
        <v>46146</v>
      </c>
      <c r="B208" s="227" t="s">
        <v>498</v>
      </c>
      <c r="C208" s="227" t="s">
        <v>303</v>
      </c>
      <c r="D208" s="228">
        <v>1355</v>
      </c>
      <c r="E208" s="228">
        <v>22</v>
      </c>
      <c r="F208" s="228">
        <v>647.54999999999995</v>
      </c>
      <c r="G208" s="228">
        <v>646</v>
      </c>
      <c r="H208" s="228">
        <v>1.55</v>
      </c>
      <c r="I208" s="229">
        <v>2.3999999999999998E-3</v>
      </c>
      <c r="J208" s="228">
        <v>643.35</v>
      </c>
      <c r="K208" s="228">
        <v>641.85</v>
      </c>
      <c r="L208" s="228">
        <v>1.5</v>
      </c>
      <c r="M208" s="229">
        <v>2.3E-3</v>
      </c>
      <c r="N208" s="228">
        <v>647.54999999999995</v>
      </c>
      <c r="O208" s="228">
        <v>646</v>
      </c>
      <c r="P208" s="228">
        <v>1.55</v>
      </c>
      <c r="Q208" s="229">
        <v>2.3999999999999998E-3</v>
      </c>
      <c r="R208" s="228">
        <v>651.4</v>
      </c>
      <c r="S208" s="228">
        <v>651.29999999999995</v>
      </c>
      <c r="T208" s="228">
        <v>0.1</v>
      </c>
      <c r="U208" s="229">
        <v>2.0000000000000001E-4</v>
      </c>
      <c r="V208" s="228">
        <v>651.15</v>
      </c>
      <c r="W208" s="228">
        <v>636.5</v>
      </c>
      <c r="X208" s="228">
        <v>14.65</v>
      </c>
      <c r="Y208" s="229">
        <v>2.3E-2</v>
      </c>
      <c r="Z208" s="228">
        <v>4.2</v>
      </c>
      <c r="AA208" s="228">
        <v>4.1500000000000004</v>
      </c>
      <c r="AB208" s="228">
        <v>0.05</v>
      </c>
      <c r="AC208" s="229">
        <v>6.4999999999999997E-3</v>
      </c>
      <c r="AD208" s="228">
        <v>4.2</v>
      </c>
      <c r="AE208" s="228">
        <v>4.1500000000000004</v>
      </c>
      <c r="AF208" s="228">
        <v>0.05</v>
      </c>
      <c r="AG208" s="229">
        <v>6.4999999999999997E-3</v>
      </c>
      <c r="AH208" s="228">
        <v>8.0500000000000007</v>
      </c>
      <c r="AI208" s="228">
        <v>9.4499999999999993</v>
      </c>
      <c r="AJ208" s="228">
        <v>-1.4</v>
      </c>
      <c r="AK208" s="229">
        <v>1.2500000000000001E-2</v>
      </c>
      <c r="AL208" s="228">
        <v>7.8</v>
      </c>
      <c r="AM208" s="228">
        <v>-5.35</v>
      </c>
      <c r="AN208" s="228">
        <v>13.15</v>
      </c>
      <c r="AO208" s="229">
        <v>1.21E-2</v>
      </c>
      <c r="AP208" s="228">
        <v>650.77</v>
      </c>
      <c r="AQ208" s="228">
        <v>654</v>
      </c>
      <c r="AR208" s="228">
        <v>0</v>
      </c>
      <c r="AS208" s="228">
        <v>133</v>
      </c>
      <c r="AT208" s="228">
        <v>98</v>
      </c>
      <c r="AU208" s="228">
        <v>35</v>
      </c>
      <c r="AV208" s="229">
        <v>0.36209999999999998</v>
      </c>
      <c r="AW208" s="228">
        <v>128</v>
      </c>
      <c r="AX208" s="228">
        <v>93</v>
      </c>
      <c r="AY208" s="228">
        <v>35</v>
      </c>
      <c r="AZ208" s="229">
        <v>0.38129999999999997</v>
      </c>
      <c r="BA208" s="228">
        <v>5</v>
      </c>
      <c r="BB208" s="228">
        <v>4</v>
      </c>
      <c r="BC208" s="228">
        <v>0</v>
      </c>
      <c r="BD208" s="229">
        <v>0.04</v>
      </c>
      <c r="BE208" s="228">
        <v>0</v>
      </c>
      <c r="BF208" s="228">
        <v>1</v>
      </c>
      <c r="BG208" s="228">
        <v>0</v>
      </c>
      <c r="BH208" s="229">
        <v>-0.33329999999999999</v>
      </c>
      <c r="BI208" s="228">
        <v>177</v>
      </c>
      <c r="BJ208" s="228">
        <v>161</v>
      </c>
      <c r="BK208" s="228">
        <v>16</v>
      </c>
      <c r="BL208" s="229">
        <v>9.6799999999999997E-2</v>
      </c>
      <c r="BM208" s="228">
        <v>78</v>
      </c>
      <c r="BN208" s="228">
        <v>79</v>
      </c>
      <c r="BO208" s="228">
        <v>0</v>
      </c>
      <c r="BP208" s="229">
        <v>-2.2000000000000001E-3</v>
      </c>
      <c r="BQ208" s="228">
        <v>388</v>
      </c>
      <c r="BR208" s="228">
        <v>338</v>
      </c>
      <c r="BS208" s="228">
        <v>51</v>
      </c>
      <c r="BT208" s="229">
        <v>0.15049999999999999</v>
      </c>
      <c r="BU208" s="230">
        <v>2019448</v>
      </c>
      <c r="BV208" s="230">
        <v>2179242</v>
      </c>
      <c r="BW208" s="230">
        <v>-159794</v>
      </c>
      <c r="BX208" s="229">
        <v>-7.3300000000000004E-2</v>
      </c>
      <c r="BY208" s="230">
        <v>1861</v>
      </c>
      <c r="BZ208" s="230">
        <v>1863</v>
      </c>
      <c r="CA208" s="228">
        <v>-2</v>
      </c>
      <c r="CB208" s="229">
        <v>-8.9999999999999998E-4</v>
      </c>
      <c r="CC208" s="230">
        <v>1841</v>
      </c>
      <c r="CD208" s="230">
        <v>1843</v>
      </c>
      <c r="CE208" s="228">
        <v>-3</v>
      </c>
      <c r="CF208" s="229">
        <v>-1.5E-3</v>
      </c>
      <c r="CG208" s="228">
        <v>20</v>
      </c>
      <c r="CH208" s="228">
        <v>19</v>
      </c>
      <c r="CI208" s="228">
        <v>1</v>
      </c>
      <c r="CJ208" s="229">
        <v>5.1900000000000002E-2</v>
      </c>
      <c r="CK208" s="228">
        <v>1</v>
      </c>
      <c r="CL208" s="228">
        <v>1</v>
      </c>
      <c r="CM208" s="228">
        <v>0</v>
      </c>
      <c r="CN208" s="229">
        <v>0.16669999999999999</v>
      </c>
      <c r="CO208" s="228">
        <v>286</v>
      </c>
      <c r="CP208" s="228">
        <v>262</v>
      </c>
      <c r="CQ208" s="228">
        <v>25</v>
      </c>
      <c r="CR208" s="229">
        <v>9.3799999999999994E-2</v>
      </c>
      <c r="CS208" s="228">
        <v>211</v>
      </c>
      <c r="CT208" s="228">
        <v>206</v>
      </c>
      <c r="CU208" s="228">
        <v>5</v>
      </c>
      <c r="CV208" s="229">
        <v>2.3E-2</v>
      </c>
      <c r="CW208" s="230">
        <v>2358</v>
      </c>
      <c r="CX208" s="230">
        <v>2330</v>
      </c>
      <c r="CY208" s="228">
        <v>28</v>
      </c>
      <c r="CZ208" s="229">
        <v>1.18E-2</v>
      </c>
      <c r="DA208" s="228">
        <v>35.56</v>
      </c>
      <c r="DB208" s="228">
        <v>34.4</v>
      </c>
      <c r="DC208" s="228">
        <v>1.1599999999999999</v>
      </c>
      <c r="DD208" s="228">
        <v>1.1599999999999999</v>
      </c>
      <c r="DE208" s="228">
        <v>41.16</v>
      </c>
      <c r="DF208" s="228">
        <v>41.26</v>
      </c>
      <c r="DG208" s="228">
        <v>-5.6</v>
      </c>
      <c r="DH208" s="228">
        <v>-0.1</v>
      </c>
      <c r="DI208" s="228">
        <v>35.380000000000003</v>
      </c>
      <c r="DJ208" s="228">
        <v>34.14</v>
      </c>
      <c r="DK208" s="228">
        <v>1.24</v>
      </c>
      <c r="DL208" s="228">
        <v>1.24</v>
      </c>
      <c r="DM208" s="228">
        <v>35.96</v>
      </c>
      <c r="DN208" s="228">
        <v>34.93</v>
      </c>
      <c r="DO208" s="228">
        <v>1.03</v>
      </c>
      <c r="DP208" s="228">
        <v>1.03</v>
      </c>
      <c r="DQ208" s="228">
        <v>0.74</v>
      </c>
      <c r="DR208" s="228">
        <v>0.79</v>
      </c>
      <c r="DS208" s="228">
        <v>-0.05</v>
      </c>
      <c r="DT208" s="229">
        <v>-6.3299999999999995E-2</v>
      </c>
      <c r="DU208" s="228">
        <v>650</v>
      </c>
      <c r="DV208" s="228">
        <v>650</v>
      </c>
      <c r="DW208" s="228">
        <v>0.44</v>
      </c>
      <c r="DX208" s="228">
        <v>0.49</v>
      </c>
      <c r="DY208" s="228">
        <v>-0.05</v>
      </c>
      <c r="DZ208" s="229">
        <v>-0.10199999999999999</v>
      </c>
      <c r="EA208" s="229">
        <v>1.0800000000000001E-2</v>
      </c>
      <c r="EB208" s="230">
        <v>295390</v>
      </c>
      <c r="EC208" s="229">
        <v>5.8999999999999999E-3</v>
      </c>
      <c r="ED208" s="229">
        <v>1.0800000000000001E-2</v>
      </c>
      <c r="EE208" s="228">
        <v>3.23</v>
      </c>
      <c r="EF208" s="229">
        <v>5.0000000000000001E-3</v>
      </c>
      <c r="EG208" s="230">
        <v>1262740</v>
      </c>
      <c r="EH208" s="230">
        <v>1243907</v>
      </c>
      <c r="EI208" s="229">
        <v>1.5100000000000001E-2</v>
      </c>
      <c r="EJ208" s="229">
        <v>0.62529999999999997</v>
      </c>
      <c r="EK208" s="228">
        <v>187.95</v>
      </c>
      <c r="EL208" s="228">
        <v>78.260000000000005</v>
      </c>
      <c r="EM208" s="228">
        <v>133.69999999999999</v>
      </c>
      <c r="EN208" s="228">
        <v>73.91</v>
      </c>
      <c r="EO208" s="228">
        <v>399.91</v>
      </c>
      <c r="EP208" s="228">
        <v>344.6</v>
      </c>
      <c r="EQ208" s="228">
        <v>55.31</v>
      </c>
      <c r="ER208" s="229">
        <v>0.1605</v>
      </c>
      <c r="ES208" s="228">
        <v>297.14</v>
      </c>
      <c r="ET208" s="228">
        <v>208.78</v>
      </c>
      <c r="EU208" s="231">
        <v>1860.97</v>
      </c>
      <c r="EV208" s="231">
        <v>84189026</v>
      </c>
      <c r="EW208" s="231">
        <v>2366.9</v>
      </c>
      <c r="EX208" s="231">
        <v>2333.89</v>
      </c>
      <c r="EY208" s="228">
        <v>33.01</v>
      </c>
      <c r="EZ208" s="229">
        <v>1.41E-2</v>
      </c>
      <c r="FA208" s="229">
        <v>0.4325</v>
      </c>
      <c r="FB208" s="227" t="s">
        <v>691</v>
      </c>
      <c r="FC208">
        <f t="shared" si="4"/>
        <v>0</v>
      </c>
    </row>
    <row r="209" spans="1:159" ht="17.25" thickBot="1" x14ac:dyDescent="0.3">
      <c r="A209" s="226">
        <v>46146</v>
      </c>
      <c r="B209" s="227" t="s">
        <v>168</v>
      </c>
      <c r="C209" s="227" t="s">
        <v>585</v>
      </c>
      <c r="D209" s="228">
        <v>1125</v>
      </c>
      <c r="E209" s="228">
        <v>22</v>
      </c>
      <c r="F209" s="228">
        <v>509.65</v>
      </c>
      <c r="G209" s="228">
        <v>516.79999999999995</v>
      </c>
      <c r="H209" s="228">
        <v>-7.15</v>
      </c>
      <c r="I209" s="229">
        <v>-1.38E-2</v>
      </c>
      <c r="J209" s="228">
        <v>506.75</v>
      </c>
      <c r="K209" s="228">
        <v>513.70000000000005</v>
      </c>
      <c r="L209" s="228">
        <v>-6.95</v>
      </c>
      <c r="M209" s="229">
        <v>-1.35E-2</v>
      </c>
      <c r="N209" s="228">
        <v>509.65</v>
      </c>
      <c r="O209" s="228">
        <v>516.79999999999995</v>
      </c>
      <c r="P209" s="228">
        <v>-7.15</v>
      </c>
      <c r="Q209" s="229">
        <v>-1.38E-2</v>
      </c>
      <c r="R209" s="228">
        <v>512.85</v>
      </c>
      <c r="S209" s="228">
        <v>520.20000000000005</v>
      </c>
      <c r="T209" s="228">
        <v>-7.35</v>
      </c>
      <c r="U209" s="229">
        <v>-1.41E-2</v>
      </c>
      <c r="V209" s="228">
        <v>516.25</v>
      </c>
      <c r="W209" s="228">
        <v>523.45000000000005</v>
      </c>
      <c r="X209" s="228">
        <v>-7.2</v>
      </c>
      <c r="Y209" s="229">
        <v>-1.38E-2</v>
      </c>
      <c r="Z209" s="228">
        <v>2.9</v>
      </c>
      <c r="AA209" s="228">
        <v>3.1</v>
      </c>
      <c r="AB209" s="228">
        <v>-0.2</v>
      </c>
      <c r="AC209" s="229">
        <v>5.7000000000000002E-3</v>
      </c>
      <c r="AD209" s="228">
        <v>2.9</v>
      </c>
      <c r="AE209" s="228">
        <v>3.1</v>
      </c>
      <c r="AF209" s="228">
        <v>-0.2</v>
      </c>
      <c r="AG209" s="229">
        <v>5.7000000000000002E-3</v>
      </c>
      <c r="AH209" s="228">
        <v>6.1</v>
      </c>
      <c r="AI209" s="228">
        <v>6.5</v>
      </c>
      <c r="AJ209" s="228">
        <v>-0.4</v>
      </c>
      <c r="AK209" s="229">
        <v>1.2E-2</v>
      </c>
      <c r="AL209" s="228">
        <v>9.5</v>
      </c>
      <c r="AM209" s="228">
        <v>9.75</v>
      </c>
      <c r="AN209" s="228">
        <v>-0.25</v>
      </c>
      <c r="AO209" s="229">
        <v>1.8700000000000001E-2</v>
      </c>
      <c r="AP209" s="228">
        <v>514.33000000000004</v>
      </c>
      <c r="AQ209" s="228">
        <v>517.59</v>
      </c>
      <c r="AR209" s="228">
        <v>0</v>
      </c>
      <c r="AS209" s="228">
        <v>245</v>
      </c>
      <c r="AT209" s="228">
        <v>371</v>
      </c>
      <c r="AU209" s="228">
        <v>-125</v>
      </c>
      <c r="AV209" s="229">
        <v>-0.33779999999999999</v>
      </c>
      <c r="AW209" s="228">
        <v>237</v>
      </c>
      <c r="AX209" s="228">
        <v>356</v>
      </c>
      <c r="AY209" s="228">
        <v>-119</v>
      </c>
      <c r="AZ209" s="229">
        <v>-0.33410000000000001</v>
      </c>
      <c r="BA209" s="228">
        <v>6</v>
      </c>
      <c r="BB209" s="228">
        <v>13</v>
      </c>
      <c r="BC209" s="228">
        <v>-6</v>
      </c>
      <c r="BD209" s="229">
        <v>-0.50219999999999998</v>
      </c>
      <c r="BE209" s="228">
        <v>2</v>
      </c>
      <c r="BF209" s="228">
        <v>1</v>
      </c>
      <c r="BG209" s="228">
        <v>0</v>
      </c>
      <c r="BH209" s="229">
        <v>0.33329999999999999</v>
      </c>
      <c r="BI209" s="228">
        <v>524</v>
      </c>
      <c r="BJ209" s="228">
        <v>452</v>
      </c>
      <c r="BK209" s="228">
        <v>73</v>
      </c>
      <c r="BL209" s="229">
        <v>0.1605</v>
      </c>
      <c r="BM209" s="228">
        <v>232</v>
      </c>
      <c r="BN209" s="228">
        <v>307</v>
      </c>
      <c r="BO209" s="228">
        <v>-75</v>
      </c>
      <c r="BP209" s="229">
        <v>-0.2437</v>
      </c>
      <c r="BQ209" s="230">
        <v>1002</v>
      </c>
      <c r="BR209" s="230">
        <v>1129</v>
      </c>
      <c r="BS209" s="228">
        <v>-127</v>
      </c>
      <c r="BT209" s="229">
        <v>-0.1128</v>
      </c>
      <c r="BU209" s="230">
        <v>5677122</v>
      </c>
      <c r="BV209" s="230">
        <v>7514844</v>
      </c>
      <c r="BW209" s="230">
        <v>-1837722</v>
      </c>
      <c r="BX209" s="229">
        <v>-0.2445</v>
      </c>
      <c r="BY209" s="230">
        <v>2481</v>
      </c>
      <c r="BZ209" s="230">
        <v>2471</v>
      </c>
      <c r="CA209" s="228">
        <v>10</v>
      </c>
      <c r="CB209" s="229">
        <v>3.8999999999999998E-3</v>
      </c>
      <c r="CC209" s="230">
        <v>2424</v>
      </c>
      <c r="CD209" s="230">
        <v>2416</v>
      </c>
      <c r="CE209" s="228">
        <v>8</v>
      </c>
      <c r="CF209" s="229">
        <v>3.3E-3</v>
      </c>
      <c r="CG209" s="228">
        <v>55</v>
      </c>
      <c r="CH209" s="228">
        <v>54</v>
      </c>
      <c r="CI209" s="228">
        <v>1</v>
      </c>
      <c r="CJ209" s="229">
        <v>2.3400000000000001E-2</v>
      </c>
      <c r="CK209" s="228">
        <v>2</v>
      </c>
      <c r="CL209" s="228">
        <v>1</v>
      </c>
      <c r="CM209" s="228">
        <v>0</v>
      </c>
      <c r="CN209" s="229">
        <v>0.33329999999999999</v>
      </c>
      <c r="CO209" s="228">
        <v>566</v>
      </c>
      <c r="CP209" s="228">
        <v>552</v>
      </c>
      <c r="CQ209" s="228">
        <v>14</v>
      </c>
      <c r="CR209" s="229">
        <v>2.53E-2</v>
      </c>
      <c r="CS209" s="228">
        <v>320</v>
      </c>
      <c r="CT209" s="228">
        <v>297</v>
      </c>
      <c r="CU209" s="228">
        <v>23</v>
      </c>
      <c r="CV209" s="229">
        <v>7.7399999999999997E-2</v>
      </c>
      <c r="CW209" s="230">
        <v>3367</v>
      </c>
      <c r="CX209" s="230">
        <v>3321</v>
      </c>
      <c r="CY209" s="228">
        <v>47</v>
      </c>
      <c r="CZ209" s="229">
        <v>1.4E-2</v>
      </c>
      <c r="DA209" s="228">
        <v>32.83</v>
      </c>
      <c r="DB209" s="228">
        <v>32.33</v>
      </c>
      <c r="DC209" s="228">
        <v>0.5</v>
      </c>
      <c r="DD209" s="228">
        <v>0.5</v>
      </c>
      <c r="DE209" s="228">
        <v>38.9</v>
      </c>
      <c r="DF209" s="228">
        <v>38.950000000000003</v>
      </c>
      <c r="DG209" s="228">
        <v>-6.07</v>
      </c>
      <c r="DH209" s="228">
        <v>-0.05</v>
      </c>
      <c r="DI209" s="228">
        <v>32.35</v>
      </c>
      <c r="DJ209" s="228">
        <v>32.31</v>
      </c>
      <c r="DK209" s="228">
        <v>0.04</v>
      </c>
      <c r="DL209" s="228">
        <v>0.04</v>
      </c>
      <c r="DM209" s="228">
        <v>33.93</v>
      </c>
      <c r="DN209" s="228">
        <v>32.36</v>
      </c>
      <c r="DO209" s="228">
        <v>1.57</v>
      </c>
      <c r="DP209" s="228">
        <v>1.57</v>
      </c>
      <c r="DQ209" s="228">
        <v>0.56999999999999995</v>
      </c>
      <c r="DR209" s="228">
        <v>0.54</v>
      </c>
      <c r="DS209" s="228">
        <v>0.03</v>
      </c>
      <c r="DT209" s="229">
        <v>5.5599999999999997E-2</v>
      </c>
      <c r="DU209" s="228">
        <v>500</v>
      </c>
      <c r="DV209" s="228">
        <v>500</v>
      </c>
      <c r="DW209" s="228">
        <v>0.44</v>
      </c>
      <c r="DX209" s="228">
        <v>0.68</v>
      </c>
      <c r="DY209" s="228">
        <v>-0.24</v>
      </c>
      <c r="DZ209" s="229">
        <v>-0.35289999999999999</v>
      </c>
      <c r="EA209" s="229">
        <v>2.29E-2</v>
      </c>
      <c r="EB209" s="230">
        <v>1081575</v>
      </c>
      <c r="EC209" s="229">
        <v>6.3E-3</v>
      </c>
      <c r="ED209" s="229">
        <v>2.29E-2</v>
      </c>
      <c r="EE209" s="228">
        <v>3.26</v>
      </c>
      <c r="EF209" s="229">
        <v>6.3E-3</v>
      </c>
      <c r="EG209" s="230">
        <v>3138267</v>
      </c>
      <c r="EH209" s="230">
        <v>4404085</v>
      </c>
      <c r="EI209" s="229">
        <v>-0.28739999999999999</v>
      </c>
      <c r="EJ209" s="229">
        <v>0.55279999999999996</v>
      </c>
      <c r="EK209" s="228">
        <v>567.51</v>
      </c>
      <c r="EL209" s="228">
        <v>229.31</v>
      </c>
      <c r="EM209" s="228">
        <v>247.87</v>
      </c>
      <c r="EN209" s="228">
        <v>272.95999999999998</v>
      </c>
      <c r="EO209" s="231">
        <v>1044.69</v>
      </c>
      <c r="EP209" s="231">
        <v>1167.75</v>
      </c>
      <c r="EQ209" s="228">
        <v>-123.06</v>
      </c>
      <c r="ER209" s="229">
        <v>-0.10539999999999999</v>
      </c>
      <c r="ES209" s="228">
        <v>591.74</v>
      </c>
      <c r="ET209" s="228">
        <v>308.8</v>
      </c>
      <c r="EU209" s="231">
        <v>2481.35</v>
      </c>
      <c r="EV209" s="231">
        <v>205765243</v>
      </c>
      <c r="EW209" s="231">
        <v>3381.89</v>
      </c>
      <c r="EX209" s="231">
        <v>3372.5</v>
      </c>
      <c r="EY209" s="228">
        <v>9.39</v>
      </c>
      <c r="EZ209" s="229">
        <v>2.8E-3</v>
      </c>
      <c r="FA209" s="229">
        <v>0.3211</v>
      </c>
      <c r="FB209" s="227" t="s">
        <v>566</v>
      </c>
      <c r="FC209">
        <f t="shared" si="4"/>
        <v>0</v>
      </c>
    </row>
    <row r="210" spans="1:159" ht="17.25" thickBot="1" x14ac:dyDescent="0.3">
      <c r="A210" s="226">
        <v>46146</v>
      </c>
      <c r="B210" s="227" t="s">
        <v>227</v>
      </c>
      <c r="C210" s="227" t="s">
        <v>304</v>
      </c>
      <c r="D210" s="228">
        <v>1150</v>
      </c>
      <c r="E210" s="228">
        <v>22</v>
      </c>
      <c r="F210" s="228">
        <v>296</v>
      </c>
      <c r="G210" s="228">
        <v>273.2</v>
      </c>
      <c r="H210" s="228">
        <v>22.8</v>
      </c>
      <c r="I210" s="229">
        <v>8.3500000000000005E-2</v>
      </c>
      <c r="J210" s="228">
        <v>294.64999999999998</v>
      </c>
      <c r="K210" s="228">
        <v>271.55</v>
      </c>
      <c r="L210" s="228">
        <v>23.1</v>
      </c>
      <c r="M210" s="229">
        <v>8.5099999999999995E-2</v>
      </c>
      <c r="N210" s="228">
        <v>296</v>
      </c>
      <c r="O210" s="228">
        <v>273.2</v>
      </c>
      <c r="P210" s="228">
        <v>22.8</v>
      </c>
      <c r="Q210" s="229">
        <v>8.3500000000000005E-2</v>
      </c>
      <c r="R210" s="228">
        <v>297.95</v>
      </c>
      <c r="S210" s="228">
        <v>275.3</v>
      </c>
      <c r="T210" s="228">
        <v>22.65</v>
      </c>
      <c r="U210" s="229">
        <v>8.2299999999999998E-2</v>
      </c>
      <c r="V210" s="228">
        <v>299.10000000000002</v>
      </c>
      <c r="W210" s="228">
        <v>276.10000000000002</v>
      </c>
      <c r="X210" s="228">
        <v>23</v>
      </c>
      <c r="Y210" s="229">
        <v>8.3299999999999999E-2</v>
      </c>
      <c r="Z210" s="228">
        <v>1.35</v>
      </c>
      <c r="AA210" s="228">
        <v>1.65</v>
      </c>
      <c r="AB210" s="228">
        <v>-0.3</v>
      </c>
      <c r="AC210" s="229">
        <v>4.5999999999999999E-3</v>
      </c>
      <c r="AD210" s="228">
        <v>1.35</v>
      </c>
      <c r="AE210" s="228">
        <v>1.65</v>
      </c>
      <c r="AF210" s="228">
        <v>-0.3</v>
      </c>
      <c r="AG210" s="229">
        <v>4.5999999999999999E-3</v>
      </c>
      <c r="AH210" s="228">
        <v>3.3</v>
      </c>
      <c r="AI210" s="228">
        <v>3.75</v>
      </c>
      <c r="AJ210" s="228">
        <v>-0.45</v>
      </c>
      <c r="AK210" s="229">
        <v>1.12E-2</v>
      </c>
      <c r="AL210" s="228">
        <v>4.45</v>
      </c>
      <c r="AM210" s="228">
        <v>4.55</v>
      </c>
      <c r="AN210" s="228">
        <v>-0.1</v>
      </c>
      <c r="AO210" s="229">
        <v>1.5100000000000001E-2</v>
      </c>
      <c r="AP210" s="228">
        <v>291.19</v>
      </c>
      <c r="AQ210" s="228">
        <v>292.47000000000003</v>
      </c>
      <c r="AR210" s="228">
        <v>0</v>
      </c>
      <c r="AS210" s="228">
        <v>920</v>
      </c>
      <c r="AT210" s="228">
        <v>819</v>
      </c>
      <c r="AU210" s="228">
        <v>102</v>
      </c>
      <c r="AV210" s="229">
        <v>0.1242</v>
      </c>
      <c r="AW210" s="228">
        <v>863</v>
      </c>
      <c r="AX210" s="228">
        <v>801</v>
      </c>
      <c r="AY210" s="228">
        <v>63</v>
      </c>
      <c r="AZ210" s="229">
        <v>7.85E-2</v>
      </c>
      <c r="BA210" s="228">
        <v>43</v>
      </c>
      <c r="BB210" s="228">
        <v>14</v>
      </c>
      <c r="BC210" s="228">
        <v>28</v>
      </c>
      <c r="BD210" s="229">
        <v>1.9597</v>
      </c>
      <c r="BE210" s="228">
        <v>14</v>
      </c>
      <c r="BF210" s="228">
        <v>4</v>
      </c>
      <c r="BG210" s="228">
        <v>11</v>
      </c>
      <c r="BH210" s="229">
        <v>2.9809999999999999</v>
      </c>
      <c r="BI210" s="230">
        <v>4547</v>
      </c>
      <c r="BJ210" s="230">
        <v>1459</v>
      </c>
      <c r="BK210" s="230">
        <v>3088</v>
      </c>
      <c r="BL210" s="229">
        <v>2.117</v>
      </c>
      <c r="BM210" s="230">
        <v>1363</v>
      </c>
      <c r="BN210" s="228">
        <v>837</v>
      </c>
      <c r="BO210" s="228">
        <v>526</v>
      </c>
      <c r="BP210" s="229">
        <v>0.62819999999999998</v>
      </c>
      <c r="BQ210" s="230">
        <v>6830</v>
      </c>
      <c r="BR210" s="230">
        <v>3114</v>
      </c>
      <c r="BS210" s="230">
        <v>3715</v>
      </c>
      <c r="BT210" s="229">
        <v>1.1931</v>
      </c>
      <c r="BU210" s="230">
        <v>92116248</v>
      </c>
      <c r="BV210" s="230">
        <v>77151197</v>
      </c>
      <c r="BW210" s="230">
        <v>14965051</v>
      </c>
      <c r="BX210" s="229">
        <v>0.19400000000000001</v>
      </c>
      <c r="BY210" s="228">
        <v>649</v>
      </c>
      <c r="BZ210" s="228">
        <v>421</v>
      </c>
      <c r="CA210" s="228">
        <v>228</v>
      </c>
      <c r="CB210" s="229">
        <v>0.54290000000000005</v>
      </c>
      <c r="CC210" s="228">
        <v>620</v>
      </c>
      <c r="CD210" s="228">
        <v>410</v>
      </c>
      <c r="CE210" s="228">
        <v>211</v>
      </c>
      <c r="CF210" s="229">
        <v>0.51390000000000002</v>
      </c>
      <c r="CG210" s="228">
        <v>19</v>
      </c>
      <c r="CH210" s="228">
        <v>8</v>
      </c>
      <c r="CI210" s="228">
        <v>11</v>
      </c>
      <c r="CJ210" s="229">
        <v>1.3792</v>
      </c>
      <c r="CK210" s="228">
        <v>9</v>
      </c>
      <c r="CL210" s="228">
        <v>3</v>
      </c>
      <c r="CM210" s="228">
        <v>7</v>
      </c>
      <c r="CN210" s="229">
        <v>2.4487000000000001</v>
      </c>
      <c r="CO210" s="228">
        <v>739</v>
      </c>
      <c r="CP210" s="228">
        <v>482</v>
      </c>
      <c r="CQ210" s="228">
        <v>257</v>
      </c>
      <c r="CR210" s="229">
        <v>0.53380000000000005</v>
      </c>
      <c r="CS210" s="228">
        <v>372</v>
      </c>
      <c r="CT210" s="228">
        <v>208</v>
      </c>
      <c r="CU210" s="228">
        <v>164</v>
      </c>
      <c r="CV210" s="229">
        <v>0.79120000000000001</v>
      </c>
      <c r="CW210" s="230">
        <v>1760</v>
      </c>
      <c r="CX210" s="230">
        <v>1110</v>
      </c>
      <c r="CY210" s="228">
        <v>650</v>
      </c>
      <c r="CZ210" s="229">
        <v>0.58540000000000003</v>
      </c>
      <c r="DA210" s="228">
        <v>50.18</v>
      </c>
      <c r="DB210" s="228">
        <v>47.89</v>
      </c>
      <c r="DC210" s="228">
        <v>2.29</v>
      </c>
      <c r="DD210" s="228">
        <v>2.29</v>
      </c>
      <c r="DE210" s="228">
        <v>43.1</v>
      </c>
      <c r="DF210" s="228">
        <v>41.82</v>
      </c>
      <c r="DG210" s="228">
        <v>7.08</v>
      </c>
      <c r="DH210" s="228">
        <v>1.28</v>
      </c>
      <c r="DI210" s="228">
        <v>50.14</v>
      </c>
      <c r="DJ210" s="228">
        <v>49.54</v>
      </c>
      <c r="DK210" s="228">
        <v>0.6</v>
      </c>
      <c r="DL210" s="228">
        <v>0.6</v>
      </c>
      <c r="DM210" s="228">
        <v>50.31</v>
      </c>
      <c r="DN210" s="228">
        <v>45.02</v>
      </c>
      <c r="DO210" s="228">
        <v>5.29</v>
      </c>
      <c r="DP210" s="228">
        <v>5.29</v>
      </c>
      <c r="DQ210" s="228">
        <v>0.5</v>
      </c>
      <c r="DR210" s="228">
        <v>0.43</v>
      </c>
      <c r="DS210" s="228">
        <v>7.0000000000000007E-2</v>
      </c>
      <c r="DT210" s="229">
        <v>0.1628</v>
      </c>
      <c r="DU210" s="228">
        <v>300</v>
      </c>
      <c r="DV210" s="228">
        <v>280</v>
      </c>
      <c r="DW210" s="228">
        <v>0.3</v>
      </c>
      <c r="DX210" s="228">
        <v>0.56999999999999995</v>
      </c>
      <c r="DY210" s="228">
        <v>-0.27</v>
      </c>
      <c r="DZ210" s="229">
        <v>-0.47370000000000001</v>
      </c>
      <c r="EA210" s="229">
        <v>4.41E-2</v>
      </c>
      <c r="EB210" s="230">
        <v>365700</v>
      </c>
      <c r="EC210" s="229">
        <v>6.6E-3</v>
      </c>
      <c r="ED210" s="229">
        <v>4.41E-2</v>
      </c>
      <c r="EE210" s="228">
        <v>1.28</v>
      </c>
      <c r="EF210" s="229">
        <v>4.4000000000000003E-3</v>
      </c>
      <c r="EG210" s="230">
        <v>29384415</v>
      </c>
      <c r="EH210" s="230">
        <v>38888031</v>
      </c>
      <c r="EI210" s="229">
        <v>-0.24440000000000001</v>
      </c>
      <c r="EJ210" s="229">
        <v>0.31900000000000001</v>
      </c>
      <c r="EK210" s="231">
        <v>4873.66</v>
      </c>
      <c r="EL210" s="231">
        <v>1290.53</v>
      </c>
      <c r="EM210" s="228">
        <v>905.63</v>
      </c>
      <c r="EN210" s="228">
        <v>208.33</v>
      </c>
      <c r="EO210" s="231">
        <v>7069.82</v>
      </c>
      <c r="EP210" s="231">
        <v>3061.77</v>
      </c>
      <c r="EQ210" s="231">
        <v>4008.05</v>
      </c>
      <c r="ER210" s="229">
        <v>1.3090999999999999</v>
      </c>
      <c r="ES210" s="228">
        <v>777.28</v>
      </c>
      <c r="ET210" s="228">
        <v>336.05</v>
      </c>
      <c r="EU210" s="228">
        <v>649.26</v>
      </c>
      <c r="EV210" s="231">
        <v>255495438</v>
      </c>
      <c r="EW210" s="231">
        <v>1762.6</v>
      </c>
      <c r="EX210" s="231">
        <v>1067.93</v>
      </c>
      <c r="EY210" s="228">
        <v>694.67</v>
      </c>
      <c r="EZ210" s="229">
        <v>0.65049999999999997</v>
      </c>
      <c r="FA210" s="229">
        <v>0.23269999999999999</v>
      </c>
      <c r="FB210" s="227" t="s">
        <v>555</v>
      </c>
      <c r="FC210">
        <f t="shared" si="4"/>
        <v>0</v>
      </c>
    </row>
    <row r="211" spans="1:159" ht="17.25" thickBot="1" x14ac:dyDescent="0.3">
      <c r="A211" s="226">
        <v>46146</v>
      </c>
      <c r="B211" s="227" t="s">
        <v>614</v>
      </c>
      <c r="C211" s="227" t="s">
        <v>695</v>
      </c>
      <c r="D211" s="228">
        <v>4850</v>
      </c>
      <c r="E211" s="228">
        <v>22</v>
      </c>
      <c r="F211" s="228">
        <v>126.2</v>
      </c>
      <c r="G211" s="228">
        <v>123.03</v>
      </c>
      <c r="H211" s="228">
        <v>3.17</v>
      </c>
      <c r="I211" s="229">
        <v>2.58E-2</v>
      </c>
      <c r="J211" s="228">
        <v>125.29</v>
      </c>
      <c r="K211" s="228">
        <v>122.29</v>
      </c>
      <c r="L211" s="228">
        <v>3</v>
      </c>
      <c r="M211" s="229">
        <v>2.4500000000000001E-2</v>
      </c>
      <c r="N211" s="228">
        <v>126.2</v>
      </c>
      <c r="O211" s="228">
        <v>123.03</v>
      </c>
      <c r="P211" s="228">
        <v>3.17</v>
      </c>
      <c r="Q211" s="229">
        <v>2.58E-2</v>
      </c>
      <c r="R211" s="228">
        <v>126.85</v>
      </c>
      <c r="S211" s="228">
        <v>123.58</v>
      </c>
      <c r="T211" s="228">
        <v>3.27</v>
      </c>
      <c r="U211" s="229">
        <v>2.6499999999999999E-2</v>
      </c>
      <c r="V211" s="228">
        <v>122.7</v>
      </c>
      <c r="W211" s="228">
        <v>122.7</v>
      </c>
      <c r="X211" s="228">
        <v>0</v>
      </c>
      <c r="Y211" s="229">
        <v>0</v>
      </c>
      <c r="Z211" s="228">
        <v>0.91</v>
      </c>
      <c r="AA211" s="228">
        <v>0.74</v>
      </c>
      <c r="AB211" s="228">
        <v>0.17</v>
      </c>
      <c r="AC211" s="229">
        <v>7.3000000000000001E-3</v>
      </c>
      <c r="AD211" s="228">
        <v>0.91</v>
      </c>
      <c r="AE211" s="228">
        <v>0.74</v>
      </c>
      <c r="AF211" s="228">
        <v>0.17</v>
      </c>
      <c r="AG211" s="229">
        <v>7.3000000000000001E-3</v>
      </c>
      <c r="AH211" s="228">
        <v>1.56</v>
      </c>
      <c r="AI211" s="228">
        <v>1.29</v>
      </c>
      <c r="AJ211" s="228">
        <v>0.27</v>
      </c>
      <c r="AK211" s="229">
        <v>1.2500000000000001E-2</v>
      </c>
      <c r="AL211" s="228">
        <v>-2.59</v>
      </c>
      <c r="AM211" s="228">
        <v>0.41</v>
      </c>
      <c r="AN211" s="228">
        <v>-3</v>
      </c>
      <c r="AO211" s="229">
        <v>-2.07E-2</v>
      </c>
      <c r="AP211" s="228">
        <v>125.38</v>
      </c>
      <c r="AQ211" s="228">
        <v>125.31</v>
      </c>
      <c r="AR211" s="228">
        <v>0</v>
      </c>
      <c r="AS211" s="228">
        <v>44</v>
      </c>
      <c r="AT211" s="228">
        <v>50</v>
      </c>
      <c r="AU211" s="228">
        <v>-6</v>
      </c>
      <c r="AV211" s="229">
        <v>-0.1164</v>
      </c>
      <c r="AW211" s="228">
        <v>42</v>
      </c>
      <c r="AX211" s="228">
        <v>46</v>
      </c>
      <c r="AY211" s="228">
        <v>-4</v>
      </c>
      <c r="AZ211" s="229">
        <v>-9.0899999999999995E-2</v>
      </c>
      <c r="BA211" s="228">
        <v>3</v>
      </c>
      <c r="BB211" s="228">
        <v>4</v>
      </c>
      <c r="BC211" s="228">
        <v>-2</v>
      </c>
      <c r="BD211" s="229">
        <v>-0.3881</v>
      </c>
      <c r="BE211" s="228">
        <v>0</v>
      </c>
      <c r="BF211" s="228">
        <v>0</v>
      </c>
      <c r="BG211" s="228">
        <v>0</v>
      </c>
      <c r="BH211" s="229">
        <v>-1</v>
      </c>
      <c r="BI211" s="228">
        <v>65</v>
      </c>
      <c r="BJ211" s="228">
        <v>22</v>
      </c>
      <c r="BK211" s="228">
        <v>42</v>
      </c>
      <c r="BL211" s="229">
        <v>1.8718999999999999</v>
      </c>
      <c r="BM211" s="228">
        <v>12</v>
      </c>
      <c r="BN211" s="228">
        <v>7</v>
      </c>
      <c r="BO211" s="228">
        <v>5</v>
      </c>
      <c r="BP211" s="229">
        <v>0.62709999999999999</v>
      </c>
      <c r="BQ211" s="228">
        <v>120</v>
      </c>
      <c r="BR211" s="228">
        <v>80</v>
      </c>
      <c r="BS211" s="228">
        <v>41</v>
      </c>
      <c r="BT211" s="229">
        <v>0.51190000000000002</v>
      </c>
      <c r="BU211" s="230">
        <v>4764473</v>
      </c>
      <c r="BV211" s="230">
        <v>6237821</v>
      </c>
      <c r="BW211" s="230">
        <v>-1473348</v>
      </c>
      <c r="BX211" s="229">
        <v>-0.23619999999999999</v>
      </c>
      <c r="BY211" s="228">
        <v>355</v>
      </c>
      <c r="BZ211" s="228">
        <v>347</v>
      </c>
      <c r="CA211" s="228">
        <v>9</v>
      </c>
      <c r="CB211" s="229">
        <v>2.52E-2</v>
      </c>
      <c r="CC211" s="228">
        <v>350</v>
      </c>
      <c r="CD211" s="228">
        <v>342</v>
      </c>
      <c r="CE211" s="228">
        <v>8</v>
      </c>
      <c r="CF211" s="229">
        <v>2.3400000000000001E-2</v>
      </c>
      <c r="CG211" s="228">
        <v>5</v>
      </c>
      <c r="CH211" s="228">
        <v>4</v>
      </c>
      <c r="CI211" s="228">
        <v>1</v>
      </c>
      <c r="CJ211" s="229">
        <v>0.18179999999999999</v>
      </c>
      <c r="CK211" s="228">
        <v>1</v>
      </c>
      <c r="CL211" s="228">
        <v>1</v>
      </c>
      <c r="CM211" s="228">
        <v>0</v>
      </c>
      <c r="CN211" s="229">
        <v>0</v>
      </c>
      <c r="CO211" s="228">
        <v>39</v>
      </c>
      <c r="CP211" s="228">
        <v>30</v>
      </c>
      <c r="CQ211" s="228">
        <v>10</v>
      </c>
      <c r="CR211" s="229">
        <v>0.32569999999999999</v>
      </c>
      <c r="CS211" s="228">
        <v>19</v>
      </c>
      <c r="CT211" s="228">
        <v>17</v>
      </c>
      <c r="CU211" s="228">
        <v>2</v>
      </c>
      <c r="CV211" s="229">
        <v>0.12</v>
      </c>
      <c r="CW211" s="228">
        <v>413</v>
      </c>
      <c r="CX211" s="228">
        <v>393</v>
      </c>
      <c r="CY211" s="228">
        <v>20</v>
      </c>
      <c r="CZ211" s="229">
        <v>5.1900000000000002E-2</v>
      </c>
      <c r="DA211" s="228">
        <v>41.25</v>
      </c>
      <c r="DB211" s="228">
        <v>41.9</v>
      </c>
      <c r="DC211" s="228">
        <v>-0.65</v>
      </c>
      <c r="DD211" s="228">
        <v>-0.65</v>
      </c>
      <c r="DE211" s="228">
        <v>38.18</v>
      </c>
      <c r="DF211" s="228">
        <v>38.14</v>
      </c>
      <c r="DG211" s="228">
        <v>3.07</v>
      </c>
      <c r="DH211" s="228">
        <v>0.04</v>
      </c>
      <c r="DI211" s="228">
        <v>40.96</v>
      </c>
      <c r="DJ211" s="228">
        <v>41.71</v>
      </c>
      <c r="DK211" s="228">
        <v>-0.75</v>
      </c>
      <c r="DL211" s="228">
        <v>-0.75</v>
      </c>
      <c r="DM211" s="228">
        <v>42.81</v>
      </c>
      <c r="DN211" s="228">
        <v>42.46</v>
      </c>
      <c r="DO211" s="228">
        <v>0.35</v>
      </c>
      <c r="DP211" s="228">
        <v>0.35</v>
      </c>
      <c r="DQ211" s="228">
        <v>0.48</v>
      </c>
      <c r="DR211" s="228">
        <v>0.56999999999999995</v>
      </c>
      <c r="DS211" s="228">
        <v>-0.09</v>
      </c>
      <c r="DT211" s="229">
        <v>-0.15790000000000001</v>
      </c>
      <c r="DU211" s="228">
        <v>130</v>
      </c>
      <c r="DV211" s="228">
        <v>120</v>
      </c>
      <c r="DW211" s="228">
        <v>0.18</v>
      </c>
      <c r="DX211" s="228">
        <v>0.32</v>
      </c>
      <c r="DY211" s="228">
        <v>-0.14000000000000001</v>
      </c>
      <c r="DZ211" s="229">
        <v>-0.4375</v>
      </c>
      <c r="EA211" s="229">
        <v>1.5299999999999999E-2</v>
      </c>
      <c r="EB211" s="230">
        <v>373450</v>
      </c>
      <c r="EC211" s="229">
        <v>5.1999999999999998E-3</v>
      </c>
      <c r="ED211" s="229">
        <v>1.5299999999999999E-2</v>
      </c>
      <c r="EE211" s="228">
        <v>-7.0000000000000007E-2</v>
      </c>
      <c r="EF211" s="229">
        <v>-5.9999999999999995E-4</v>
      </c>
      <c r="EG211" s="230">
        <v>1934346</v>
      </c>
      <c r="EH211" s="230">
        <v>2781140</v>
      </c>
      <c r="EI211" s="229">
        <v>-0.30449999999999999</v>
      </c>
      <c r="EJ211" s="229">
        <v>0.40600000000000003</v>
      </c>
      <c r="EK211" s="228">
        <v>67.599999999999994</v>
      </c>
      <c r="EL211" s="228">
        <v>11.69</v>
      </c>
      <c r="EM211" s="228">
        <v>43.84</v>
      </c>
      <c r="EN211" s="228">
        <v>28.38</v>
      </c>
      <c r="EO211" s="228">
        <v>123.13</v>
      </c>
      <c r="EP211" s="228">
        <v>78.760000000000005</v>
      </c>
      <c r="EQ211" s="228">
        <v>44.37</v>
      </c>
      <c r="ER211" s="229">
        <v>0.56330000000000002</v>
      </c>
      <c r="ES211" s="228">
        <v>40.03</v>
      </c>
      <c r="ET211" s="228">
        <v>18.47</v>
      </c>
      <c r="EU211" s="228">
        <v>355.43</v>
      </c>
      <c r="EV211" s="231">
        <v>321828727</v>
      </c>
      <c r="EW211" s="228">
        <v>413.93</v>
      </c>
      <c r="EX211" s="228">
        <v>384.68</v>
      </c>
      <c r="EY211" s="228">
        <v>29.25</v>
      </c>
      <c r="EZ211" s="229">
        <v>7.5999999999999998E-2</v>
      </c>
      <c r="FA211" s="229">
        <v>0.1018</v>
      </c>
      <c r="FB211" s="227" t="s">
        <v>555</v>
      </c>
      <c r="FC211">
        <f t="shared" si="4"/>
        <v>0</v>
      </c>
    </row>
    <row r="212" spans="1:159" ht="17.25" thickBot="1" x14ac:dyDescent="0.3">
      <c r="A212" s="226">
        <v>46146</v>
      </c>
      <c r="B212" s="227" t="s">
        <v>184</v>
      </c>
      <c r="C212" s="227" t="s">
        <v>305</v>
      </c>
      <c r="D212" s="228">
        <v>375</v>
      </c>
      <c r="E212" s="228">
        <v>22</v>
      </c>
      <c r="F212" s="231">
        <v>1455.3</v>
      </c>
      <c r="G212" s="231">
        <v>1434</v>
      </c>
      <c r="H212" s="228">
        <v>21.3</v>
      </c>
      <c r="I212" s="229">
        <v>1.49E-2</v>
      </c>
      <c r="J212" s="231">
        <v>1454.2</v>
      </c>
      <c r="K212" s="231">
        <v>1430.4</v>
      </c>
      <c r="L212" s="228">
        <v>23.8</v>
      </c>
      <c r="M212" s="229">
        <v>1.66E-2</v>
      </c>
      <c r="N212" s="231">
        <v>1455.3</v>
      </c>
      <c r="O212" s="231">
        <v>1434</v>
      </c>
      <c r="P212" s="228">
        <v>21.3</v>
      </c>
      <c r="Q212" s="229">
        <v>1.49E-2</v>
      </c>
      <c r="R212" s="231">
        <v>1440</v>
      </c>
      <c r="S212" s="231">
        <v>1419.2</v>
      </c>
      <c r="T212" s="228">
        <v>20.8</v>
      </c>
      <c r="U212" s="229">
        <v>1.47E-2</v>
      </c>
      <c r="V212" s="231">
        <v>1430</v>
      </c>
      <c r="W212" s="231">
        <v>1411.7</v>
      </c>
      <c r="X212" s="228">
        <v>18.3</v>
      </c>
      <c r="Y212" s="229">
        <v>1.2999999999999999E-2</v>
      </c>
      <c r="Z212" s="228">
        <v>1.1000000000000001</v>
      </c>
      <c r="AA212" s="228">
        <v>3.6</v>
      </c>
      <c r="AB212" s="228">
        <v>-2.5</v>
      </c>
      <c r="AC212" s="229">
        <v>8.0000000000000004E-4</v>
      </c>
      <c r="AD212" s="228">
        <v>1.1000000000000001</v>
      </c>
      <c r="AE212" s="228">
        <v>3.6</v>
      </c>
      <c r="AF212" s="228">
        <v>-2.5</v>
      </c>
      <c r="AG212" s="229">
        <v>8.0000000000000004E-4</v>
      </c>
      <c r="AH212" s="228">
        <v>-14.2</v>
      </c>
      <c r="AI212" s="228">
        <v>-11.2</v>
      </c>
      <c r="AJ212" s="228">
        <v>-3</v>
      </c>
      <c r="AK212" s="229">
        <v>-9.7999999999999997E-3</v>
      </c>
      <c r="AL212" s="228">
        <v>-24.2</v>
      </c>
      <c r="AM212" s="228">
        <v>-18.7</v>
      </c>
      <c r="AN212" s="228">
        <v>-5.5</v>
      </c>
      <c r="AO212" s="229">
        <v>-1.66E-2</v>
      </c>
      <c r="AP212" s="231">
        <v>1441.69</v>
      </c>
      <c r="AQ212" s="231">
        <v>1428.35</v>
      </c>
      <c r="AR212" s="228">
        <v>0</v>
      </c>
      <c r="AS212" s="228">
        <v>209</v>
      </c>
      <c r="AT212" s="228">
        <v>232</v>
      </c>
      <c r="AU212" s="228">
        <v>-22</v>
      </c>
      <c r="AV212" s="229">
        <v>-9.6600000000000005E-2</v>
      </c>
      <c r="AW212" s="228">
        <v>195</v>
      </c>
      <c r="AX212" s="228">
        <v>217</v>
      </c>
      <c r="AY212" s="228">
        <v>-21</v>
      </c>
      <c r="AZ212" s="229">
        <v>-9.7799999999999998E-2</v>
      </c>
      <c r="BA212" s="228">
        <v>13</v>
      </c>
      <c r="BB212" s="228">
        <v>14</v>
      </c>
      <c r="BC212" s="228">
        <v>-1</v>
      </c>
      <c r="BD212" s="229">
        <v>-8.3000000000000004E-2</v>
      </c>
      <c r="BE212" s="228">
        <v>1</v>
      </c>
      <c r="BF212" s="228">
        <v>1</v>
      </c>
      <c r="BG212" s="228">
        <v>0</v>
      </c>
      <c r="BH212" s="229">
        <v>0</v>
      </c>
      <c r="BI212" s="228">
        <v>477</v>
      </c>
      <c r="BJ212" s="228">
        <v>469</v>
      </c>
      <c r="BK212" s="228">
        <v>7</v>
      </c>
      <c r="BL212" s="229">
        <v>1.5699999999999999E-2</v>
      </c>
      <c r="BM212" s="228">
        <v>176</v>
      </c>
      <c r="BN212" s="228">
        <v>260</v>
      </c>
      <c r="BO212" s="228">
        <v>-84</v>
      </c>
      <c r="BP212" s="229">
        <v>-0.3221</v>
      </c>
      <c r="BQ212" s="228">
        <v>862</v>
      </c>
      <c r="BR212" s="228">
        <v>961</v>
      </c>
      <c r="BS212" s="228">
        <v>-99</v>
      </c>
      <c r="BT212" s="229">
        <v>-0.1027</v>
      </c>
      <c r="BU212" s="230">
        <v>525162</v>
      </c>
      <c r="BV212" s="230">
        <v>1388284</v>
      </c>
      <c r="BW212" s="230">
        <v>-863122</v>
      </c>
      <c r="BX212" s="229">
        <v>-0.62170000000000003</v>
      </c>
      <c r="BY212" s="230">
        <v>1461</v>
      </c>
      <c r="BZ212" s="230">
        <v>1472</v>
      </c>
      <c r="CA212" s="228">
        <v>-11</v>
      </c>
      <c r="CB212" s="229">
        <v>-7.7000000000000002E-3</v>
      </c>
      <c r="CC212" s="230">
        <v>1424</v>
      </c>
      <c r="CD212" s="230">
        <v>1436</v>
      </c>
      <c r="CE212" s="228">
        <v>-12</v>
      </c>
      <c r="CF212" s="229">
        <v>-8.6999999999999994E-3</v>
      </c>
      <c r="CG212" s="228">
        <v>34</v>
      </c>
      <c r="CH212" s="228">
        <v>33</v>
      </c>
      <c r="CI212" s="228">
        <v>1</v>
      </c>
      <c r="CJ212" s="229">
        <v>1.6500000000000001E-2</v>
      </c>
      <c r="CK212" s="228">
        <v>3</v>
      </c>
      <c r="CL212" s="228">
        <v>3</v>
      </c>
      <c r="CM212" s="228">
        <v>0</v>
      </c>
      <c r="CN212" s="229">
        <v>0.1915</v>
      </c>
      <c r="CO212" s="228">
        <v>355</v>
      </c>
      <c r="CP212" s="228">
        <v>338</v>
      </c>
      <c r="CQ212" s="228">
        <v>16</v>
      </c>
      <c r="CR212" s="229">
        <v>4.8099999999999997E-2</v>
      </c>
      <c r="CS212" s="228">
        <v>253</v>
      </c>
      <c r="CT212" s="228">
        <v>246</v>
      </c>
      <c r="CU212" s="228">
        <v>7</v>
      </c>
      <c r="CV212" s="229">
        <v>3.0200000000000001E-2</v>
      </c>
      <c r="CW212" s="230">
        <v>2068</v>
      </c>
      <c r="CX212" s="230">
        <v>2056</v>
      </c>
      <c r="CY212" s="228">
        <v>12</v>
      </c>
      <c r="CZ212" s="229">
        <v>6.0000000000000001E-3</v>
      </c>
      <c r="DA212" s="228">
        <v>44.88</v>
      </c>
      <c r="DB212" s="228">
        <v>43.72</v>
      </c>
      <c r="DC212" s="228">
        <v>1.1599999999999999</v>
      </c>
      <c r="DD212" s="228">
        <v>1.1599999999999999</v>
      </c>
      <c r="DE212" s="228">
        <v>39.97</v>
      </c>
      <c r="DF212" s="228">
        <v>40.020000000000003</v>
      </c>
      <c r="DG212" s="228">
        <v>4.91</v>
      </c>
      <c r="DH212" s="228">
        <v>-0.05</v>
      </c>
      <c r="DI212" s="228">
        <v>44.84</v>
      </c>
      <c r="DJ212" s="228">
        <v>43.87</v>
      </c>
      <c r="DK212" s="228">
        <v>0.97</v>
      </c>
      <c r="DL212" s="228">
        <v>0.97</v>
      </c>
      <c r="DM212" s="228">
        <v>45.01</v>
      </c>
      <c r="DN212" s="228">
        <v>43.46</v>
      </c>
      <c r="DO212" s="228">
        <v>1.55</v>
      </c>
      <c r="DP212" s="228">
        <v>1.55</v>
      </c>
      <c r="DQ212" s="228">
        <v>0.71</v>
      </c>
      <c r="DR212" s="228">
        <v>0.73</v>
      </c>
      <c r="DS212" s="228">
        <v>-0.02</v>
      </c>
      <c r="DT212" s="229">
        <v>-2.7400000000000001E-2</v>
      </c>
      <c r="DU212" s="231">
        <v>1500</v>
      </c>
      <c r="DV212" s="231">
        <v>1400</v>
      </c>
      <c r="DW212" s="228">
        <v>0.37</v>
      </c>
      <c r="DX212" s="228">
        <v>0.55000000000000004</v>
      </c>
      <c r="DY212" s="228">
        <v>-0.18</v>
      </c>
      <c r="DZ212" s="229">
        <v>-0.32729999999999998</v>
      </c>
      <c r="EA212" s="229">
        <v>2.5100000000000001E-2</v>
      </c>
      <c r="EB212" s="230">
        <v>245250</v>
      </c>
      <c r="EC212" s="229">
        <v>-1.0500000000000001E-2</v>
      </c>
      <c r="ED212" s="229">
        <v>2.5100000000000001E-2</v>
      </c>
      <c r="EE212" s="228">
        <v>-13.34</v>
      </c>
      <c r="EF212" s="229">
        <v>-9.2999999999999992E-3</v>
      </c>
      <c r="EG212" s="230">
        <v>102325</v>
      </c>
      <c r="EH212" s="230">
        <v>705284</v>
      </c>
      <c r="EI212" s="229">
        <v>-0.85489999999999999</v>
      </c>
      <c r="EJ212" s="229">
        <v>0.1948</v>
      </c>
      <c r="EK212" s="228">
        <v>510.82</v>
      </c>
      <c r="EL212" s="228">
        <v>172.73</v>
      </c>
      <c r="EM212" s="228">
        <v>207.26</v>
      </c>
      <c r="EN212" s="228">
        <v>110.11</v>
      </c>
      <c r="EO212" s="228">
        <v>890.81</v>
      </c>
      <c r="EP212" s="228">
        <v>985.49</v>
      </c>
      <c r="EQ212" s="228">
        <v>-94.68</v>
      </c>
      <c r="ER212" s="229">
        <v>-9.6100000000000005E-2</v>
      </c>
      <c r="ES212" s="228">
        <v>373.97</v>
      </c>
      <c r="ET212" s="228">
        <v>239.01</v>
      </c>
      <c r="EU212" s="231">
        <v>1460.2</v>
      </c>
      <c r="EV212" s="231">
        <v>25134629</v>
      </c>
      <c r="EW212" s="231">
        <v>2073.19</v>
      </c>
      <c r="EX212" s="231">
        <v>2038.65</v>
      </c>
      <c r="EY212" s="228">
        <v>34.54</v>
      </c>
      <c r="EZ212" s="229">
        <v>1.6899999999999998E-2</v>
      </c>
      <c r="FA212" s="229">
        <v>0.56540000000000001</v>
      </c>
      <c r="FB212" s="227" t="s">
        <v>691</v>
      </c>
      <c r="FC212">
        <f t="shared" si="4"/>
        <v>0</v>
      </c>
    </row>
    <row r="213" spans="1:159" ht="17.25" thickBot="1" x14ac:dyDescent="0.3">
      <c r="A213" s="226">
        <v>46146</v>
      </c>
      <c r="B213" s="227" t="s">
        <v>184</v>
      </c>
      <c r="C213" s="227" t="s">
        <v>688</v>
      </c>
      <c r="D213" s="228">
        <v>175</v>
      </c>
      <c r="E213" s="228">
        <v>22</v>
      </c>
      <c r="F213" s="231">
        <v>3145</v>
      </c>
      <c r="G213" s="231">
        <v>3133.4</v>
      </c>
      <c r="H213" s="228">
        <v>11.6</v>
      </c>
      <c r="I213" s="229">
        <v>3.7000000000000002E-3</v>
      </c>
      <c r="J213" s="231">
        <v>3136.3</v>
      </c>
      <c r="K213" s="231">
        <v>3118.8</v>
      </c>
      <c r="L213" s="228">
        <v>17.5</v>
      </c>
      <c r="M213" s="229">
        <v>5.5999999999999999E-3</v>
      </c>
      <c r="N213" s="231">
        <v>3145</v>
      </c>
      <c r="O213" s="231">
        <v>3133.4</v>
      </c>
      <c r="P213" s="228">
        <v>11.6</v>
      </c>
      <c r="Q213" s="229">
        <v>3.7000000000000002E-3</v>
      </c>
      <c r="R213" s="231">
        <v>3162.1</v>
      </c>
      <c r="S213" s="231">
        <v>3143.9</v>
      </c>
      <c r="T213" s="228">
        <v>18.2</v>
      </c>
      <c r="U213" s="229">
        <v>5.7999999999999996E-3</v>
      </c>
      <c r="V213" s="231">
        <v>3175.6</v>
      </c>
      <c r="W213" s="231">
        <v>3162.9</v>
      </c>
      <c r="X213" s="228">
        <v>12.7</v>
      </c>
      <c r="Y213" s="229">
        <v>4.0000000000000001E-3</v>
      </c>
      <c r="Z213" s="228">
        <v>8.6999999999999993</v>
      </c>
      <c r="AA213" s="228">
        <v>14.6</v>
      </c>
      <c r="AB213" s="228">
        <v>-5.9</v>
      </c>
      <c r="AC213" s="229">
        <v>2.8E-3</v>
      </c>
      <c r="AD213" s="228">
        <v>8.6999999999999993</v>
      </c>
      <c r="AE213" s="228">
        <v>14.6</v>
      </c>
      <c r="AF213" s="228">
        <v>-5.9</v>
      </c>
      <c r="AG213" s="229">
        <v>2.8E-3</v>
      </c>
      <c r="AH213" s="228">
        <v>25.8</v>
      </c>
      <c r="AI213" s="228">
        <v>25.1</v>
      </c>
      <c r="AJ213" s="228">
        <v>0.7</v>
      </c>
      <c r="AK213" s="229">
        <v>8.2000000000000007E-3</v>
      </c>
      <c r="AL213" s="228">
        <v>39.299999999999997</v>
      </c>
      <c r="AM213" s="228">
        <v>44.1</v>
      </c>
      <c r="AN213" s="228">
        <v>-4.8</v>
      </c>
      <c r="AO213" s="229">
        <v>1.2500000000000001E-2</v>
      </c>
      <c r="AP213" s="231">
        <v>3136.83</v>
      </c>
      <c r="AQ213" s="231">
        <v>3154.95</v>
      </c>
      <c r="AR213" s="228">
        <v>0</v>
      </c>
      <c r="AS213" s="228">
        <v>414</v>
      </c>
      <c r="AT213" s="230">
        <v>1982</v>
      </c>
      <c r="AU213" s="230">
        <v>-1568</v>
      </c>
      <c r="AV213" s="229">
        <v>-0.7913</v>
      </c>
      <c r="AW213" s="228">
        <v>393</v>
      </c>
      <c r="AX213" s="230">
        <v>1912</v>
      </c>
      <c r="AY213" s="230">
        <v>-1519</v>
      </c>
      <c r="AZ213" s="229">
        <v>-0.79449999999999998</v>
      </c>
      <c r="BA213" s="228">
        <v>18</v>
      </c>
      <c r="BB213" s="228">
        <v>64</v>
      </c>
      <c r="BC213" s="228">
        <v>-45</v>
      </c>
      <c r="BD213" s="229">
        <v>-0.71050000000000002</v>
      </c>
      <c r="BE213" s="228">
        <v>2</v>
      </c>
      <c r="BF213" s="228">
        <v>6</v>
      </c>
      <c r="BG213" s="228">
        <v>-4</v>
      </c>
      <c r="BH213" s="229">
        <v>-0.62960000000000005</v>
      </c>
      <c r="BI213" s="230">
        <v>2405</v>
      </c>
      <c r="BJ213" s="230">
        <v>5310</v>
      </c>
      <c r="BK213" s="230">
        <v>-2905</v>
      </c>
      <c r="BL213" s="229">
        <v>-0.54710000000000003</v>
      </c>
      <c r="BM213" s="228">
        <v>653</v>
      </c>
      <c r="BN213" s="230">
        <v>2938</v>
      </c>
      <c r="BO213" s="230">
        <v>-2285</v>
      </c>
      <c r="BP213" s="229">
        <v>-0.77769999999999995</v>
      </c>
      <c r="BQ213" s="230">
        <v>3472</v>
      </c>
      <c r="BR213" s="230">
        <v>10231</v>
      </c>
      <c r="BS213" s="230">
        <v>-6759</v>
      </c>
      <c r="BT213" s="229">
        <v>-0.66059999999999997</v>
      </c>
      <c r="BU213" s="230">
        <v>1655282</v>
      </c>
      <c r="BV213" s="230">
        <v>8109147</v>
      </c>
      <c r="BW213" s="230">
        <v>-6453865</v>
      </c>
      <c r="BX213" s="229">
        <v>-0.79590000000000005</v>
      </c>
      <c r="BY213" s="230">
        <v>1831</v>
      </c>
      <c r="BZ213" s="230">
        <v>1837</v>
      </c>
      <c r="CA213" s="228">
        <v>-6</v>
      </c>
      <c r="CB213" s="229">
        <v>-3.0999999999999999E-3</v>
      </c>
      <c r="CC213" s="230">
        <v>1778</v>
      </c>
      <c r="CD213" s="230">
        <v>1787</v>
      </c>
      <c r="CE213" s="228">
        <v>-9</v>
      </c>
      <c r="CF213" s="229">
        <v>-5.1000000000000004E-3</v>
      </c>
      <c r="CG213" s="228">
        <v>48</v>
      </c>
      <c r="CH213" s="228">
        <v>45</v>
      </c>
      <c r="CI213" s="228">
        <v>3</v>
      </c>
      <c r="CJ213" s="229">
        <v>7.6399999999999996E-2</v>
      </c>
      <c r="CK213" s="228">
        <v>5</v>
      </c>
      <c r="CL213" s="228">
        <v>5</v>
      </c>
      <c r="CM213" s="228">
        <v>0</v>
      </c>
      <c r="CN213" s="229">
        <v>2.3800000000000002E-2</v>
      </c>
      <c r="CO213" s="230">
        <v>1414</v>
      </c>
      <c r="CP213" s="230">
        <v>1269</v>
      </c>
      <c r="CQ213" s="228">
        <v>146</v>
      </c>
      <c r="CR213" s="229">
        <v>0.1149</v>
      </c>
      <c r="CS213" s="228">
        <v>705</v>
      </c>
      <c r="CT213" s="228">
        <v>636</v>
      </c>
      <c r="CU213" s="228">
        <v>69</v>
      </c>
      <c r="CV213" s="229">
        <v>0.1084</v>
      </c>
      <c r="CW213" s="230">
        <v>3951</v>
      </c>
      <c r="CX213" s="230">
        <v>3742</v>
      </c>
      <c r="CY213" s="228">
        <v>209</v>
      </c>
      <c r="CZ213" s="229">
        <v>5.5899999999999998E-2</v>
      </c>
      <c r="DA213" s="228">
        <v>42.29</v>
      </c>
      <c r="DB213" s="228">
        <v>46.62</v>
      </c>
      <c r="DC213" s="228">
        <v>-4.33</v>
      </c>
      <c r="DD213" s="228">
        <v>-4.33</v>
      </c>
      <c r="DE213" s="228">
        <v>54.25</v>
      </c>
      <c r="DF213" s="228">
        <v>54.39</v>
      </c>
      <c r="DG213" s="228">
        <v>-11.96</v>
      </c>
      <c r="DH213" s="228">
        <v>-0.14000000000000001</v>
      </c>
      <c r="DI213" s="228">
        <v>42.82</v>
      </c>
      <c r="DJ213" s="228">
        <v>47.29</v>
      </c>
      <c r="DK213" s="228">
        <v>-4.47</v>
      </c>
      <c r="DL213" s="228">
        <v>-4.47</v>
      </c>
      <c r="DM213" s="228">
        <v>40.32</v>
      </c>
      <c r="DN213" s="228">
        <v>45.43</v>
      </c>
      <c r="DO213" s="228">
        <v>-5.1100000000000003</v>
      </c>
      <c r="DP213" s="228">
        <v>-5.1100000000000003</v>
      </c>
      <c r="DQ213" s="228">
        <v>0.5</v>
      </c>
      <c r="DR213" s="228">
        <v>0.5</v>
      </c>
      <c r="DS213" s="228">
        <v>0</v>
      </c>
      <c r="DT213" s="229">
        <v>0</v>
      </c>
      <c r="DU213" s="231">
        <v>3500</v>
      </c>
      <c r="DV213" s="231">
        <v>3100</v>
      </c>
      <c r="DW213" s="228">
        <v>0.27</v>
      </c>
      <c r="DX213" s="228">
        <v>0.55000000000000004</v>
      </c>
      <c r="DY213" s="228">
        <v>-0.28000000000000003</v>
      </c>
      <c r="DZ213" s="229">
        <v>-0.5091</v>
      </c>
      <c r="EA213" s="229">
        <v>2.8899999999999999E-2</v>
      </c>
      <c r="EB213" s="230">
        <v>156800</v>
      </c>
      <c r="EC213" s="229">
        <v>5.4000000000000003E-3</v>
      </c>
      <c r="ED213" s="229">
        <v>2.8899999999999999E-2</v>
      </c>
      <c r="EE213" s="228">
        <v>18.12</v>
      </c>
      <c r="EF213" s="229">
        <v>5.7999999999999996E-3</v>
      </c>
      <c r="EG213" s="230">
        <v>433267</v>
      </c>
      <c r="EH213" s="230">
        <v>2728980</v>
      </c>
      <c r="EI213" s="229">
        <v>-0.84119999999999995</v>
      </c>
      <c r="EJ213" s="229">
        <v>0.26169999999999999</v>
      </c>
      <c r="EK213" s="231">
        <v>2664.21</v>
      </c>
      <c r="EL213" s="228">
        <v>644.14</v>
      </c>
      <c r="EM213" s="228">
        <v>412.71</v>
      </c>
      <c r="EN213" s="228">
        <v>205.71</v>
      </c>
      <c r="EO213" s="231">
        <v>3721.06</v>
      </c>
      <c r="EP213" s="231">
        <v>10984.81</v>
      </c>
      <c r="EQ213" s="231">
        <v>-7263.76</v>
      </c>
      <c r="ER213" s="229">
        <v>-0.6613</v>
      </c>
      <c r="ES213" s="231">
        <v>1558.4</v>
      </c>
      <c r="ET213" s="228">
        <v>712.94</v>
      </c>
      <c r="EU213" s="231">
        <v>1831.3</v>
      </c>
      <c r="EV213" s="231">
        <v>15436318</v>
      </c>
      <c r="EW213" s="231">
        <v>4102.6400000000003</v>
      </c>
      <c r="EX213" s="231">
        <v>3888.37</v>
      </c>
      <c r="EY213" s="228">
        <v>214.27</v>
      </c>
      <c r="EZ213" s="229">
        <v>5.5100000000000003E-2</v>
      </c>
      <c r="FA213" s="229">
        <v>0.81379999999999997</v>
      </c>
      <c r="FB213" s="227" t="s">
        <v>691</v>
      </c>
      <c r="FC213">
        <f t="shared" si="4"/>
        <v>0</v>
      </c>
    </row>
    <row r="214" spans="1:159" ht="17.25" thickBot="1" x14ac:dyDescent="0.3">
      <c r="A214" s="226">
        <v>46146</v>
      </c>
      <c r="B214" s="227" t="s">
        <v>221</v>
      </c>
      <c r="C214" s="227" t="s">
        <v>306</v>
      </c>
      <c r="D214" s="228">
        <v>3000</v>
      </c>
      <c r="E214" s="228">
        <v>22</v>
      </c>
      <c r="F214" s="228">
        <v>195.91</v>
      </c>
      <c r="G214" s="228">
        <v>196.75</v>
      </c>
      <c r="H214" s="228">
        <v>-0.84</v>
      </c>
      <c r="I214" s="229">
        <v>-4.3E-3</v>
      </c>
      <c r="J214" s="228">
        <v>200.75</v>
      </c>
      <c r="K214" s="228">
        <v>200.65</v>
      </c>
      <c r="L214" s="228">
        <v>0.1</v>
      </c>
      <c r="M214" s="229">
        <v>5.0000000000000001E-4</v>
      </c>
      <c r="N214" s="228">
        <v>195.91</v>
      </c>
      <c r="O214" s="228">
        <v>196.75</v>
      </c>
      <c r="P214" s="228">
        <v>-0.84</v>
      </c>
      <c r="Q214" s="229">
        <v>-4.3E-3</v>
      </c>
      <c r="R214" s="228">
        <v>190.35</v>
      </c>
      <c r="S214" s="228">
        <v>190.86</v>
      </c>
      <c r="T214" s="228">
        <v>-0.51</v>
      </c>
      <c r="U214" s="229">
        <v>-2.7000000000000001E-3</v>
      </c>
      <c r="V214" s="228">
        <v>188.27</v>
      </c>
      <c r="W214" s="228">
        <v>188.5</v>
      </c>
      <c r="X214" s="228">
        <v>-0.23</v>
      </c>
      <c r="Y214" s="229">
        <v>-1.1999999999999999E-3</v>
      </c>
      <c r="Z214" s="228">
        <v>-4.84</v>
      </c>
      <c r="AA214" s="228">
        <v>-3.9</v>
      </c>
      <c r="AB214" s="228">
        <v>-0.94</v>
      </c>
      <c r="AC214" s="229">
        <v>-2.41E-2</v>
      </c>
      <c r="AD214" s="228">
        <v>-4.84</v>
      </c>
      <c r="AE214" s="228">
        <v>-3.9</v>
      </c>
      <c r="AF214" s="228">
        <v>-0.94</v>
      </c>
      <c r="AG214" s="229">
        <v>-2.41E-2</v>
      </c>
      <c r="AH214" s="228">
        <v>-10.4</v>
      </c>
      <c r="AI214" s="228">
        <v>-9.7899999999999991</v>
      </c>
      <c r="AJ214" s="228">
        <v>-0.61</v>
      </c>
      <c r="AK214" s="229">
        <v>-5.1799999999999999E-2</v>
      </c>
      <c r="AL214" s="228">
        <v>-12.48</v>
      </c>
      <c r="AM214" s="228">
        <v>-12.15</v>
      </c>
      <c r="AN214" s="228">
        <v>-0.33</v>
      </c>
      <c r="AO214" s="229">
        <v>-6.2199999999999998E-2</v>
      </c>
      <c r="AP214" s="228">
        <v>196.35</v>
      </c>
      <c r="AQ214" s="228">
        <v>190.83</v>
      </c>
      <c r="AR214" s="228">
        <v>0</v>
      </c>
      <c r="AS214" s="228">
        <v>412</v>
      </c>
      <c r="AT214" s="228">
        <v>507</v>
      </c>
      <c r="AU214" s="228">
        <v>-95</v>
      </c>
      <c r="AV214" s="229">
        <v>-0.18759999999999999</v>
      </c>
      <c r="AW214" s="228">
        <v>319</v>
      </c>
      <c r="AX214" s="228">
        <v>416</v>
      </c>
      <c r="AY214" s="228">
        <v>-97</v>
      </c>
      <c r="AZ214" s="229">
        <v>-0.23319999999999999</v>
      </c>
      <c r="BA214" s="228">
        <v>82</v>
      </c>
      <c r="BB214" s="228">
        <v>80</v>
      </c>
      <c r="BC214" s="228">
        <v>2</v>
      </c>
      <c r="BD214" s="229">
        <v>2.7300000000000001E-2</v>
      </c>
      <c r="BE214" s="228">
        <v>11</v>
      </c>
      <c r="BF214" s="228">
        <v>12</v>
      </c>
      <c r="BG214" s="228">
        <v>0</v>
      </c>
      <c r="BH214" s="229">
        <v>-2.5499999999999998E-2</v>
      </c>
      <c r="BI214" s="230">
        <v>1241</v>
      </c>
      <c r="BJ214" s="230">
        <v>1705</v>
      </c>
      <c r="BK214" s="228">
        <v>-464</v>
      </c>
      <c r="BL214" s="229">
        <v>-0.27200000000000002</v>
      </c>
      <c r="BM214" s="228">
        <v>574</v>
      </c>
      <c r="BN214" s="228">
        <v>707</v>
      </c>
      <c r="BO214" s="228">
        <v>-133</v>
      </c>
      <c r="BP214" s="229">
        <v>-0.18770000000000001</v>
      </c>
      <c r="BQ214" s="230">
        <v>2227</v>
      </c>
      <c r="BR214" s="230">
        <v>2918</v>
      </c>
      <c r="BS214" s="228">
        <v>-691</v>
      </c>
      <c r="BT214" s="229">
        <v>-0.2369</v>
      </c>
      <c r="BU214" s="230">
        <v>8902929</v>
      </c>
      <c r="BV214" s="230">
        <v>16238219</v>
      </c>
      <c r="BW214" s="230">
        <v>-7335290</v>
      </c>
      <c r="BX214" s="229">
        <v>-0.45169999999999999</v>
      </c>
      <c r="BY214" s="230">
        <v>5857</v>
      </c>
      <c r="BZ214" s="230">
        <v>5733</v>
      </c>
      <c r="CA214" s="228">
        <v>124</v>
      </c>
      <c r="CB214" s="229">
        <v>2.1600000000000001E-2</v>
      </c>
      <c r="CC214" s="230">
        <v>5299</v>
      </c>
      <c r="CD214" s="230">
        <v>5219</v>
      </c>
      <c r="CE214" s="228">
        <v>80</v>
      </c>
      <c r="CF214" s="229">
        <v>1.5299999999999999E-2</v>
      </c>
      <c r="CG214" s="228">
        <v>529</v>
      </c>
      <c r="CH214" s="228">
        <v>491</v>
      </c>
      <c r="CI214" s="228">
        <v>38</v>
      </c>
      <c r="CJ214" s="229">
        <v>7.6700000000000004E-2</v>
      </c>
      <c r="CK214" s="228">
        <v>29</v>
      </c>
      <c r="CL214" s="228">
        <v>23</v>
      </c>
      <c r="CM214" s="228">
        <v>6</v>
      </c>
      <c r="CN214" s="229">
        <v>0.2802</v>
      </c>
      <c r="CO214" s="230">
        <v>2504</v>
      </c>
      <c r="CP214" s="230">
        <v>2357</v>
      </c>
      <c r="CQ214" s="228">
        <v>146</v>
      </c>
      <c r="CR214" s="229">
        <v>6.2100000000000002E-2</v>
      </c>
      <c r="CS214" s="230">
        <v>1336</v>
      </c>
      <c r="CT214" s="230">
        <v>1299</v>
      </c>
      <c r="CU214" s="228">
        <v>37</v>
      </c>
      <c r="CV214" s="229">
        <v>2.86E-2</v>
      </c>
      <c r="CW214" s="230">
        <v>9696</v>
      </c>
      <c r="CX214" s="230">
        <v>9389</v>
      </c>
      <c r="CY214" s="228">
        <v>307</v>
      </c>
      <c r="CZ214" s="229">
        <v>3.27E-2</v>
      </c>
      <c r="DA214" s="228">
        <v>31.07</v>
      </c>
      <c r="DB214" s="228">
        <v>29.74</v>
      </c>
      <c r="DC214" s="228">
        <v>1.33</v>
      </c>
      <c r="DD214" s="228">
        <v>1.33</v>
      </c>
      <c r="DE214" s="228">
        <v>31.2</v>
      </c>
      <c r="DF214" s="228">
        <v>31.27</v>
      </c>
      <c r="DG214" s="228">
        <v>-0.13</v>
      </c>
      <c r="DH214" s="228">
        <v>-7.0000000000000007E-2</v>
      </c>
      <c r="DI214" s="228">
        <v>31.96</v>
      </c>
      <c r="DJ214" s="228">
        <v>30.24</v>
      </c>
      <c r="DK214" s="228">
        <v>1.72</v>
      </c>
      <c r="DL214" s="228">
        <v>1.72</v>
      </c>
      <c r="DM214" s="228">
        <v>29.14</v>
      </c>
      <c r="DN214" s="228">
        <v>28.52</v>
      </c>
      <c r="DO214" s="228">
        <v>0.62</v>
      </c>
      <c r="DP214" s="228">
        <v>0.62</v>
      </c>
      <c r="DQ214" s="228">
        <v>0.53</v>
      </c>
      <c r="DR214" s="228">
        <v>0.55000000000000004</v>
      </c>
      <c r="DS214" s="228">
        <v>-0.02</v>
      </c>
      <c r="DT214" s="229">
        <v>-3.6400000000000002E-2</v>
      </c>
      <c r="DU214" s="228">
        <v>210</v>
      </c>
      <c r="DV214" s="228">
        <v>200</v>
      </c>
      <c r="DW214" s="228">
        <v>0.46</v>
      </c>
      <c r="DX214" s="228">
        <v>0.41</v>
      </c>
      <c r="DY214" s="228">
        <v>0.05</v>
      </c>
      <c r="DZ214" s="229">
        <v>0.122</v>
      </c>
      <c r="EA214" s="229">
        <v>9.5299999999999996E-2</v>
      </c>
      <c r="EB214" s="230">
        <v>26253000</v>
      </c>
      <c r="EC214" s="229">
        <v>-2.8400000000000002E-2</v>
      </c>
      <c r="ED214" s="229">
        <v>9.5299999999999996E-2</v>
      </c>
      <c r="EE214" s="228">
        <v>-5.52</v>
      </c>
      <c r="EF214" s="229">
        <v>-2.81E-2</v>
      </c>
      <c r="EG214" s="230">
        <v>4429495</v>
      </c>
      <c r="EH214" s="230">
        <v>8324847</v>
      </c>
      <c r="EI214" s="229">
        <v>-0.46789999999999998</v>
      </c>
      <c r="EJ214" s="229">
        <v>0.4975</v>
      </c>
      <c r="EK214" s="231">
        <v>1343.27</v>
      </c>
      <c r="EL214" s="228">
        <v>572</v>
      </c>
      <c r="EM214" s="228">
        <v>409.88</v>
      </c>
      <c r="EN214" s="228">
        <v>344</v>
      </c>
      <c r="EO214" s="231">
        <v>2325.15</v>
      </c>
      <c r="EP214" s="231">
        <v>3042.25</v>
      </c>
      <c r="EQ214" s="228">
        <v>-717.1</v>
      </c>
      <c r="ER214" s="229">
        <v>-0.23569999999999999</v>
      </c>
      <c r="ES214" s="231">
        <v>2710.98</v>
      </c>
      <c r="ET214" s="231">
        <v>1318.31</v>
      </c>
      <c r="EU214" s="231">
        <v>5840.86</v>
      </c>
      <c r="EV214" s="231">
        <v>428710078</v>
      </c>
      <c r="EW214" s="231">
        <v>9870.16</v>
      </c>
      <c r="EX214" s="231">
        <v>9576.11</v>
      </c>
      <c r="EY214" s="228">
        <v>294.05</v>
      </c>
      <c r="EZ214" s="229">
        <v>3.0700000000000002E-2</v>
      </c>
      <c r="FA214" s="229">
        <v>1.1545000000000001</v>
      </c>
      <c r="FB214" s="227" t="s">
        <v>566</v>
      </c>
      <c r="FC214">
        <f t="shared" si="4"/>
        <v>0</v>
      </c>
    </row>
    <row r="215" spans="1:159" ht="17.25" thickBot="1" x14ac:dyDescent="0.3">
      <c r="A215" s="226">
        <v>46146</v>
      </c>
      <c r="B215" s="227" t="s">
        <v>172</v>
      </c>
      <c r="C215" s="227" t="s">
        <v>589</v>
      </c>
      <c r="D215" s="228">
        <v>31100</v>
      </c>
      <c r="E215" s="228">
        <v>22</v>
      </c>
      <c r="F215" s="228">
        <v>20.07</v>
      </c>
      <c r="G215" s="228">
        <v>20.05</v>
      </c>
      <c r="H215" s="228">
        <v>0.02</v>
      </c>
      <c r="I215" s="229">
        <v>1E-3</v>
      </c>
      <c r="J215" s="228">
        <v>19.96</v>
      </c>
      <c r="K215" s="228">
        <v>19.93</v>
      </c>
      <c r="L215" s="228">
        <v>0.03</v>
      </c>
      <c r="M215" s="229">
        <v>1.5E-3</v>
      </c>
      <c r="N215" s="228">
        <v>20.07</v>
      </c>
      <c r="O215" s="228">
        <v>20.05</v>
      </c>
      <c r="P215" s="228">
        <v>0.02</v>
      </c>
      <c r="Q215" s="229">
        <v>1E-3</v>
      </c>
      <c r="R215" s="228">
        <v>20.2</v>
      </c>
      <c r="S215" s="228">
        <v>20.190000000000001</v>
      </c>
      <c r="T215" s="228">
        <v>0.01</v>
      </c>
      <c r="U215" s="229">
        <v>5.0000000000000001E-4</v>
      </c>
      <c r="V215" s="228">
        <v>20.329999999999998</v>
      </c>
      <c r="W215" s="228">
        <v>20.27</v>
      </c>
      <c r="X215" s="228">
        <v>0.06</v>
      </c>
      <c r="Y215" s="229">
        <v>3.0000000000000001E-3</v>
      </c>
      <c r="Z215" s="228">
        <v>0.11</v>
      </c>
      <c r="AA215" s="228">
        <v>0.12</v>
      </c>
      <c r="AB215" s="228">
        <v>-0.01</v>
      </c>
      <c r="AC215" s="229">
        <v>5.4999999999999997E-3</v>
      </c>
      <c r="AD215" s="228">
        <v>0.11</v>
      </c>
      <c r="AE215" s="228">
        <v>0.12</v>
      </c>
      <c r="AF215" s="228">
        <v>-0.01</v>
      </c>
      <c r="AG215" s="229">
        <v>5.4999999999999997E-3</v>
      </c>
      <c r="AH215" s="228">
        <v>0.24</v>
      </c>
      <c r="AI215" s="228">
        <v>0.26</v>
      </c>
      <c r="AJ215" s="228">
        <v>-0.02</v>
      </c>
      <c r="AK215" s="229">
        <v>1.2E-2</v>
      </c>
      <c r="AL215" s="228">
        <v>0.37</v>
      </c>
      <c r="AM215" s="228">
        <v>0.34</v>
      </c>
      <c r="AN215" s="228">
        <v>0.03</v>
      </c>
      <c r="AO215" s="229">
        <v>1.8499999999999999E-2</v>
      </c>
      <c r="AP215" s="228">
        <v>20.170000000000002</v>
      </c>
      <c r="AQ215" s="228">
        <v>20.32</v>
      </c>
      <c r="AR215" s="228">
        <v>0</v>
      </c>
      <c r="AS215" s="228">
        <v>208</v>
      </c>
      <c r="AT215" s="228">
        <v>260</v>
      </c>
      <c r="AU215" s="228">
        <v>-51</v>
      </c>
      <c r="AV215" s="229">
        <v>-0.1981</v>
      </c>
      <c r="AW215" s="228">
        <v>174</v>
      </c>
      <c r="AX215" s="228">
        <v>218</v>
      </c>
      <c r="AY215" s="228">
        <v>-43</v>
      </c>
      <c r="AZ215" s="229">
        <v>-0.19819999999999999</v>
      </c>
      <c r="BA215" s="228">
        <v>31</v>
      </c>
      <c r="BB215" s="228">
        <v>29</v>
      </c>
      <c r="BC215" s="228">
        <v>1</v>
      </c>
      <c r="BD215" s="229">
        <v>4.24E-2</v>
      </c>
      <c r="BE215" s="228">
        <v>3</v>
      </c>
      <c r="BF215" s="228">
        <v>13</v>
      </c>
      <c r="BG215" s="228">
        <v>-10</v>
      </c>
      <c r="BH215" s="229">
        <v>-0.74399999999999999</v>
      </c>
      <c r="BI215" s="228">
        <v>595</v>
      </c>
      <c r="BJ215" s="228">
        <v>771</v>
      </c>
      <c r="BK215" s="228">
        <v>-176</v>
      </c>
      <c r="BL215" s="229">
        <v>-0.22800000000000001</v>
      </c>
      <c r="BM215" s="228">
        <v>218</v>
      </c>
      <c r="BN215" s="228">
        <v>240</v>
      </c>
      <c r="BO215" s="228">
        <v>-22</v>
      </c>
      <c r="BP215" s="229">
        <v>-9.0899999999999995E-2</v>
      </c>
      <c r="BQ215" s="230">
        <v>1022</v>
      </c>
      <c r="BR215" s="230">
        <v>1271</v>
      </c>
      <c r="BS215" s="228">
        <v>-249</v>
      </c>
      <c r="BT215" s="229">
        <v>-0.19600000000000001</v>
      </c>
      <c r="BU215" s="230">
        <v>70162584</v>
      </c>
      <c r="BV215" s="230">
        <v>73155380</v>
      </c>
      <c r="BW215" s="230">
        <v>-2992796</v>
      </c>
      <c r="BX215" s="229">
        <v>-4.0899999999999999E-2</v>
      </c>
      <c r="BY215" s="230">
        <v>2467</v>
      </c>
      <c r="BZ215" s="230">
        <v>2463</v>
      </c>
      <c r="CA215" s="228">
        <v>4</v>
      </c>
      <c r="CB215" s="229">
        <v>1.6000000000000001E-3</v>
      </c>
      <c r="CC215" s="230">
        <v>2301</v>
      </c>
      <c r="CD215" s="230">
        <v>2318</v>
      </c>
      <c r="CE215" s="228">
        <v>-17</v>
      </c>
      <c r="CF215" s="229">
        <v>-7.4000000000000003E-3</v>
      </c>
      <c r="CG215" s="228">
        <v>150</v>
      </c>
      <c r="CH215" s="228">
        <v>131</v>
      </c>
      <c r="CI215" s="228">
        <v>20</v>
      </c>
      <c r="CJ215" s="229">
        <v>0.1497</v>
      </c>
      <c r="CK215" s="228">
        <v>16</v>
      </c>
      <c r="CL215" s="228">
        <v>14</v>
      </c>
      <c r="CM215" s="228">
        <v>1</v>
      </c>
      <c r="CN215" s="229">
        <v>0.1009</v>
      </c>
      <c r="CO215" s="228">
        <v>718</v>
      </c>
      <c r="CP215" s="228">
        <v>716</v>
      </c>
      <c r="CQ215" s="228">
        <v>3</v>
      </c>
      <c r="CR215" s="229">
        <v>3.5999999999999999E-3</v>
      </c>
      <c r="CS215" s="228">
        <v>351</v>
      </c>
      <c r="CT215" s="228">
        <v>337</v>
      </c>
      <c r="CU215" s="228">
        <v>13</v>
      </c>
      <c r="CV215" s="229">
        <v>3.9399999999999998E-2</v>
      </c>
      <c r="CW215" s="230">
        <v>3536</v>
      </c>
      <c r="CX215" s="230">
        <v>3516</v>
      </c>
      <c r="CY215" s="228">
        <v>20</v>
      </c>
      <c r="CZ215" s="229">
        <v>5.5999999999999999E-3</v>
      </c>
      <c r="DA215" s="228">
        <v>32.93</v>
      </c>
      <c r="DB215" s="228">
        <v>31.45</v>
      </c>
      <c r="DC215" s="228">
        <v>1.48</v>
      </c>
      <c r="DD215" s="228">
        <v>1.48</v>
      </c>
      <c r="DE215" s="228">
        <v>37.96</v>
      </c>
      <c r="DF215" s="228">
        <v>38.06</v>
      </c>
      <c r="DG215" s="228">
        <v>-5.03</v>
      </c>
      <c r="DH215" s="228">
        <v>-0.1</v>
      </c>
      <c r="DI215" s="228">
        <v>34.24</v>
      </c>
      <c r="DJ215" s="228">
        <v>32.22</v>
      </c>
      <c r="DK215" s="228">
        <v>2.02</v>
      </c>
      <c r="DL215" s="228">
        <v>2.02</v>
      </c>
      <c r="DM215" s="228">
        <v>29.34</v>
      </c>
      <c r="DN215" s="228">
        <v>28.96</v>
      </c>
      <c r="DO215" s="228">
        <v>0.38</v>
      </c>
      <c r="DP215" s="228">
        <v>0.38</v>
      </c>
      <c r="DQ215" s="228">
        <v>0.49</v>
      </c>
      <c r="DR215" s="228">
        <v>0.47</v>
      </c>
      <c r="DS215" s="228">
        <v>0.02</v>
      </c>
      <c r="DT215" s="229">
        <v>4.2599999999999999E-2</v>
      </c>
      <c r="DU215" s="228">
        <v>20</v>
      </c>
      <c r="DV215" s="228">
        <v>20</v>
      </c>
      <c r="DW215" s="228">
        <v>0.37</v>
      </c>
      <c r="DX215" s="228">
        <v>0.31</v>
      </c>
      <c r="DY215" s="228">
        <v>0.06</v>
      </c>
      <c r="DZ215" s="229">
        <v>0.19350000000000001</v>
      </c>
      <c r="EA215" s="229">
        <v>6.7400000000000002E-2</v>
      </c>
      <c r="EB215" s="230">
        <v>72307500</v>
      </c>
      <c r="EC215" s="229">
        <v>6.4999999999999997E-3</v>
      </c>
      <c r="ED215" s="229">
        <v>6.7400000000000002E-2</v>
      </c>
      <c r="EE215" s="228">
        <v>0.15</v>
      </c>
      <c r="EF215" s="229">
        <v>7.4000000000000003E-3</v>
      </c>
      <c r="EG215" s="230">
        <v>31009236</v>
      </c>
      <c r="EH215" s="230">
        <v>30783144</v>
      </c>
      <c r="EI215" s="229">
        <v>7.3000000000000001E-3</v>
      </c>
      <c r="EJ215" s="229">
        <v>0.442</v>
      </c>
      <c r="EK215" s="228">
        <v>654.48</v>
      </c>
      <c r="EL215" s="228">
        <v>216.75</v>
      </c>
      <c r="EM215" s="228">
        <v>209.78</v>
      </c>
      <c r="EN215" s="228">
        <v>119.5</v>
      </c>
      <c r="EO215" s="231">
        <v>1081.02</v>
      </c>
      <c r="EP215" s="231">
        <v>1340.03</v>
      </c>
      <c r="EQ215" s="228">
        <v>-259.02</v>
      </c>
      <c r="ER215" s="229">
        <v>-0.1933</v>
      </c>
      <c r="ES215" s="228">
        <v>771.58</v>
      </c>
      <c r="ET215" s="228">
        <v>342.69</v>
      </c>
      <c r="EU215" s="231">
        <v>2468.0500000000002</v>
      </c>
      <c r="EV215" s="231">
        <v>3425130022</v>
      </c>
      <c r="EW215" s="231">
        <v>3582.32</v>
      </c>
      <c r="EX215" s="231">
        <v>3559.5</v>
      </c>
      <c r="EY215" s="228">
        <v>22.82</v>
      </c>
      <c r="EZ215" s="229">
        <v>6.4000000000000003E-3</v>
      </c>
      <c r="FA215" s="229">
        <v>0.51439999999999997</v>
      </c>
      <c r="FB215" s="227" t="s">
        <v>555</v>
      </c>
      <c r="FC215">
        <f t="shared" si="4"/>
        <v>0</v>
      </c>
    </row>
    <row r="216" spans="1:159" ht="17.25" thickBot="1" x14ac:dyDescent="0.3">
      <c r="A216" s="226">
        <v>46146</v>
      </c>
      <c r="B216" s="227" t="s">
        <v>170</v>
      </c>
      <c r="C216" s="227" t="s">
        <v>556</v>
      </c>
      <c r="D216" s="228">
        <v>900</v>
      </c>
      <c r="E216" s="228">
        <v>22</v>
      </c>
      <c r="F216" s="228">
        <v>906.7</v>
      </c>
      <c r="G216" s="228">
        <v>897.6</v>
      </c>
      <c r="H216" s="228">
        <v>9.1</v>
      </c>
      <c r="I216" s="229">
        <v>1.01E-2</v>
      </c>
      <c r="J216" s="228">
        <v>902.35</v>
      </c>
      <c r="K216" s="228">
        <v>891.9</v>
      </c>
      <c r="L216" s="228">
        <v>10.45</v>
      </c>
      <c r="M216" s="229">
        <v>1.17E-2</v>
      </c>
      <c r="N216" s="228">
        <v>906.7</v>
      </c>
      <c r="O216" s="228">
        <v>897.6</v>
      </c>
      <c r="P216" s="228">
        <v>9.1</v>
      </c>
      <c r="Q216" s="229">
        <v>1.01E-2</v>
      </c>
      <c r="R216" s="228">
        <v>913.35</v>
      </c>
      <c r="S216" s="228">
        <v>902.85</v>
      </c>
      <c r="T216" s="228">
        <v>10.5</v>
      </c>
      <c r="U216" s="229">
        <v>1.1599999999999999E-2</v>
      </c>
      <c r="V216" s="228">
        <v>910.2</v>
      </c>
      <c r="W216" s="228">
        <v>903</v>
      </c>
      <c r="X216" s="228">
        <v>7.2</v>
      </c>
      <c r="Y216" s="229">
        <v>8.0000000000000002E-3</v>
      </c>
      <c r="Z216" s="228">
        <v>4.3499999999999996</v>
      </c>
      <c r="AA216" s="228">
        <v>5.7</v>
      </c>
      <c r="AB216" s="228">
        <v>-1.35</v>
      </c>
      <c r="AC216" s="229">
        <v>4.7999999999999996E-3</v>
      </c>
      <c r="AD216" s="228">
        <v>4.3499999999999996</v>
      </c>
      <c r="AE216" s="228">
        <v>5.7</v>
      </c>
      <c r="AF216" s="228">
        <v>-1.35</v>
      </c>
      <c r="AG216" s="229">
        <v>4.7999999999999996E-3</v>
      </c>
      <c r="AH216" s="228">
        <v>11</v>
      </c>
      <c r="AI216" s="228">
        <v>10.95</v>
      </c>
      <c r="AJ216" s="228">
        <v>0.05</v>
      </c>
      <c r="AK216" s="229">
        <v>1.2200000000000001E-2</v>
      </c>
      <c r="AL216" s="228">
        <v>7.85</v>
      </c>
      <c r="AM216" s="228">
        <v>11.1</v>
      </c>
      <c r="AN216" s="228">
        <v>-3.25</v>
      </c>
      <c r="AO216" s="229">
        <v>8.6999999999999994E-3</v>
      </c>
      <c r="AP216" s="228">
        <v>905.21</v>
      </c>
      <c r="AQ216" s="228">
        <v>909.94</v>
      </c>
      <c r="AR216" s="228">
        <v>0</v>
      </c>
      <c r="AS216" s="228">
        <v>83</v>
      </c>
      <c r="AT216" s="228">
        <v>121</v>
      </c>
      <c r="AU216" s="228">
        <v>-38</v>
      </c>
      <c r="AV216" s="229">
        <v>-0.31440000000000001</v>
      </c>
      <c r="AW216" s="228">
        <v>80</v>
      </c>
      <c r="AX216" s="228">
        <v>115</v>
      </c>
      <c r="AY216" s="228">
        <v>-35</v>
      </c>
      <c r="AZ216" s="229">
        <v>-0.307</v>
      </c>
      <c r="BA216" s="228">
        <v>3</v>
      </c>
      <c r="BB216" s="228">
        <v>5</v>
      </c>
      <c r="BC216" s="228">
        <v>-2</v>
      </c>
      <c r="BD216" s="229">
        <v>-0.4219</v>
      </c>
      <c r="BE216" s="228">
        <v>0</v>
      </c>
      <c r="BF216" s="228">
        <v>1</v>
      </c>
      <c r="BG216" s="228">
        <v>0</v>
      </c>
      <c r="BH216" s="229">
        <v>-0.75</v>
      </c>
      <c r="BI216" s="228">
        <v>138</v>
      </c>
      <c r="BJ216" s="228">
        <v>162</v>
      </c>
      <c r="BK216" s="228">
        <v>-24</v>
      </c>
      <c r="BL216" s="229">
        <v>-0.1464</v>
      </c>
      <c r="BM216" s="228">
        <v>43</v>
      </c>
      <c r="BN216" s="228">
        <v>79</v>
      </c>
      <c r="BO216" s="228">
        <v>-35</v>
      </c>
      <c r="BP216" s="229">
        <v>-0.44590000000000002</v>
      </c>
      <c r="BQ216" s="228">
        <v>265</v>
      </c>
      <c r="BR216" s="228">
        <v>361</v>
      </c>
      <c r="BS216" s="228">
        <v>-97</v>
      </c>
      <c r="BT216" s="229">
        <v>-0.2676</v>
      </c>
      <c r="BU216" s="230">
        <v>398116</v>
      </c>
      <c r="BV216" s="230">
        <v>1000761</v>
      </c>
      <c r="BW216" s="230">
        <v>-602645</v>
      </c>
      <c r="BX216" s="229">
        <v>-0.60219999999999996</v>
      </c>
      <c r="BY216" s="228">
        <v>874</v>
      </c>
      <c r="BZ216" s="228">
        <v>872</v>
      </c>
      <c r="CA216" s="228">
        <v>2</v>
      </c>
      <c r="CB216" s="229">
        <v>2.3999999999999998E-3</v>
      </c>
      <c r="CC216" s="228">
        <v>850</v>
      </c>
      <c r="CD216" s="228">
        <v>849</v>
      </c>
      <c r="CE216" s="228">
        <v>1</v>
      </c>
      <c r="CF216" s="229">
        <v>1E-3</v>
      </c>
      <c r="CG216" s="228">
        <v>23</v>
      </c>
      <c r="CH216" s="228">
        <v>21</v>
      </c>
      <c r="CI216" s="228">
        <v>1</v>
      </c>
      <c r="CJ216" s="229">
        <v>5.3199999999999997E-2</v>
      </c>
      <c r="CK216" s="228">
        <v>1</v>
      </c>
      <c r="CL216" s="228">
        <v>1</v>
      </c>
      <c r="CM216" s="228">
        <v>0</v>
      </c>
      <c r="CN216" s="229">
        <v>0.15379999999999999</v>
      </c>
      <c r="CO216" s="228">
        <v>267</v>
      </c>
      <c r="CP216" s="228">
        <v>242</v>
      </c>
      <c r="CQ216" s="228">
        <v>25</v>
      </c>
      <c r="CR216" s="229">
        <v>0.10539999999999999</v>
      </c>
      <c r="CS216" s="228">
        <v>190</v>
      </c>
      <c r="CT216" s="228">
        <v>188</v>
      </c>
      <c r="CU216" s="228">
        <v>2</v>
      </c>
      <c r="CV216" s="229">
        <v>1.2999999999999999E-2</v>
      </c>
      <c r="CW216" s="230">
        <v>1331</v>
      </c>
      <c r="CX216" s="230">
        <v>1301</v>
      </c>
      <c r="CY216" s="228">
        <v>30</v>
      </c>
      <c r="CZ216" s="229">
        <v>2.3099999999999999E-2</v>
      </c>
      <c r="DA216" s="228">
        <v>30.15</v>
      </c>
      <c r="DB216" s="228">
        <v>30.12</v>
      </c>
      <c r="DC216" s="228">
        <v>0.03</v>
      </c>
      <c r="DD216" s="228">
        <v>0.03</v>
      </c>
      <c r="DE216" s="228">
        <v>28.1</v>
      </c>
      <c r="DF216" s="228">
        <v>28.13</v>
      </c>
      <c r="DG216" s="228">
        <v>2.0499999999999998</v>
      </c>
      <c r="DH216" s="228">
        <v>-0.03</v>
      </c>
      <c r="DI216" s="228">
        <v>30.01</v>
      </c>
      <c r="DJ216" s="228">
        <v>30.28</v>
      </c>
      <c r="DK216" s="228">
        <v>-0.27</v>
      </c>
      <c r="DL216" s="228">
        <v>-0.27</v>
      </c>
      <c r="DM216" s="228">
        <v>30.6</v>
      </c>
      <c r="DN216" s="228">
        <v>29.77</v>
      </c>
      <c r="DO216" s="228">
        <v>0.83</v>
      </c>
      <c r="DP216" s="228">
        <v>0.83</v>
      </c>
      <c r="DQ216" s="228">
        <v>0.71</v>
      </c>
      <c r="DR216" s="228">
        <v>0.78</v>
      </c>
      <c r="DS216" s="228">
        <v>-7.0000000000000007E-2</v>
      </c>
      <c r="DT216" s="229">
        <v>-8.9700000000000002E-2</v>
      </c>
      <c r="DU216" s="231">
        <v>1000</v>
      </c>
      <c r="DV216" s="228">
        <v>900</v>
      </c>
      <c r="DW216" s="228">
        <v>0.31</v>
      </c>
      <c r="DX216" s="228">
        <v>0.48</v>
      </c>
      <c r="DY216" s="228">
        <v>-0.17</v>
      </c>
      <c r="DZ216" s="229">
        <v>-0.35420000000000001</v>
      </c>
      <c r="EA216" s="229">
        <v>2.7300000000000001E-2</v>
      </c>
      <c r="EB216" s="230">
        <v>248400</v>
      </c>
      <c r="EC216" s="229">
        <v>7.3000000000000001E-3</v>
      </c>
      <c r="ED216" s="229">
        <v>2.7300000000000001E-2</v>
      </c>
      <c r="EE216" s="228">
        <v>4.7300000000000004</v>
      </c>
      <c r="EF216" s="229">
        <v>5.1999999999999998E-3</v>
      </c>
      <c r="EG216" s="230">
        <v>184131</v>
      </c>
      <c r="EH216" s="230">
        <v>571743</v>
      </c>
      <c r="EI216" s="229">
        <v>-0.67789999999999995</v>
      </c>
      <c r="EJ216" s="229">
        <v>0.46250000000000002</v>
      </c>
      <c r="EK216" s="228">
        <v>147.68</v>
      </c>
      <c r="EL216" s="228">
        <v>42.8</v>
      </c>
      <c r="EM216" s="228">
        <v>82.63</v>
      </c>
      <c r="EN216" s="228">
        <v>44.3</v>
      </c>
      <c r="EO216" s="228">
        <v>273.11</v>
      </c>
      <c r="EP216" s="228">
        <v>370.38</v>
      </c>
      <c r="EQ216" s="228">
        <v>-97.27</v>
      </c>
      <c r="ER216" s="229">
        <v>-0.2626</v>
      </c>
      <c r="ES216" s="228">
        <v>286.20999999999998</v>
      </c>
      <c r="ET216" s="228">
        <v>190.96</v>
      </c>
      <c r="EU216" s="228">
        <v>874.06</v>
      </c>
      <c r="EV216" s="231">
        <v>25160867</v>
      </c>
      <c r="EW216" s="231">
        <v>1351.23</v>
      </c>
      <c r="EX216" s="231">
        <v>1310.52</v>
      </c>
      <c r="EY216" s="228">
        <v>40.71</v>
      </c>
      <c r="EZ216" s="229">
        <v>3.1099999999999999E-2</v>
      </c>
      <c r="FA216" s="229">
        <v>0.58350000000000002</v>
      </c>
      <c r="FB216" s="227" t="s">
        <v>555</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Z3" sqref="BZ3"/>
    </sheetView>
  </sheetViews>
  <sheetFormatPr defaultRowHeight="15" x14ac:dyDescent="0.25"/>
  <cols>
    <col min="1" max="1" width="12.5703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 customWidth="1"/>
    <col min="79" max="79" width="9" customWidth="1"/>
    <col min="80" max="81" width="15.5703125" customWidth="1"/>
    <col min="82" max="82" width="14" customWidth="1"/>
    <col min="83" max="83" width="11.42578125" customWidth="1"/>
    <col min="84" max="84" width="14" customWidth="1"/>
    <col min="85" max="85" width="14.42578125" customWidth="1"/>
    <col min="86" max="86" width="13.5703125" customWidth="1"/>
    <col min="87" max="87" width="11.42578125" customWidth="1"/>
    <col min="88" max="88" width="12.7109375" customWidth="1"/>
    <col min="89" max="89" width="12.42578125" customWidth="1"/>
    <col min="90" max="90" width="11.5703125" customWidth="1"/>
    <col min="91" max="91" width="11.28515625" customWidth="1"/>
    <col min="92" max="93" width="15.5703125" customWidth="1"/>
    <col min="94" max="94" width="14"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46146</v>
      </c>
      <c r="B2" s="227" t="s">
        <v>175</v>
      </c>
      <c r="C2" s="227" t="s">
        <v>678</v>
      </c>
      <c r="D2" s="228">
        <v>500</v>
      </c>
      <c r="E2" s="231">
        <v>1072</v>
      </c>
      <c r="F2" s="231">
        <v>1039.25</v>
      </c>
      <c r="G2" s="228">
        <v>32.75</v>
      </c>
      <c r="H2" s="229">
        <v>3.15E-2</v>
      </c>
      <c r="I2" s="231">
        <v>1066.5</v>
      </c>
      <c r="J2" s="231">
        <v>1034.6500000000001</v>
      </c>
      <c r="K2" s="228">
        <v>31.85</v>
      </c>
      <c r="L2" s="229">
        <v>3.0800000000000001E-2</v>
      </c>
      <c r="M2" s="231">
        <v>1072</v>
      </c>
      <c r="N2" s="231">
        <v>1039.25</v>
      </c>
      <c r="O2" s="228">
        <v>32.75</v>
      </c>
      <c r="P2" s="229">
        <v>3.15E-2</v>
      </c>
      <c r="Q2" s="231">
        <v>1073.5</v>
      </c>
      <c r="R2" s="231">
        <v>1042.5999999999999</v>
      </c>
      <c r="S2" s="228">
        <v>30.9</v>
      </c>
      <c r="T2" s="229">
        <v>2.9600000000000001E-2</v>
      </c>
      <c r="U2" s="231">
        <v>1080.0999999999999</v>
      </c>
      <c r="V2" s="231">
        <v>1020</v>
      </c>
      <c r="W2" s="228">
        <v>60.1</v>
      </c>
      <c r="X2" s="229">
        <v>5.8900000000000001E-2</v>
      </c>
      <c r="Y2" s="228">
        <v>5.5</v>
      </c>
      <c r="Z2" s="228">
        <v>4.5999999999999996</v>
      </c>
      <c r="AA2" s="228">
        <v>0.9</v>
      </c>
      <c r="AB2" s="229">
        <v>5.1999999999999998E-3</v>
      </c>
      <c r="AC2" s="228">
        <v>5.5</v>
      </c>
      <c r="AD2" s="228">
        <v>4.5999999999999996</v>
      </c>
      <c r="AE2" s="228">
        <v>0.9</v>
      </c>
      <c r="AF2" s="229">
        <v>5.1999999999999998E-3</v>
      </c>
      <c r="AG2" s="228">
        <v>7</v>
      </c>
      <c r="AH2" s="228">
        <v>7.95</v>
      </c>
      <c r="AI2" s="228">
        <v>-0.95</v>
      </c>
      <c r="AJ2" s="229">
        <v>6.6E-3</v>
      </c>
      <c r="AK2" s="228">
        <v>13.6</v>
      </c>
      <c r="AL2" s="228">
        <v>-14.65</v>
      </c>
      <c r="AM2" s="228">
        <v>28.25</v>
      </c>
      <c r="AN2" s="229">
        <v>1.2800000000000001E-2</v>
      </c>
      <c r="AO2" s="231">
        <v>1067.4000000000001</v>
      </c>
      <c r="AP2" s="231">
        <v>1069.4000000000001</v>
      </c>
      <c r="AQ2" s="228">
        <v>0</v>
      </c>
      <c r="AR2" s="230">
        <v>1222000</v>
      </c>
      <c r="AS2" s="230">
        <v>722500</v>
      </c>
      <c r="AT2" s="230">
        <v>499500</v>
      </c>
      <c r="AU2" s="229">
        <v>0.69130000000000003</v>
      </c>
      <c r="AV2" s="230">
        <v>1192500</v>
      </c>
      <c r="AW2" s="230">
        <v>707000</v>
      </c>
      <c r="AX2" s="230">
        <v>485500</v>
      </c>
      <c r="AY2" s="229">
        <v>0.68669999999999998</v>
      </c>
      <c r="AZ2" s="230">
        <v>28500</v>
      </c>
      <c r="BA2" s="230">
        <v>15000</v>
      </c>
      <c r="BB2" s="230">
        <v>13500</v>
      </c>
      <c r="BC2" s="229">
        <v>0.9</v>
      </c>
      <c r="BD2" s="230">
        <v>1000</v>
      </c>
      <c r="BE2" s="228">
        <v>500</v>
      </c>
      <c r="BF2" s="228">
        <v>500</v>
      </c>
      <c r="BG2" s="229">
        <v>1</v>
      </c>
      <c r="BH2" s="230">
        <v>1642000</v>
      </c>
      <c r="BI2" s="230">
        <v>888500</v>
      </c>
      <c r="BJ2" s="230">
        <v>753500</v>
      </c>
      <c r="BK2" s="229">
        <v>0.84809999999999997</v>
      </c>
      <c r="BL2" s="230">
        <v>902500</v>
      </c>
      <c r="BM2" s="230">
        <v>630000</v>
      </c>
      <c r="BN2" s="230">
        <v>272500</v>
      </c>
      <c r="BO2" s="229">
        <v>0.4325</v>
      </c>
      <c r="BP2" s="230">
        <v>3766500</v>
      </c>
      <c r="BQ2" s="230">
        <v>2241000</v>
      </c>
      <c r="BR2" s="230">
        <v>1525500</v>
      </c>
      <c r="BS2" s="229">
        <v>0.68069999999999997</v>
      </c>
      <c r="BT2" s="230">
        <v>2510695</v>
      </c>
      <c r="BU2" s="230">
        <v>1062081</v>
      </c>
      <c r="BV2" s="230">
        <v>1448614</v>
      </c>
      <c r="BW2" s="229">
        <v>1.3638999999999999</v>
      </c>
      <c r="BX2" s="230">
        <v>4168500</v>
      </c>
      <c r="BY2" s="230">
        <v>4046000</v>
      </c>
      <c r="BZ2" s="230">
        <v>122500</v>
      </c>
      <c r="CA2" s="229">
        <v>3.0300000000000001E-2</v>
      </c>
      <c r="CB2" s="230">
        <v>4129000</v>
      </c>
      <c r="CC2" s="230">
        <v>4006500</v>
      </c>
      <c r="CD2" s="230">
        <v>122500</v>
      </c>
      <c r="CE2" s="229">
        <v>3.0599999999999999E-2</v>
      </c>
      <c r="CF2" s="230">
        <v>38500</v>
      </c>
      <c r="CG2" s="230">
        <v>39000</v>
      </c>
      <c r="CH2" s="228">
        <v>-500</v>
      </c>
      <c r="CI2" s="229">
        <v>-1.2800000000000001E-2</v>
      </c>
      <c r="CJ2" s="230">
        <v>1000</v>
      </c>
      <c r="CK2" s="228">
        <v>500</v>
      </c>
      <c r="CL2" s="228">
        <v>500</v>
      </c>
      <c r="CM2" s="229">
        <v>1</v>
      </c>
      <c r="CN2" s="230">
        <v>1117500</v>
      </c>
      <c r="CO2" s="230">
        <v>1023500</v>
      </c>
      <c r="CP2" s="230">
        <v>94000</v>
      </c>
      <c r="CQ2" s="229">
        <v>9.1800000000000007E-2</v>
      </c>
      <c r="CR2" s="230">
        <v>557500</v>
      </c>
      <c r="CS2" s="230">
        <v>505500</v>
      </c>
      <c r="CT2" s="230">
        <v>52000</v>
      </c>
      <c r="CU2" s="229">
        <v>0.10290000000000001</v>
      </c>
      <c r="CV2" s="230">
        <v>5843500</v>
      </c>
      <c r="CW2" s="230">
        <v>5575000</v>
      </c>
      <c r="CX2" s="230">
        <v>268500</v>
      </c>
      <c r="CY2" s="229">
        <v>4.82E-2</v>
      </c>
      <c r="CZ2" s="228">
        <v>37.35</v>
      </c>
      <c r="DA2" s="228">
        <v>37.130000000000003</v>
      </c>
      <c r="DB2" s="228">
        <v>0.22</v>
      </c>
      <c r="DC2" s="228">
        <v>0.22</v>
      </c>
      <c r="DD2" s="228">
        <v>41.98</v>
      </c>
      <c r="DE2" s="228">
        <v>41.87</v>
      </c>
      <c r="DF2" s="228">
        <v>-4.63</v>
      </c>
      <c r="DG2" s="228">
        <v>0.11</v>
      </c>
      <c r="DH2" s="228">
        <v>37.4</v>
      </c>
      <c r="DI2" s="228">
        <v>36.47</v>
      </c>
      <c r="DJ2" s="228">
        <v>0.93</v>
      </c>
      <c r="DK2" s="228">
        <v>0.93</v>
      </c>
      <c r="DL2" s="228">
        <v>37.28</v>
      </c>
      <c r="DM2" s="228">
        <v>38.06</v>
      </c>
      <c r="DN2" s="228">
        <v>-0.78</v>
      </c>
      <c r="DO2" s="228">
        <v>-0.78</v>
      </c>
      <c r="DP2" s="228">
        <v>0.5</v>
      </c>
      <c r="DQ2" s="228">
        <v>0.49</v>
      </c>
      <c r="DR2" s="228">
        <v>0.01</v>
      </c>
      <c r="DS2" s="229">
        <v>2.0400000000000001E-2</v>
      </c>
      <c r="DT2" s="231">
        <v>1100</v>
      </c>
      <c r="DU2" s="231">
        <v>1000</v>
      </c>
      <c r="DV2" s="228">
        <v>0.55000000000000004</v>
      </c>
      <c r="DW2" s="228">
        <v>0.71</v>
      </c>
      <c r="DX2" s="228">
        <v>-0.16</v>
      </c>
      <c r="DY2" s="229">
        <v>-0.22539999999999999</v>
      </c>
      <c r="DZ2" s="229">
        <v>9.4999999999999998E-3</v>
      </c>
      <c r="EA2" s="230">
        <v>39500</v>
      </c>
      <c r="EB2" s="229">
        <v>1.4E-3</v>
      </c>
      <c r="EC2" s="229">
        <v>9.4999999999999998E-3</v>
      </c>
      <c r="ED2" s="228">
        <v>2</v>
      </c>
      <c r="EE2" s="229">
        <v>1.9E-3</v>
      </c>
      <c r="EF2" s="230">
        <v>1258144</v>
      </c>
      <c r="EG2" s="230">
        <v>417336</v>
      </c>
      <c r="EH2" s="229">
        <v>2.0146999999999999</v>
      </c>
      <c r="EI2" s="229">
        <v>0.50109999999999999</v>
      </c>
      <c r="EJ2" s="231">
        <v>18555.169999999998</v>
      </c>
      <c r="EK2" s="231">
        <v>9497.9500000000007</v>
      </c>
      <c r="EL2" s="231">
        <v>13044.26</v>
      </c>
      <c r="EM2" s="231">
        <v>4515</v>
      </c>
      <c r="EN2" s="231">
        <v>41097.379999999997</v>
      </c>
      <c r="EO2" s="231">
        <v>23862.560000000001</v>
      </c>
      <c r="EP2" s="231">
        <v>17234.82</v>
      </c>
      <c r="EQ2" s="229">
        <v>0.72230000000000005</v>
      </c>
      <c r="ER2" s="231">
        <v>12546</v>
      </c>
      <c r="ES2" s="231">
        <v>5677</v>
      </c>
      <c r="ET2" s="231">
        <v>44687</v>
      </c>
      <c r="EU2" s="231">
        <v>37756901</v>
      </c>
      <c r="EV2" s="231">
        <v>62909</v>
      </c>
      <c r="EW2" s="231">
        <v>58666</v>
      </c>
      <c r="EX2" s="231">
        <v>4243</v>
      </c>
      <c r="EY2" s="229">
        <v>7.2300000000000003E-2</v>
      </c>
      <c r="EZ2" s="229">
        <v>0.15479999999999999</v>
      </c>
      <c r="FA2" s="227" t="s">
        <v>555</v>
      </c>
      <c r="FB2" s="161">
        <f>BX2-CB2</f>
        <v>39500</v>
      </c>
    </row>
    <row r="3" spans="1:158" ht="17.25" thickBot="1" x14ac:dyDescent="0.3">
      <c r="A3" s="226">
        <v>46146</v>
      </c>
      <c r="B3" s="227" t="s">
        <v>184</v>
      </c>
      <c r="C3" s="227" t="s">
        <v>553</v>
      </c>
      <c r="D3" s="228">
        <v>125</v>
      </c>
      <c r="E3" s="231">
        <v>7263.5</v>
      </c>
      <c r="F3" s="231">
        <v>7267</v>
      </c>
      <c r="G3" s="228">
        <v>-3.5</v>
      </c>
      <c r="H3" s="229">
        <v>-5.0000000000000001E-4</v>
      </c>
      <c r="I3" s="231">
        <v>7236.5</v>
      </c>
      <c r="J3" s="231">
        <v>7230</v>
      </c>
      <c r="K3" s="228">
        <v>6.5</v>
      </c>
      <c r="L3" s="229">
        <v>8.9999999999999998E-4</v>
      </c>
      <c r="M3" s="231">
        <v>7263.5</v>
      </c>
      <c r="N3" s="231">
        <v>7267</v>
      </c>
      <c r="O3" s="228">
        <v>-3.5</v>
      </c>
      <c r="P3" s="229">
        <v>-5.0000000000000001E-4</v>
      </c>
      <c r="Q3" s="231">
        <v>7259</v>
      </c>
      <c r="R3" s="231">
        <v>7273</v>
      </c>
      <c r="S3" s="228">
        <v>-14</v>
      </c>
      <c r="T3" s="229">
        <v>-1.9E-3</v>
      </c>
      <c r="U3" s="231">
        <v>7250</v>
      </c>
      <c r="V3" s="231">
        <v>7305</v>
      </c>
      <c r="W3" s="228">
        <v>-55</v>
      </c>
      <c r="X3" s="229">
        <v>-7.4999999999999997E-3</v>
      </c>
      <c r="Y3" s="228">
        <v>27</v>
      </c>
      <c r="Z3" s="228">
        <v>37</v>
      </c>
      <c r="AA3" s="228">
        <v>-10</v>
      </c>
      <c r="AB3" s="229">
        <v>3.7000000000000002E-3</v>
      </c>
      <c r="AC3" s="228">
        <v>27</v>
      </c>
      <c r="AD3" s="228">
        <v>37</v>
      </c>
      <c r="AE3" s="228">
        <v>-10</v>
      </c>
      <c r="AF3" s="229">
        <v>3.7000000000000002E-3</v>
      </c>
      <c r="AG3" s="228">
        <v>22.5</v>
      </c>
      <c r="AH3" s="228">
        <v>43</v>
      </c>
      <c r="AI3" s="228">
        <v>-20.5</v>
      </c>
      <c r="AJ3" s="229">
        <v>3.0999999999999999E-3</v>
      </c>
      <c r="AK3" s="228">
        <v>13.5</v>
      </c>
      <c r="AL3" s="228">
        <v>75</v>
      </c>
      <c r="AM3" s="228">
        <v>-61.5</v>
      </c>
      <c r="AN3" s="229">
        <v>1.9E-3</v>
      </c>
      <c r="AO3" s="231">
        <v>7282.02</v>
      </c>
      <c r="AP3" s="231">
        <v>7285.9</v>
      </c>
      <c r="AQ3" s="228">
        <v>0</v>
      </c>
      <c r="AR3" s="230">
        <v>493000</v>
      </c>
      <c r="AS3" s="230">
        <v>437125</v>
      </c>
      <c r="AT3" s="230">
        <v>55875</v>
      </c>
      <c r="AU3" s="229">
        <v>0.1278</v>
      </c>
      <c r="AV3" s="230">
        <v>477750</v>
      </c>
      <c r="AW3" s="230">
        <v>426625</v>
      </c>
      <c r="AX3" s="230">
        <v>51125</v>
      </c>
      <c r="AY3" s="229">
        <v>0.1198</v>
      </c>
      <c r="AZ3" s="230">
        <v>12375</v>
      </c>
      <c r="BA3" s="230">
        <v>10250</v>
      </c>
      <c r="BB3" s="230">
        <v>2125</v>
      </c>
      <c r="BC3" s="229">
        <v>0.20730000000000001</v>
      </c>
      <c r="BD3" s="230">
        <v>2875</v>
      </c>
      <c r="BE3" s="228">
        <v>250</v>
      </c>
      <c r="BF3" s="230">
        <v>2625</v>
      </c>
      <c r="BG3" s="229">
        <v>10.5</v>
      </c>
      <c r="BH3" s="230">
        <v>1662000</v>
      </c>
      <c r="BI3" s="230">
        <v>737000</v>
      </c>
      <c r="BJ3" s="230">
        <v>925000</v>
      </c>
      <c r="BK3" s="229">
        <v>1.2551000000000001</v>
      </c>
      <c r="BL3" s="230">
        <v>490750</v>
      </c>
      <c r="BM3" s="230">
        <v>551750</v>
      </c>
      <c r="BN3" s="230">
        <v>-61000</v>
      </c>
      <c r="BO3" s="229">
        <v>-0.1106</v>
      </c>
      <c r="BP3" s="230">
        <v>2645750</v>
      </c>
      <c r="BQ3" s="230">
        <v>1725875</v>
      </c>
      <c r="BR3" s="230">
        <v>919875</v>
      </c>
      <c r="BS3" s="229">
        <v>0.53300000000000003</v>
      </c>
      <c r="BT3" s="230">
        <v>371715</v>
      </c>
      <c r="BU3" s="230">
        <v>343755</v>
      </c>
      <c r="BV3" s="230">
        <v>27960</v>
      </c>
      <c r="BW3" s="229">
        <v>8.1299999999999997E-2</v>
      </c>
      <c r="BX3" s="230">
        <v>2127875</v>
      </c>
      <c r="BY3" s="230">
        <v>2156375</v>
      </c>
      <c r="BZ3" s="230">
        <v>-28500</v>
      </c>
      <c r="CA3" s="229">
        <v>-1.32E-2</v>
      </c>
      <c r="CB3" s="230">
        <v>2088000</v>
      </c>
      <c r="CC3" s="230">
        <v>2123625</v>
      </c>
      <c r="CD3" s="230">
        <v>-35625</v>
      </c>
      <c r="CE3" s="229">
        <v>-1.6799999999999999E-2</v>
      </c>
      <c r="CF3" s="230">
        <v>37250</v>
      </c>
      <c r="CG3" s="230">
        <v>32500</v>
      </c>
      <c r="CH3" s="230">
        <v>4750</v>
      </c>
      <c r="CI3" s="229">
        <v>0.1462</v>
      </c>
      <c r="CJ3" s="230">
        <v>2625</v>
      </c>
      <c r="CK3" s="228">
        <v>250</v>
      </c>
      <c r="CL3" s="230">
        <v>2375</v>
      </c>
      <c r="CM3" s="229">
        <v>9.5</v>
      </c>
      <c r="CN3" s="230">
        <v>936625</v>
      </c>
      <c r="CO3" s="230">
        <v>633375</v>
      </c>
      <c r="CP3" s="230">
        <v>303250</v>
      </c>
      <c r="CQ3" s="229">
        <v>0.4788</v>
      </c>
      <c r="CR3" s="230">
        <v>482875</v>
      </c>
      <c r="CS3" s="230">
        <v>411000</v>
      </c>
      <c r="CT3" s="230">
        <v>71875</v>
      </c>
      <c r="CU3" s="229">
        <v>0.1749</v>
      </c>
      <c r="CV3" s="230">
        <v>3547375</v>
      </c>
      <c r="CW3" s="230">
        <v>3200750</v>
      </c>
      <c r="CX3" s="230">
        <v>346625</v>
      </c>
      <c r="CY3" s="229">
        <v>0.10829999999999999</v>
      </c>
      <c r="CZ3" s="228">
        <v>40.42</v>
      </c>
      <c r="DA3" s="228">
        <v>36.76</v>
      </c>
      <c r="DB3" s="228">
        <v>3.66</v>
      </c>
      <c r="DC3" s="228">
        <v>3.66</v>
      </c>
      <c r="DD3" s="228">
        <v>37.200000000000003</v>
      </c>
      <c r="DE3" s="228">
        <v>37.29</v>
      </c>
      <c r="DF3" s="228">
        <v>3.22</v>
      </c>
      <c r="DG3" s="228">
        <v>-0.09</v>
      </c>
      <c r="DH3" s="228">
        <v>40.57</v>
      </c>
      <c r="DI3" s="228">
        <v>36.64</v>
      </c>
      <c r="DJ3" s="228">
        <v>3.93</v>
      </c>
      <c r="DK3" s="228">
        <v>3.93</v>
      </c>
      <c r="DL3" s="228">
        <v>39.89</v>
      </c>
      <c r="DM3" s="228">
        <v>36.93</v>
      </c>
      <c r="DN3" s="228">
        <v>2.96</v>
      </c>
      <c r="DO3" s="228">
        <v>2.96</v>
      </c>
      <c r="DP3" s="228">
        <v>0.52</v>
      </c>
      <c r="DQ3" s="228">
        <v>0.65</v>
      </c>
      <c r="DR3" s="228">
        <v>-0.13</v>
      </c>
      <c r="DS3" s="229">
        <v>-0.2</v>
      </c>
      <c r="DT3" s="231">
        <v>8000</v>
      </c>
      <c r="DU3" s="231">
        <v>7000</v>
      </c>
      <c r="DV3" s="228">
        <v>0.3</v>
      </c>
      <c r="DW3" s="228">
        <v>0.75</v>
      </c>
      <c r="DX3" s="228">
        <v>-0.45</v>
      </c>
      <c r="DY3" s="229">
        <v>-0.6</v>
      </c>
      <c r="DZ3" s="229">
        <v>1.8700000000000001E-2</v>
      </c>
      <c r="EA3" s="230">
        <v>32750</v>
      </c>
      <c r="EB3" s="229">
        <v>-5.9999999999999995E-4</v>
      </c>
      <c r="EC3" s="229">
        <v>1.8700000000000001E-2</v>
      </c>
      <c r="ED3" s="228">
        <v>3.88</v>
      </c>
      <c r="EE3" s="229">
        <v>5.0000000000000001E-4</v>
      </c>
      <c r="EF3" s="230">
        <v>164440</v>
      </c>
      <c r="EG3" s="230">
        <v>180287</v>
      </c>
      <c r="EH3" s="229">
        <v>-8.7900000000000006E-2</v>
      </c>
      <c r="EI3" s="229">
        <v>0.44240000000000002</v>
      </c>
      <c r="EJ3" s="231">
        <v>131802.26999999999</v>
      </c>
      <c r="EK3" s="231">
        <v>35519.230000000003</v>
      </c>
      <c r="EL3" s="231">
        <v>35900.89</v>
      </c>
      <c r="EM3" s="231">
        <v>6674</v>
      </c>
      <c r="EN3" s="231">
        <v>203222.39</v>
      </c>
      <c r="EO3" s="231">
        <v>127804.15</v>
      </c>
      <c r="EP3" s="231">
        <v>75418.240000000005</v>
      </c>
      <c r="EQ3" s="229">
        <v>0.59009999999999996</v>
      </c>
      <c r="ER3" s="231">
        <v>72913</v>
      </c>
      <c r="ES3" s="231">
        <v>33780</v>
      </c>
      <c r="ET3" s="231">
        <v>154556</v>
      </c>
      <c r="EU3" s="231">
        <v>7946564</v>
      </c>
      <c r="EV3" s="231">
        <v>261249</v>
      </c>
      <c r="EW3" s="231">
        <v>234348</v>
      </c>
      <c r="EX3" s="231">
        <v>26901</v>
      </c>
      <c r="EY3" s="229">
        <v>0.1148</v>
      </c>
      <c r="EZ3" s="229">
        <v>0.44640000000000002</v>
      </c>
      <c r="FA3" s="227" t="s">
        <v>567</v>
      </c>
      <c r="FB3" s="161">
        <f t="shared" ref="FB3:FB66" si="0">BX3-CB3</f>
        <v>39875</v>
      </c>
    </row>
    <row r="4" spans="1:158" ht="17.25" thickBot="1" x14ac:dyDescent="0.3">
      <c r="A4" s="226">
        <v>46146</v>
      </c>
      <c r="B4" s="227" t="s">
        <v>175</v>
      </c>
      <c r="C4" s="227" t="s">
        <v>544</v>
      </c>
      <c r="D4" s="228">
        <v>3100</v>
      </c>
      <c r="E4" s="228">
        <v>346.5</v>
      </c>
      <c r="F4" s="228">
        <v>347.55</v>
      </c>
      <c r="G4" s="228">
        <v>-1.05</v>
      </c>
      <c r="H4" s="229">
        <v>-3.0000000000000001E-3</v>
      </c>
      <c r="I4" s="228">
        <v>345.85</v>
      </c>
      <c r="J4" s="228">
        <v>345.5</v>
      </c>
      <c r="K4" s="228">
        <v>0.35</v>
      </c>
      <c r="L4" s="229">
        <v>1E-3</v>
      </c>
      <c r="M4" s="228">
        <v>346.5</v>
      </c>
      <c r="N4" s="228">
        <v>347.55</v>
      </c>
      <c r="O4" s="228">
        <v>-1.05</v>
      </c>
      <c r="P4" s="229">
        <v>-3.0000000000000001E-3</v>
      </c>
      <c r="Q4" s="228">
        <v>348.9</v>
      </c>
      <c r="R4" s="228">
        <v>350.1</v>
      </c>
      <c r="S4" s="228">
        <v>-1.2</v>
      </c>
      <c r="T4" s="229">
        <v>-3.3999999999999998E-3</v>
      </c>
      <c r="U4" s="228">
        <v>353.75</v>
      </c>
      <c r="V4" s="228">
        <v>351</v>
      </c>
      <c r="W4" s="228">
        <v>2.75</v>
      </c>
      <c r="X4" s="229">
        <v>7.7999999999999996E-3</v>
      </c>
      <c r="Y4" s="228">
        <v>0.65</v>
      </c>
      <c r="Z4" s="228">
        <v>2.0499999999999998</v>
      </c>
      <c r="AA4" s="228">
        <v>-1.4</v>
      </c>
      <c r="AB4" s="229">
        <v>1.9E-3</v>
      </c>
      <c r="AC4" s="228">
        <v>0.65</v>
      </c>
      <c r="AD4" s="228">
        <v>2.0499999999999998</v>
      </c>
      <c r="AE4" s="228">
        <v>-1.4</v>
      </c>
      <c r="AF4" s="229">
        <v>1.9E-3</v>
      </c>
      <c r="AG4" s="228">
        <v>3.05</v>
      </c>
      <c r="AH4" s="228">
        <v>4.5999999999999996</v>
      </c>
      <c r="AI4" s="228">
        <v>-1.55</v>
      </c>
      <c r="AJ4" s="229">
        <v>8.8000000000000005E-3</v>
      </c>
      <c r="AK4" s="228">
        <v>7.9</v>
      </c>
      <c r="AL4" s="228">
        <v>5.5</v>
      </c>
      <c r="AM4" s="228">
        <v>2.4</v>
      </c>
      <c r="AN4" s="229">
        <v>2.2800000000000001E-2</v>
      </c>
      <c r="AO4" s="228">
        <v>351.02</v>
      </c>
      <c r="AP4" s="228">
        <v>352.99</v>
      </c>
      <c r="AQ4" s="228">
        <v>0</v>
      </c>
      <c r="AR4" s="230">
        <v>39931100</v>
      </c>
      <c r="AS4" s="230">
        <v>11253000</v>
      </c>
      <c r="AT4" s="230">
        <v>28678100</v>
      </c>
      <c r="AU4" s="229">
        <v>2.5485000000000002</v>
      </c>
      <c r="AV4" s="230">
        <v>39041400</v>
      </c>
      <c r="AW4" s="230">
        <v>11082500</v>
      </c>
      <c r="AX4" s="230">
        <v>27958900</v>
      </c>
      <c r="AY4" s="229">
        <v>2.5228000000000002</v>
      </c>
      <c r="AZ4" s="230">
        <v>843200</v>
      </c>
      <c r="BA4" s="230">
        <v>139500</v>
      </c>
      <c r="BB4" s="230">
        <v>703700</v>
      </c>
      <c r="BC4" s="229">
        <v>5.0444000000000004</v>
      </c>
      <c r="BD4" s="230">
        <v>46500</v>
      </c>
      <c r="BE4" s="230">
        <v>31000</v>
      </c>
      <c r="BF4" s="230">
        <v>15500</v>
      </c>
      <c r="BG4" s="229">
        <v>0.5</v>
      </c>
      <c r="BH4" s="230">
        <v>89022700</v>
      </c>
      <c r="BI4" s="230">
        <v>9461200</v>
      </c>
      <c r="BJ4" s="230">
        <v>79561500</v>
      </c>
      <c r="BK4" s="229">
        <v>8.4092000000000002</v>
      </c>
      <c r="BL4" s="230">
        <v>41843800</v>
      </c>
      <c r="BM4" s="230">
        <v>5735000</v>
      </c>
      <c r="BN4" s="230">
        <v>36108800</v>
      </c>
      <c r="BO4" s="229">
        <v>6.2961999999999998</v>
      </c>
      <c r="BP4" s="230">
        <v>170797600</v>
      </c>
      <c r="BQ4" s="230">
        <v>26449200</v>
      </c>
      <c r="BR4" s="230">
        <v>144348400</v>
      </c>
      <c r="BS4" s="229">
        <v>5.4576000000000002</v>
      </c>
      <c r="BT4" s="230">
        <v>12043867</v>
      </c>
      <c r="BU4" s="230">
        <v>4538290</v>
      </c>
      <c r="BV4" s="230">
        <v>7505577</v>
      </c>
      <c r="BW4" s="229">
        <v>1.6537999999999999</v>
      </c>
      <c r="BX4" s="230">
        <v>45039900</v>
      </c>
      <c r="BY4" s="230">
        <v>44410600</v>
      </c>
      <c r="BZ4" s="230">
        <v>629300</v>
      </c>
      <c r="CA4" s="229">
        <v>1.4200000000000001E-2</v>
      </c>
      <c r="CB4" s="230">
        <v>44193600</v>
      </c>
      <c r="CC4" s="230">
        <v>43688300</v>
      </c>
      <c r="CD4" s="230">
        <v>505300</v>
      </c>
      <c r="CE4" s="229">
        <v>1.1599999999999999E-2</v>
      </c>
      <c r="CF4" s="230">
        <v>812200</v>
      </c>
      <c r="CG4" s="230">
        <v>694400</v>
      </c>
      <c r="CH4" s="230">
        <v>117800</v>
      </c>
      <c r="CI4" s="229">
        <v>0.1696</v>
      </c>
      <c r="CJ4" s="230">
        <v>34100</v>
      </c>
      <c r="CK4" s="230">
        <v>27900</v>
      </c>
      <c r="CL4" s="230">
        <v>6200</v>
      </c>
      <c r="CM4" s="229">
        <v>0.22220000000000001</v>
      </c>
      <c r="CN4" s="230">
        <v>15741800</v>
      </c>
      <c r="CO4" s="230">
        <v>6773500</v>
      </c>
      <c r="CP4" s="230">
        <v>8968300</v>
      </c>
      <c r="CQ4" s="229">
        <v>1.3240000000000001</v>
      </c>
      <c r="CR4" s="230">
        <v>11051500</v>
      </c>
      <c r="CS4" s="230">
        <v>7173400</v>
      </c>
      <c r="CT4" s="230">
        <v>3878100</v>
      </c>
      <c r="CU4" s="229">
        <v>0.54059999999999997</v>
      </c>
      <c r="CV4" s="230">
        <v>71833200</v>
      </c>
      <c r="CW4" s="230">
        <v>58357500</v>
      </c>
      <c r="CX4" s="230">
        <v>13475700</v>
      </c>
      <c r="CY4" s="229">
        <v>0.23089999999999999</v>
      </c>
      <c r="CZ4" s="228">
        <v>41.19</v>
      </c>
      <c r="DA4" s="228">
        <v>42.09</v>
      </c>
      <c r="DB4" s="228">
        <v>-0.9</v>
      </c>
      <c r="DC4" s="228">
        <v>-0.9</v>
      </c>
      <c r="DD4" s="228">
        <v>40.93</v>
      </c>
      <c r="DE4" s="228">
        <v>41.03</v>
      </c>
      <c r="DF4" s="228">
        <v>0.26</v>
      </c>
      <c r="DG4" s="228">
        <v>-0.1</v>
      </c>
      <c r="DH4" s="228">
        <v>41.18</v>
      </c>
      <c r="DI4" s="228">
        <v>41.57</v>
      </c>
      <c r="DJ4" s="228">
        <v>-0.39</v>
      </c>
      <c r="DK4" s="228">
        <v>-0.39</v>
      </c>
      <c r="DL4" s="228">
        <v>41.23</v>
      </c>
      <c r="DM4" s="228">
        <v>42.95</v>
      </c>
      <c r="DN4" s="228">
        <v>-1.72</v>
      </c>
      <c r="DO4" s="228">
        <v>-1.72</v>
      </c>
      <c r="DP4" s="228">
        <v>0.7</v>
      </c>
      <c r="DQ4" s="228">
        <v>1.06</v>
      </c>
      <c r="DR4" s="228">
        <v>-0.36</v>
      </c>
      <c r="DS4" s="229">
        <v>-0.33960000000000001</v>
      </c>
      <c r="DT4" s="228">
        <v>400</v>
      </c>
      <c r="DU4" s="228">
        <v>300</v>
      </c>
      <c r="DV4" s="228">
        <v>0.47</v>
      </c>
      <c r="DW4" s="228">
        <v>0.61</v>
      </c>
      <c r="DX4" s="228">
        <v>-0.14000000000000001</v>
      </c>
      <c r="DY4" s="229">
        <v>-0.22950000000000001</v>
      </c>
      <c r="DZ4" s="229">
        <v>1.8800000000000001E-2</v>
      </c>
      <c r="EA4" s="230">
        <v>722300</v>
      </c>
      <c r="EB4" s="229">
        <v>6.8999999999999999E-3</v>
      </c>
      <c r="EC4" s="229">
        <v>1.8800000000000001E-2</v>
      </c>
      <c r="ED4" s="228">
        <v>1.97</v>
      </c>
      <c r="EE4" s="229">
        <v>5.5999999999999999E-3</v>
      </c>
      <c r="EF4" s="230">
        <v>2902979</v>
      </c>
      <c r="EG4" s="230">
        <v>1833533</v>
      </c>
      <c r="EH4" s="229">
        <v>0.58330000000000004</v>
      </c>
      <c r="EI4" s="229">
        <v>0.24099999999999999</v>
      </c>
      <c r="EJ4" s="231">
        <v>335346.01</v>
      </c>
      <c r="EK4" s="231">
        <v>146330.25</v>
      </c>
      <c r="EL4" s="231">
        <v>140185.94</v>
      </c>
      <c r="EM4" s="231">
        <v>5447</v>
      </c>
      <c r="EN4" s="231">
        <v>621862.19999999995</v>
      </c>
      <c r="EO4" s="231">
        <v>93926.71</v>
      </c>
      <c r="EP4" s="231">
        <v>527935.49</v>
      </c>
      <c r="EQ4" s="229">
        <v>5.6207000000000003</v>
      </c>
      <c r="ER4" s="231">
        <v>58493</v>
      </c>
      <c r="ES4" s="231">
        <v>36727</v>
      </c>
      <c r="ET4" s="231">
        <v>156085</v>
      </c>
      <c r="EU4" s="231">
        <v>123369777</v>
      </c>
      <c r="EV4" s="231">
        <v>251305</v>
      </c>
      <c r="EW4" s="231">
        <v>202446</v>
      </c>
      <c r="EX4" s="231">
        <v>48859</v>
      </c>
      <c r="EY4" s="229">
        <v>0.24129999999999999</v>
      </c>
      <c r="EZ4" s="229">
        <v>0.58230000000000004</v>
      </c>
      <c r="FA4" s="227" t="s">
        <v>566</v>
      </c>
      <c r="FB4" s="161">
        <f t="shared" si="0"/>
        <v>846300</v>
      </c>
    </row>
    <row r="5" spans="1:158" ht="17.25" thickBot="1" x14ac:dyDescent="0.3">
      <c r="A5" s="226">
        <v>46146</v>
      </c>
      <c r="B5" s="227" t="s">
        <v>161</v>
      </c>
      <c r="C5" s="227" t="s">
        <v>578</v>
      </c>
      <c r="D5" s="228">
        <v>675</v>
      </c>
      <c r="E5" s="231">
        <v>1406.9</v>
      </c>
      <c r="F5" s="231">
        <v>1350.7</v>
      </c>
      <c r="G5" s="228">
        <v>56.2</v>
      </c>
      <c r="H5" s="229">
        <v>4.1599999999999998E-2</v>
      </c>
      <c r="I5" s="231">
        <v>1398.4</v>
      </c>
      <c r="J5" s="231">
        <v>1342.25</v>
      </c>
      <c r="K5" s="228">
        <v>56.15</v>
      </c>
      <c r="L5" s="229">
        <v>4.1799999999999997E-2</v>
      </c>
      <c r="M5" s="231">
        <v>1406.9</v>
      </c>
      <c r="N5" s="231">
        <v>1350.7</v>
      </c>
      <c r="O5" s="228">
        <v>56.2</v>
      </c>
      <c r="P5" s="229">
        <v>4.1599999999999998E-2</v>
      </c>
      <c r="Q5" s="231">
        <v>1415.9</v>
      </c>
      <c r="R5" s="231">
        <v>1359.35</v>
      </c>
      <c r="S5" s="228">
        <v>56.55</v>
      </c>
      <c r="T5" s="229">
        <v>4.1599999999999998E-2</v>
      </c>
      <c r="U5" s="231">
        <v>1426</v>
      </c>
      <c r="V5" s="231">
        <v>1369.6</v>
      </c>
      <c r="W5" s="228">
        <v>56.4</v>
      </c>
      <c r="X5" s="229">
        <v>4.1200000000000001E-2</v>
      </c>
      <c r="Y5" s="228">
        <v>8.5</v>
      </c>
      <c r="Z5" s="228">
        <v>8.4499999999999993</v>
      </c>
      <c r="AA5" s="228">
        <v>0.05</v>
      </c>
      <c r="AB5" s="229">
        <v>6.1000000000000004E-3</v>
      </c>
      <c r="AC5" s="228">
        <v>8.5</v>
      </c>
      <c r="AD5" s="228">
        <v>8.4499999999999993</v>
      </c>
      <c r="AE5" s="228">
        <v>0.05</v>
      </c>
      <c r="AF5" s="229">
        <v>6.1000000000000004E-3</v>
      </c>
      <c r="AG5" s="228">
        <v>17.5</v>
      </c>
      <c r="AH5" s="228">
        <v>17.100000000000001</v>
      </c>
      <c r="AI5" s="228">
        <v>0.4</v>
      </c>
      <c r="AJ5" s="229">
        <v>1.2500000000000001E-2</v>
      </c>
      <c r="AK5" s="228">
        <v>27.6</v>
      </c>
      <c r="AL5" s="228">
        <v>27.35</v>
      </c>
      <c r="AM5" s="228">
        <v>0.25</v>
      </c>
      <c r="AN5" s="229">
        <v>1.9699999999999999E-2</v>
      </c>
      <c r="AO5" s="231">
        <v>1393.56</v>
      </c>
      <c r="AP5" s="231">
        <v>1397.3</v>
      </c>
      <c r="AQ5" s="228">
        <v>0</v>
      </c>
      <c r="AR5" s="230">
        <v>5924475</v>
      </c>
      <c r="AS5" s="230">
        <v>7988625</v>
      </c>
      <c r="AT5" s="230">
        <v>-2064150</v>
      </c>
      <c r="AU5" s="229">
        <v>-0.25840000000000002</v>
      </c>
      <c r="AV5" s="230">
        <v>5807025</v>
      </c>
      <c r="AW5" s="230">
        <v>7854300</v>
      </c>
      <c r="AX5" s="230">
        <v>-2047275</v>
      </c>
      <c r="AY5" s="229">
        <v>-0.26069999999999999</v>
      </c>
      <c r="AZ5" s="230">
        <v>105300</v>
      </c>
      <c r="BA5" s="230">
        <v>116100</v>
      </c>
      <c r="BB5" s="230">
        <v>-10800</v>
      </c>
      <c r="BC5" s="229">
        <v>-9.2999999999999999E-2</v>
      </c>
      <c r="BD5" s="230">
        <v>12150</v>
      </c>
      <c r="BE5" s="230">
        <v>18225</v>
      </c>
      <c r="BF5" s="230">
        <v>-6075</v>
      </c>
      <c r="BG5" s="229">
        <v>-0.33329999999999999</v>
      </c>
      <c r="BH5" s="230">
        <v>13597200</v>
      </c>
      <c r="BI5" s="230">
        <v>11559375</v>
      </c>
      <c r="BJ5" s="230">
        <v>2037825</v>
      </c>
      <c r="BK5" s="229">
        <v>0.17630000000000001</v>
      </c>
      <c r="BL5" s="230">
        <v>7105050</v>
      </c>
      <c r="BM5" s="230">
        <v>7232625</v>
      </c>
      <c r="BN5" s="230">
        <v>-127575</v>
      </c>
      <c r="BO5" s="229">
        <v>-1.7600000000000001E-2</v>
      </c>
      <c r="BP5" s="230">
        <v>26626725</v>
      </c>
      <c r="BQ5" s="230">
        <v>26780625</v>
      </c>
      <c r="BR5" s="230">
        <v>-153900</v>
      </c>
      <c r="BS5" s="229">
        <v>-5.7000000000000002E-3</v>
      </c>
      <c r="BT5" s="230">
        <v>3944915</v>
      </c>
      <c r="BU5" s="230">
        <v>6931864</v>
      </c>
      <c r="BV5" s="230">
        <v>-2986949</v>
      </c>
      <c r="BW5" s="229">
        <v>-0.43090000000000001</v>
      </c>
      <c r="BX5" s="230">
        <v>19521000</v>
      </c>
      <c r="BY5" s="230">
        <v>18477450</v>
      </c>
      <c r="BZ5" s="230">
        <v>1043550</v>
      </c>
      <c r="CA5" s="229">
        <v>5.6500000000000002E-2</v>
      </c>
      <c r="CB5" s="230">
        <v>19351575</v>
      </c>
      <c r="CC5" s="230">
        <v>18312750</v>
      </c>
      <c r="CD5" s="230">
        <v>1038825</v>
      </c>
      <c r="CE5" s="229">
        <v>5.67E-2</v>
      </c>
      <c r="CF5" s="230">
        <v>157950</v>
      </c>
      <c r="CG5" s="230">
        <v>149850</v>
      </c>
      <c r="CH5" s="230">
        <v>8100</v>
      </c>
      <c r="CI5" s="229">
        <v>5.4100000000000002E-2</v>
      </c>
      <c r="CJ5" s="230">
        <v>11475</v>
      </c>
      <c r="CK5" s="230">
        <v>14850</v>
      </c>
      <c r="CL5" s="230">
        <v>-3375</v>
      </c>
      <c r="CM5" s="229">
        <v>-0.2273</v>
      </c>
      <c r="CN5" s="230">
        <v>5191425</v>
      </c>
      <c r="CO5" s="230">
        <v>5620725</v>
      </c>
      <c r="CP5" s="230">
        <v>-429300</v>
      </c>
      <c r="CQ5" s="229">
        <v>-7.6399999999999996E-2</v>
      </c>
      <c r="CR5" s="230">
        <v>4245750</v>
      </c>
      <c r="CS5" s="230">
        <v>3630825</v>
      </c>
      <c r="CT5" s="230">
        <v>614925</v>
      </c>
      <c r="CU5" s="229">
        <v>0.1694</v>
      </c>
      <c r="CV5" s="230">
        <v>28958175</v>
      </c>
      <c r="CW5" s="230">
        <v>27729000</v>
      </c>
      <c r="CX5" s="230">
        <v>1229175</v>
      </c>
      <c r="CY5" s="229">
        <v>4.4299999999999999E-2</v>
      </c>
      <c r="CZ5" s="228">
        <v>53.11</v>
      </c>
      <c r="DA5" s="228">
        <v>56.05</v>
      </c>
      <c r="DB5" s="228">
        <v>-2.94</v>
      </c>
      <c r="DC5" s="228">
        <v>-2.94</v>
      </c>
      <c r="DD5" s="228">
        <v>56.38</v>
      </c>
      <c r="DE5" s="228">
        <v>56.26</v>
      </c>
      <c r="DF5" s="228">
        <v>-3.27</v>
      </c>
      <c r="DG5" s="228">
        <v>0.12</v>
      </c>
      <c r="DH5" s="228">
        <v>52.61</v>
      </c>
      <c r="DI5" s="228">
        <v>56.12</v>
      </c>
      <c r="DJ5" s="228">
        <v>-3.51</v>
      </c>
      <c r="DK5" s="228">
        <v>-3.51</v>
      </c>
      <c r="DL5" s="228">
        <v>54.06</v>
      </c>
      <c r="DM5" s="228">
        <v>55.93</v>
      </c>
      <c r="DN5" s="228">
        <v>-1.87</v>
      </c>
      <c r="DO5" s="228">
        <v>-1.87</v>
      </c>
      <c r="DP5" s="228">
        <v>0.82</v>
      </c>
      <c r="DQ5" s="228">
        <v>0.65</v>
      </c>
      <c r="DR5" s="228">
        <v>0.17</v>
      </c>
      <c r="DS5" s="229">
        <v>0.26150000000000001</v>
      </c>
      <c r="DT5" s="231">
        <v>1440</v>
      </c>
      <c r="DU5" s="231">
        <v>1300</v>
      </c>
      <c r="DV5" s="228">
        <v>0.52</v>
      </c>
      <c r="DW5" s="228">
        <v>0.63</v>
      </c>
      <c r="DX5" s="228">
        <v>-0.11</v>
      </c>
      <c r="DY5" s="229">
        <v>-0.17460000000000001</v>
      </c>
      <c r="DZ5" s="229">
        <v>8.6999999999999994E-3</v>
      </c>
      <c r="EA5" s="230">
        <v>164700</v>
      </c>
      <c r="EB5" s="229">
        <v>6.4000000000000003E-3</v>
      </c>
      <c r="EC5" s="229">
        <v>8.6999999999999994E-3</v>
      </c>
      <c r="ED5" s="228">
        <v>3.74</v>
      </c>
      <c r="EE5" s="229">
        <v>2.7000000000000001E-3</v>
      </c>
      <c r="EF5" s="230">
        <v>1349826</v>
      </c>
      <c r="EG5" s="230">
        <v>2087141</v>
      </c>
      <c r="EH5" s="229">
        <v>-0.3533</v>
      </c>
      <c r="EI5" s="229">
        <v>0.3422</v>
      </c>
      <c r="EJ5" s="231">
        <v>204440.3</v>
      </c>
      <c r="EK5" s="231">
        <v>94739.95</v>
      </c>
      <c r="EL5" s="231">
        <v>82565.53</v>
      </c>
      <c r="EM5" s="231">
        <v>10088</v>
      </c>
      <c r="EN5" s="231">
        <v>381745.78</v>
      </c>
      <c r="EO5" s="231">
        <v>373745.98</v>
      </c>
      <c r="EP5" s="231">
        <v>7999.8</v>
      </c>
      <c r="EQ5" s="229">
        <v>2.1399999999999999E-2</v>
      </c>
      <c r="ER5" s="231">
        <v>73272</v>
      </c>
      <c r="ES5" s="231">
        <v>54598</v>
      </c>
      <c r="ET5" s="231">
        <v>274657</v>
      </c>
      <c r="EU5" s="231">
        <v>35196587</v>
      </c>
      <c r="EV5" s="231">
        <v>402527</v>
      </c>
      <c r="EW5" s="231">
        <v>375707</v>
      </c>
      <c r="EX5" s="231">
        <v>26820</v>
      </c>
      <c r="EY5" s="229">
        <v>7.1400000000000005E-2</v>
      </c>
      <c r="EZ5" s="229">
        <v>0.82279999999999998</v>
      </c>
      <c r="FA5" s="227" t="s">
        <v>555</v>
      </c>
      <c r="FB5" s="161">
        <f t="shared" si="0"/>
        <v>169425</v>
      </c>
    </row>
    <row r="6" spans="1:158" ht="17.25" thickBot="1" x14ac:dyDescent="0.3">
      <c r="A6" s="226">
        <v>46146</v>
      </c>
      <c r="B6" s="227" t="s">
        <v>215</v>
      </c>
      <c r="C6" s="227" t="s">
        <v>159</v>
      </c>
      <c r="D6" s="228">
        <v>309</v>
      </c>
      <c r="E6" s="231">
        <v>2490.6999999999998</v>
      </c>
      <c r="F6" s="231">
        <v>2421.8000000000002</v>
      </c>
      <c r="G6" s="228">
        <v>68.900000000000006</v>
      </c>
      <c r="H6" s="229">
        <v>2.8400000000000002E-2</v>
      </c>
      <c r="I6" s="231">
        <v>2485.6999999999998</v>
      </c>
      <c r="J6" s="231">
        <v>2408.4</v>
      </c>
      <c r="K6" s="228">
        <v>77.3</v>
      </c>
      <c r="L6" s="229">
        <v>3.2099999999999997E-2</v>
      </c>
      <c r="M6" s="231">
        <v>2490.6999999999998</v>
      </c>
      <c r="N6" s="231">
        <v>2421.8000000000002</v>
      </c>
      <c r="O6" s="228">
        <v>68.900000000000006</v>
      </c>
      <c r="P6" s="229">
        <v>2.8400000000000002E-2</v>
      </c>
      <c r="Q6" s="231">
        <v>2503.5</v>
      </c>
      <c r="R6" s="231">
        <v>2434.8000000000002</v>
      </c>
      <c r="S6" s="228">
        <v>68.7</v>
      </c>
      <c r="T6" s="229">
        <v>2.8199999999999999E-2</v>
      </c>
      <c r="U6" s="231">
        <v>2515.5</v>
      </c>
      <c r="V6" s="231">
        <v>2446.9</v>
      </c>
      <c r="W6" s="228">
        <v>68.599999999999994</v>
      </c>
      <c r="X6" s="229">
        <v>2.8000000000000001E-2</v>
      </c>
      <c r="Y6" s="228">
        <v>5</v>
      </c>
      <c r="Z6" s="228">
        <v>13.4</v>
      </c>
      <c r="AA6" s="228">
        <v>-8.4</v>
      </c>
      <c r="AB6" s="229">
        <v>2E-3</v>
      </c>
      <c r="AC6" s="228">
        <v>5</v>
      </c>
      <c r="AD6" s="228">
        <v>13.4</v>
      </c>
      <c r="AE6" s="228">
        <v>-8.4</v>
      </c>
      <c r="AF6" s="229">
        <v>2E-3</v>
      </c>
      <c r="AG6" s="228">
        <v>17.8</v>
      </c>
      <c r="AH6" s="228">
        <v>26.4</v>
      </c>
      <c r="AI6" s="228">
        <v>-8.6</v>
      </c>
      <c r="AJ6" s="229">
        <v>7.1999999999999998E-3</v>
      </c>
      <c r="AK6" s="228">
        <v>29.8</v>
      </c>
      <c r="AL6" s="228">
        <v>38.5</v>
      </c>
      <c r="AM6" s="228">
        <v>-8.6999999999999993</v>
      </c>
      <c r="AN6" s="229">
        <v>1.2E-2</v>
      </c>
      <c r="AO6" s="231">
        <v>2473.35</v>
      </c>
      <c r="AP6" s="231">
        <v>2483.13</v>
      </c>
      <c r="AQ6" s="228">
        <v>0</v>
      </c>
      <c r="AR6" s="230">
        <v>8445897</v>
      </c>
      <c r="AS6" s="230">
        <v>5589192</v>
      </c>
      <c r="AT6" s="230">
        <v>2856705</v>
      </c>
      <c r="AU6" s="229">
        <v>0.5111</v>
      </c>
      <c r="AV6" s="230">
        <v>8121138</v>
      </c>
      <c r="AW6" s="230">
        <v>5422950</v>
      </c>
      <c r="AX6" s="230">
        <v>2698188</v>
      </c>
      <c r="AY6" s="229">
        <v>0.4975</v>
      </c>
      <c r="AZ6" s="230">
        <v>282735</v>
      </c>
      <c r="BA6" s="230">
        <v>145230</v>
      </c>
      <c r="BB6" s="230">
        <v>137505</v>
      </c>
      <c r="BC6" s="229">
        <v>0.94679999999999997</v>
      </c>
      <c r="BD6" s="230">
        <v>42024</v>
      </c>
      <c r="BE6" s="230">
        <v>21012</v>
      </c>
      <c r="BF6" s="230">
        <v>21012</v>
      </c>
      <c r="BG6" s="229">
        <v>1</v>
      </c>
      <c r="BH6" s="230">
        <v>24852252</v>
      </c>
      <c r="BI6" s="230">
        <v>13389897</v>
      </c>
      <c r="BJ6" s="230">
        <v>11462355</v>
      </c>
      <c r="BK6" s="229">
        <v>0.85599999999999998</v>
      </c>
      <c r="BL6" s="230">
        <v>14882676</v>
      </c>
      <c r="BM6" s="230">
        <v>7000704</v>
      </c>
      <c r="BN6" s="230">
        <v>7881972</v>
      </c>
      <c r="BO6" s="229">
        <v>1.1258999999999999</v>
      </c>
      <c r="BP6" s="230">
        <v>48180825</v>
      </c>
      <c r="BQ6" s="230">
        <v>25979793</v>
      </c>
      <c r="BR6" s="230">
        <v>22201032</v>
      </c>
      <c r="BS6" s="229">
        <v>0.85450000000000004</v>
      </c>
      <c r="BT6" s="230">
        <v>6260245</v>
      </c>
      <c r="BU6" s="230">
        <v>3900124</v>
      </c>
      <c r="BV6" s="230">
        <v>2360121</v>
      </c>
      <c r="BW6" s="229">
        <v>0.60509999999999997</v>
      </c>
      <c r="BX6" s="230">
        <v>19658889</v>
      </c>
      <c r="BY6" s="230">
        <v>19551048</v>
      </c>
      <c r="BZ6" s="230">
        <v>107841</v>
      </c>
      <c r="CA6" s="229">
        <v>5.4999999999999997E-3</v>
      </c>
      <c r="CB6" s="230">
        <v>19236795</v>
      </c>
      <c r="CC6" s="230">
        <v>19154601</v>
      </c>
      <c r="CD6" s="230">
        <v>82194</v>
      </c>
      <c r="CE6" s="229">
        <v>4.3E-3</v>
      </c>
      <c r="CF6" s="230">
        <v>399537</v>
      </c>
      <c r="CG6" s="230">
        <v>374508</v>
      </c>
      <c r="CH6" s="230">
        <v>25029</v>
      </c>
      <c r="CI6" s="229">
        <v>6.6799999999999998E-2</v>
      </c>
      <c r="CJ6" s="230">
        <v>22557</v>
      </c>
      <c r="CK6" s="230">
        <v>21939</v>
      </c>
      <c r="CL6" s="228">
        <v>618</v>
      </c>
      <c r="CM6" s="229">
        <v>2.8199999999999999E-2</v>
      </c>
      <c r="CN6" s="230">
        <v>7337205</v>
      </c>
      <c r="CO6" s="230">
        <v>6538131</v>
      </c>
      <c r="CP6" s="230">
        <v>799074</v>
      </c>
      <c r="CQ6" s="229">
        <v>0.1222</v>
      </c>
      <c r="CR6" s="230">
        <v>5591355</v>
      </c>
      <c r="CS6" s="230">
        <v>4901976</v>
      </c>
      <c r="CT6" s="230">
        <v>689379</v>
      </c>
      <c r="CU6" s="229">
        <v>0.1406</v>
      </c>
      <c r="CV6" s="230">
        <v>32587449</v>
      </c>
      <c r="CW6" s="230">
        <v>30991155</v>
      </c>
      <c r="CX6" s="230">
        <v>1596294</v>
      </c>
      <c r="CY6" s="229">
        <v>5.1499999999999997E-2</v>
      </c>
      <c r="CZ6" s="228">
        <v>40.020000000000003</v>
      </c>
      <c r="DA6" s="228">
        <v>42.32</v>
      </c>
      <c r="DB6" s="228">
        <v>-2.2999999999999998</v>
      </c>
      <c r="DC6" s="228">
        <v>-2.2999999999999998</v>
      </c>
      <c r="DD6" s="228">
        <v>48.97</v>
      </c>
      <c r="DE6" s="228">
        <v>48.94</v>
      </c>
      <c r="DF6" s="228">
        <v>-8.9499999999999993</v>
      </c>
      <c r="DG6" s="228">
        <v>0.03</v>
      </c>
      <c r="DH6" s="228">
        <v>39.28</v>
      </c>
      <c r="DI6" s="228">
        <v>41.67</v>
      </c>
      <c r="DJ6" s="228">
        <v>-2.39</v>
      </c>
      <c r="DK6" s="228">
        <v>-2.39</v>
      </c>
      <c r="DL6" s="228">
        <v>41.25</v>
      </c>
      <c r="DM6" s="228">
        <v>43.57</v>
      </c>
      <c r="DN6" s="228">
        <v>-2.3199999999999998</v>
      </c>
      <c r="DO6" s="228">
        <v>-2.3199999999999998</v>
      </c>
      <c r="DP6" s="228">
        <v>0.76</v>
      </c>
      <c r="DQ6" s="228">
        <v>0.75</v>
      </c>
      <c r="DR6" s="228">
        <v>0.01</v>
      </c>
      <c r="DS6" s="229">
        <v>1.3299999999999999E-2</v>
      </c>
      <c r="DT6" s="231">
        <v>2500</v>
      </c>
      <c r="DU6" s="231">
        <v>2400</v>
      </c>
      <c r="DV6" s="228">
        <v>0.6</v>
      </c>
      <c r="DW6" s="228">
        <v>0.52</v>
      </c>
      <c r="DX6" s="228">
        <v>0.08</v>
      </c>
      <c r="DY6" s="229">
        <v>0.15379999999999999</v>
      </c>
      <c r="DZ6" s="229">
        <v>2.1499999999999998E-2</v>
      </c>
      <c r="EA6" s="230">
        <v>396447</v>
      </c>
      <c r="EB6" s="229">
        <v>5.1000000000000004E-3</v>
      </c>
      <c r="EC6" s="229">
        <v>2.1499999999999998E-2</v>
      </c>
      <c r="ED6" s="228">
        <v>9.7799999999999994</v>
      </c>
      <c r="EE6" s="229">
        <v>4.0000000000000001E-3</v>
      </c>
      <c r="EF6" s="230">
        <v>1870030</v>
      </c>
      <c r="EG6" s="230">
        <v>1292712</v>
      </c>
      <c r="EH6" s="229">
        <v>0.4466</v>
      </c>
      <c r="EI6" s="229">
        <v>0.29870000000000002</v>
      </c>
      <c r="EJ6" s="231">
        <v>646330.42000000004</v>
      </c>
      <c r="EK6" s="231">
        <v>361690.55</v>
      </c>
      <c r="EL6" s="231">
        <v>208937.28</v>
      </c>
      <c r="EM6" s="231">
        <v>29494</v>
      </c>
      <c r="EN6" s="231">
        <v>1216958.25</v>
      </c>
      <c r="EO6" s="231">
        <v>641437.99</v>
      </c>
      <c r="EP6" s="231">
        <v>575520.26</v>
      </c>
      <c r="EQ6" s="229">
        <v>0.8972</v>
      </c>
      <c r="ER6" s="231">
        <v>180524</v>
      </c>
      <c r="ES6" s="231">
        <v>129000</v>
      </c>
      <c r="ET6" s="231">
        <v>489701</v>
      </c>
      <c r="EU6" s="231">
        <v>33645895</v>
      </c>
      <c r="EV6" s="231">
        <v>799225</v>
      </c>
      <c r="EW6" s="231">
        <v>744849</v>
      </c>
      <c r="EX6" s="231">
        <v>54376</v>
      </c>
      <c r="EY6" s="229">
        <v>7.2999999999999995E-2</v>
      </c>
      <c r="EZ6" s="229">
        <v>0.96850000000000003</v>
      </c>
      <c r="FA6" s="227" t="s">
        <v>555</v>
      </c>
      <c r="FB6" s="161">
        <f t="shared" si="0"/>
        <v>422094</v>
      </c>
    </row>
    <row r="7" spans="1:158" ht="17.25" thickBot="1" x14ac:dyDescent="0.3">
      <c r="A7" s="226">
        <v>46146</v>
      </c>
      <c r="B7" s="227" t="s">
        <v>161</v>
      </c>
      <c r="C7" s="227" t="s">
        <v>605</v>
      </c>
      <c r="D7" s="228">
        <v>600</v>
      </c>
      <c r="E7" s="231">
        <v>1298.0999999999999</v>
      </c>
      <c r="F7" s="231">
        <v>1235.2</v>
      </c>
      <c r="G7" s="228">
        <v>62.9</v>
      </c>
      <c r="H7" s="229">
        <v>5.0900000000000001E-2</v>
      </c>
      <c r="I7" s="231">
        <v>1290.7</v>
      </c>
      <c r="J7" s="231">
        <v>1227.1500000000001</v>
      </c>
      <c r="K7" s="228">
        <v>63.55</v>
      </c>
      <c r="L7" s="229">
        <v>5.1799999999999999E-2</v>
      </c>
      <c r="M7" s="231">
        <v>1298.0999999999999</v>
      </c>
      <c r="N7" s="231">
        <v>1235.2</v>
      </c>
      <c r="O7" s="228">
        <v>62.9</v>
      </c>
      <c r="P7" s="229">
        <v>5.0900000000000001E-2</v>
      </c>
      <c r="Q7" s="231">
        <v>1306</v>
      </c>
      <c r="R7" s="231">
        <v>1242.95</v>
      </c>
      <c r="S7" s="228">
        <v>63.05</v>
      </c>
      <c r="T7" s="229">
        <v>5.0700000000000002E-2</v>
      </c>
      <c r="U7" s="231">
        <v>1312</v>
      </c>
      <c r="V7" s="231">
        <v>1238.4000000000001</v>
      </c>
      <c r="W7" s="228">
        <v>73.599999999999994</v>
      </c>
      <c r="X7" s="229">
        <v>5.9400000000000001E-2</v>
      </c>
      <c r="Y7" s="228">
        <v>7.4</v>
      </c>
      <c r="Z7" s="228">
        <v>8.0500000000000007</v>
      </c>
      <c r="AA7" s="228">
        <v>-0.65</v>
      </c>
      <c r="AB7" s="229">
        <v>5.7000000000000002E-3</v>
      </c>
      <c r="AC7" s="228">
        <v>7.4</v>
      </c>
      <c r="AD7" s="228">
        <v>8.0500000000000007</v>
      </c>
      <c r="AE7" s="228">
        <v>-0.65</v>
      </c>
      <c r="AF7" s="229">
        <v>5.7000000000000002E-3</v>
      </c>
      <c r="AG7" s="228">
        <v>15.3</v>
      </c>
      <c r="AH7" s="228">
        <v>15.8</v>
      </c>
      <c r="AI7" s="228">
        <v>-0.5</v>
      </c>
      <c r="AJ7" s="229">
        <v>1.1900000000000001E-2</v>
      </c>
      <c r="AK7" s="228">
        <v>21.3</v>
      </c>
      <c r="AL7" s="228">
        <v>11.25</v>
      </c>
      <c r="AM7" s="228">
        <v>10.050000000000001</v>
      </c>
      <c r="AN7" s="229">
        <v>1.6500000000000001E-2</v>
      </c>
      <c r="AO7" s="231">
        <v>1285.26</v>
      </c>
      <c r="AP7" s="231">
        <v>1294.3800000000001</v>
      </c>
      <c r="AQ7" s="228">
        <v>0</v>
      </c>
      <c r="AR7" s="230">
        <v>6877200</v>
      </c>
      <c r="AS7" s="230">
        <v>3080400</v>
      </c>
      <c r="AT7" s="230">
        <v>3796800</v>
      </c>
      <c r="AU7" s="229">
        <v>1.2325999999999999</v>
      </c>
      <c r="AV7" s="230">
        <v>6673200</v>
      </c>
      <c r="AW7" s="230">
        <v>2970000</v>
      </c>
      <c r="AX7" s="230">
        <v>3703200</v>
      </c>
      <c r="AY7" s="229">
        <v>1.2468999999999999</v>
      </c>
      <c r="AZ7" s="230">
        <v>178800</v>
      </c>
      <c r="BA7" s="230">
        <v>104400</v>
      </c>
      <c r="BB7" s="230">
        <v>74400</v>
      </c>
      <c r="BC7" s="229">
        <v>0.71260000000000001</v>
      </c>
      <c r="BD7" s="230">
        <v>25200</v>
      </c>
      <c r="BE7" s="230">
        <v>6000</v>
      </c>
      <c r="BF7" s="230">
        <v>19200</v>
      </c>
      <c r="BG7" s="229">
        <v>3.2</v>
      </c>
      <c r="BH7" s="230">
        <v>16834800</v>
      </c>
      <c r="BI7" s="230">
        <v>4689000</v>
      </c>
      <c r="BJ7" s="230">
        <v>12145800</v>
      </c>
      <c r="BK7" s="229">
        <v>2.5903</v>
      </c>
      <c r="BL7" s="230">
        <v>7285800</v>
      </c>
      <c r="BM7" s="230">
        <v>3819000</v>
      </c>
      <c r="BN7" s="230">
        <v>3466800</v>
      </c>
      <c r="BO7" s="229">
        <v>0.90780000000000005</v>
      </c>
      <c r="BP7" s="230">
        <v>30997800</v>
      </c>
      <c r="BQ7" s="230">
        <v>11588400</v>
      </c>
      <c r="BR7" s="230">
        <v>19409400</v>
      </c>
      <c r="BS7" s="229">
        <v>1.6749000000000001</v>
      </c>
      <c r="BT7" s="230">
        <v>6905363</v>
      </c>
      <c r="BU7" s="230">
        <v>3352380</v>
      </c>
      <c r="BV7" s="230">
        <v>3552983</v>
      </c>
      <c r="BW7" s="229">
        <v>1.0598000000000001</v>
      </c>
      <c r="BX7" s="230">
        <v>21171000</v>
      </c>
      <c r="BY7" s="230">
        <v>20134200</v>
      </c>
      <c r="BZ7" s="230">
        <v>1036800</v>
      </c>
      <c r="CA7" s="229">
        <v>5.1499999999999997E-2</v>
      </c>
      <c r="CB7" s="230">
        <v>20903400</v>
      </c>
      <c r="CC7" s="230">
        <v>19908000</v>
      </c>
      <c r="CD7" s="230">
        <v>995400</v>
      </c>
      <c r="CE7" s="229">
        <v>0.05</v>
      </c>
      <c r="CF7" s="230">
        <v>247200</v>
      </c>
      <c r="CG7" s="230">
        <v>218400</v>
      </c>
      <c r="CH7" s="230">
        <v>28800</v>
      </c>
      <c r="CI7" s="229">
        <v>0.13189999999999999</v>
      </c>
      <c r="CJ7" s="230">
        <v>20400</v>
      </c>
      <c r="CK7" s="230">
        <v>7800</v>
      </c>
      <c r="CL7" s="230">
        <v>12600</v>
      </c>
      <c r="CM7" s="229">
        <v>1.6153999999999999</v>
      </c>
      <c r="CN7" s="230">
        <v>6364800</v>
      </c>
      <c r="CO7" s="230">
        <v>5634600</v>
      </c>
      <c r="CP7" s="230">
        <v>730200</v>
      </c>
      <c r="CQ7" s="229">
        <v>0.12959999999999999</v>
      </c>
      <c r="CR7" s="230">
        <v>4861200</v>
      </c>
      <c r="CS7" s="230">
        <v>4189800</v>
      </c>
      <c r="CT7" s="230">
        <v>671400</v>
      </c>
      <c r="CU7" s="229">
        <v>0.16020000000000001</v>
      </c>
      <c r="CV7" s="230">
        <v>32397000</v>
      </c>
      <c r="CW7" s="230">
        <v>29958600</v>
      </c>
      <c r="CX7" s="230">
        <v>2438400</v>
      </c>
      <c r="CY7" s="229">
        <v>8.14E-2</v>
      </c>
      <c r="CZ7" s="228">
        <v>49.76</v>
      </c>
      <c r="DA7" s="228">
        <v>49.66</v>
      </c>
      <c r="DB7" s="228">
        <v>0.1</v>
      </c>
      <c r="DC7" s="228">
        <v>0.1</v>
      </c>
      <c r="DD7" s="228">
        <v>58.66</v>
      </c>
      <c r="DE7" s="228">
        <v>58.42</v>
      </c>
      <c r="DF7" s="228">
        <v>-8.9</v>
      </c>
      <c r="DG7" s="228">
        <v>0.24</v>
      </c>
      <c r="DH7" s="228">
        <v>49.53</v>
      </c>
      <c r="DI7" s="228">
        <v>49.73</v>
      </c>
      <c r="DJ7" s="228">
        <v>-0.2</v>
      </c>
      <c r="DK7" s="228">
        <v>-0.2</v>
      </c>
      <c r="DL7" s="228">
        <v>50.31</v>
      </c>
      <c r="DM7" s="228">
        <v>49.59</v>
      </c>
      <c r="DN7" s="228">
        <v>0.72</v>
      </c>
      <c r="DO7" s="228">
        <v>0.72</v>
      </c>
      <c r="DP7" s="228">
        <v>0.76</v>
      </c>
      <c r="DQ7" s="228">
        <v>0.74</v>
      </c>
      <c r="DR7" s="228">
        <v>0.02</v>
      </c>
      <c r="DS7" s="229">
        <v>2.7E-2</v>
      </c>
      <c r="DT7" s="231">
        <v>1300</v>
      </c>
      <c r="DU7" s="231">
        <v>1200</v>
      </c>
      <c r="DV7" s="228">
        <v>0.43</v>
      </c>
      <c r="DW7" s="228">
        <v>0.81</v>
      </c>
      <c r="DX7" s="228">
        <v>-0.38</v>
      </c>
      <c r="DY7" s="229">
        <v>-0.46910000000000002</v>
      </c>
      <c r="DZ7" s="229">
        <v>1.26E-2</v>
      </c>
      <c r="EA7" s="230">
        <v>226200</v>
      </c>
      <c r="EB7" s="229">
        <v>6.1000000000000004E-3</v>
      </c>
      <c r="EC7" s="229">
        <v>1.26E-2</v>
      </c>
      <c r="ED7" s="228">
        <v>9.1199999999999992</v>
      </c>
      <c r="EE7" s="229">
        <v>7.1000000000000004E-3</v>
      </c>
      <c r="EF7" s="230">
        <v>1873278</v>
      </c>
      <c r="EG7" s="230">
        <v>962207</v>
      </c>
      <c r="EH7" s="229">
        <v>0.94689999999999996</v>
      </c>
      <c r="EI7" s="229">
        <v>0.27129999999999999</v>
      </c>
      <c r="EJ7" s="231">
        <v>229197.41</v>
      </c>
      <c r="EK7" s="231">
        <v>91327.94</v>
      </c>
      <c r="EL7" s="231">
        <v>88409.02</v>
      </c>
      <c r="EM7" s="231">
        <v>11508</v>
      </c>
      <c r="EN7" s="231">
        <v>408934.37</v>
      </c>
      <c r="EO7" s="231">
        <v>146553.82999999999</v>
      </c>
      <c r="EP7" s="231">
        <v>262380.53999999998</v>
      </c>
      <c r="EQ7" s="229">
        <v>1.7903</v>
      </c>
      <c r="ER7" s="231">
        <v>80371</v>
      </c>
      <c r="ES7" s="231">
        <v>57621</v>
      </c>
      <c r="ET7" s="231">
        <v>274843</v>
      </c>
      <c r="EU7" s="231">
        <v>64724093</v>
      </c>
      <c r="EV7" s="231">
        <v>412835</v>
      </c>
      <c r="EW7" s="231">
        <v>367993</v>
      </c>
      <c r="EX7" s="231">
        <v>44842</v>
      </c>
      <c r="EY7" s="229">
        <v>0.12189999999999999</v>
      </c>
      <c r="EZ7" s="229">
        <v>0.50049999999999994</v>
      </c>
      <c r="FA7" s="227" t="s">
        <v>555</v>
      </c>
      <c r="FB7" s="161">
        <f t="shared" si="0"/>
        <v>267600</v>
      </c>
    </row>
    <row r="8" spans="1:158" ht="17.25" thickBot="1" x14ac:dyDescent="0.3">
      <c r="A8" s="226">
        <v>46146</v>
      </c>
      <c r="B8" s="227" t="s">
        <v>215</v>
      </c>
      <c r="C8" s="227" t="s">
        <v>160</v>
      </c>
      <c r="D8" s="228">
        <v>475</v>
      </c>
      <c r="E8" s="231">
        <v>1748</v>
      </c>
      <c r="F8" s="231">
        <v>1662.9</v>
      </c>
      <c r="G8" s="228">
        <v>85.1</v>
      </c>
      <c r="H8" s="229">
        <v>5.1200000000000002E-2</v>
      </c>
      <c r="I8" s="231">
        <v>1742.6</v>
      </c>
      <c r="J8" s="231">
        <v>1657.3</v>
      </c>
      <c r="K8" s="228">
        <v>85.3</v>
      </c>
      <c r="L8" s="229">
        <v>5.1499999999999997E-2</v>
      </c>
      <c r="M8" s="231">
        <v>1748</v>
      </c>
      <c r="N8" s="231">
        <v>1662.9</v>
      </c>
      <c r="O8" s="228">
        <v>85.1</v>
      </c>
      <c r="P8" s="229">
        <v>5.1200000000000002E-2</v>
      </c>
      <c r="Q8" s="231">
        <v>1751.9</v>
      </c>
      <c r="R8" s="231">
        <v>1670.5</v>
      </c>
      <c r="S8" s="228">
        <v>81.400000000000006</v>
      </c>
      <c r="T8" s="229">
        <v>4.87E-2</v>
      </c>
      <c r="U8" s="231">
        <v>1760.4</v>
      </c>
      <c r="V8" s="231">
        <v>1677.6</v>
      </c>
      <c r="W8" s="228">
        <v>82.8</v>
      </c>
      <c r="X8" s="229">
        <v>4.9399999999999999E-2</v>
      </c>
      <c r="Y8" s="228">
        <v>5.4</v>
      </c>
      <c r="Z8" s="228">
        <v>5.6</v>
      </c>
      <c r="AA8" s="228">
        <v>-0.2</v>
      </c>
      <c r="AB8" s="229">
        <v>3.0999999999999999E-3</v>
      </c>
      <c r="AC8" s="228">
        <v>5.4</v>
      </c>
      <c r="AD8" s="228">
        <v>5.6</v>
      </c>
      <c r="AE8" s="228">
        <v>-0.2</v>
      </c>
      <c r="AF8" s="229">
        <v>3.0999999999999999E-3</v>
      </c>
      <c r="AG8" s="228">
        <v>9.3000000000000007</v>
      </c>
      <c r="AH8" s="228">
        <v>13.2</v>
      </c>
      <c r="AI8" s="228">
        <v>-3.9</v>
      </c>
      <c r="AJ8" s="229">
        <v>5.3E-3</v>
      </c>
      <c r="AK8" s="228">
        <v>17.8</v>
      </c>
      <c r="AL8" s="228">
        <v>20.3</v>
      </c>
      <c r="AM8" s="228">
        <v>-2.5</v>
      </c>
      <c r="AN8" s="229">
        <v>1.0200000000000001E-2</v>
      </c>
      <c r="AO8" s="231">
        <v>1728.74</v>
      </c>
      <c r="AP8" s="231">
        <v>1735.44</v>
      </c>
      <c r="AQ8" s="228">
        <v>0</v>
      </c>
      <c r="AR8" s="230">
        <v>9459625</v>
      </c>
      <c r="AS8" s="230">
        <v>10003025</v>
      </c>
      <c r="AT8" s="230">
        <v>-543400</v>
      </c>
      <c r="AU8" s="229">
        <v>-5.4300000000000001E-2</v>
      </c>
      <c r="AV8" s="230">
        <v>8915750</v>
      </c>
      <c r="AW8" s="230">
        <v>9707100</v>
      </c>
      <c r="AX8" s="230">
        <v>-791350</v>
      </c>
      <c r="AY8" s="229">
        <v>-8.1500000000000003E-2</v>
      </c>
      <c r="AZ8" s="230">
        <v>446025</v>
      </c>
      <c r="BA8" s="230">
        <v>227050</v>
      </c>
      <c r="BB8" s="230">
        <v>218975</v>
      </c>
      <c r="BC8" s="229">
        <v>0.96440000000000003</v>
      </c>
      <c r="BD8" s="230">
        <v>97850</v>
      </c>
      <c r="BE8" s="230">
        <v>68875</v>
      </c>
      <c r="BF8" s="230">
        <v>28975</v>
      </c>
      <c r="BG8" s="229">
        <v>0.42070000000000002</v>
      </c>
      <c r="BH8" s="230">
        <v>43768400</v>
      </c>
      <c r="BI8" s="230">
        <v>27402275</v>
      </c>
      <c r="BJ8" s="230">
        <v>16366125</v>
      </c>
      <c r="BK8" s="229">
        <v>0.59730000000000005</v>
      </c>
      <c r="BL8" s="230">
        <v>21611075</v>
      </c>
      <c r="BM8" s="230">
        <v>16303425</v>
      </c>
      <c r="BN8" s="230">
        <v>5307650</v>
      </c>
      <c r="BO8" s="229">
        <v>0.3256</v>
      </c>
      <c r="BP8" s="230">
        <v>74839100</v>
      </c>
      <c r="BQ8" s="230">
        <v>53708725</v>
      </c>
      <c r="BR8" s="230">
        <v>21130375</v>
      </c>
      <c r="BS8" s="229">
        <v>0.39340000000000003</v>
      </c>
      <c r="BT8" s="230">
        <v>53469006</v>
      </c>
      <c r="BU8" s="230">
        <v>6621997</v>
      </c>
      <c r="BV8" s="230">
        <v>46847009</v>
      </c>
      <c r="BW8" s="229">
        <v>7.0744999999999996</v>
      </c>
      <c r="BX8" s="230">
        <v>22219550</v>
      </c>
      <c r="BY8" s="230">
        <v>20777450</v>
      </c>
      <c r="BZ8" s="230">
        <v>1442100</v>
      </c>
      <c r="CA8" s="229">
        <v>6.9400000000000003E-2</v>
      </c>
      <c r="CB8" s="230">
        <v>21224900</v>
      </c>
      <c r="CC8" s="230">
        <v>19952850</v>
      </c>
      <c r="CD8" s="230">
        <v>1272050</v>
      </c>
      <c r="CE8" s="229">
        <v>6.3799999999999996E-2</v>
      </c>
      <c r="CF8" s="230">
        <v>938125</v>
      </c>
      <c r="CG8" s="230">
        <v>773775</v>
      </c>
      <c r="CH8" s="230">
        <v>164350</v>
      </c>
      <c r="CI8" s="229">
        <v>0.21240000000000001</v>
      </c>
      <c r="CJ8" s="230">
        <v>56525</v>
      </c>
      <c r="CK8" s="230">
        <v>50825</v>
      </c>
      <c r="CL8" s="230">
        <v>5700</v>
      </c>
      <c r="CM8" s="229">
        <v>0.11210000000000001</v>
      </c>
      <c r="CN8" s="230">
        <v>7983800</v>
      </c>
      <c r="CO8" s="230">
        <v>6005425</v>
      </c>
      <c r="CP8" s="230">
        <v>1978375</v>
      </c>
      <c r="CQ8" s="229">
        <v>0.32940000000000003</v>
      </c>
      <c r="CR8" s="230">
        <v>6502750</v>
      </c>
      <c r="CS8" s="230">
        <v>4829800</v>
      </c>
      <c r="CT8" s="230">
        <v>1672950</v>
      </c>
      <c r="CU8" s="229">
        <v>0.34639999999999999</v>
      </c>
      <c r="CV8" s="230">
        <v>36706100</v>
      </c>
      <c r="CW8" s="230">
        <v>31612675</v>
      </c>
      <c r="CX8" s="230">
        <v>5093425</v>
      </c>
      <c r="CY8" s="229">
        <v>0.16109999999999999</v>
      </c>
      <c r="CZ8" s="228">
        <v>33.01</v>
      </c>
      <c r="DA8" s="228">
        <v>32.909999999999997</v>
      </c>
      <c r="DB8" s="228">
        <v>0.1</v>
      </c>
      <c r="DC8" s="228">
        <v>0.1</v>
      </c>
      <c r="DD8" s="228">
        <v>40.17</v>
      </c>
      <c r="DE8" s="228">
        <v>39.69</v>
      </c>
      <c r="DF8" s="228">
        <v>-7.16</v>
      </c>
      <c r="DG8" s="228">
        <v>0.48</v>
      </c>
      <c r="DH8" s="228">
        <v>31.86</v>
      </c>
      <c r="DI8" s="228">
        <v>32.229999999999997</v>
      </c>
      <c r="DJ8" s="228">
        <v>-0.37</v>
      </c>
      <c r="DK8" s="228">
        <v>-0.37</v>
      </c>
      <c r="DL8" s="228">
        <v>35.340000000000003</v>
      </c>
      <c r="DM8" s="228">
        <v>34.04</v>
      </c>
      <c r="DN8" s="228">
        <v>1.3</v>
      </c>
      <c r="DO8" s="228">
        <v>1.3</v>
      </c>
      <c r="DP8" s="228">
        <v>0.81</v>
      </c>
      <c r="DQ8" s="228">
        <v>0.8</v>
      </c>
      <c r="DR8" s="228">
        <v>0.01</v>
      </c>
      <c r="DS8" s="229">
        <v>1.2500000000000001E-2</v>
      </c>
      <c r="DT8" s="231">
        <v>1800</v>
      </c>
      <c r="DU8" s="231">
        <v>1600</v>
      </c>
      <c r="DV8" s="228">
        <v>0.49</v>
      </c>
      <c r="DW8" s="228">
        <v>0.59</v>
      </c>
      <c r="DX8" s="228">
        <v>-0.1</v>
      </c>
      <c r="DY8" s="229">
        <v>-0.16950000000000001</v>
      </c>
      <c r="DZ8" s="229">
        <v>4.48E-2</v>
      </c>
      <c r="EA8" s="230">
        <v>824600</v>
      </c>
      <c r="EB8" s="229">
        <v>2.2000000000000001E-3</v>
      </c>
      <c r="EC8" s="229">
        <v>4.48E-2</v>
      </c>
      <c r="ED8" s="228">
        <v>6.7</v>
      </c>
      <c r="EE8" s="229">
        <v>3.8999999999999998E-3</v>
      </c>
      <c r="EF8" s="230">
        <v>48235819</v>
      </c>
      <c r="EG8" s="230">
        <v>2801329</v>
      </c>
      <c r="EH8" s="229">
        <v>16.218900000000001</v>
      </c>
      <c r="EI8" s="229">
        <v>0.90210000000000001</v>
      </c>
      <c r="EJ8" s="231">
        <v>790404.01</v>
      </c>
      <c r="EK8" s="231">
        <v>362093.68</v>
      </c>
      <c r="EL8" s="231">
        <v>163576.98000000001</v>
      </c>
      <c r="EM8" s="231">
        <v>18266</v>
      </c>
      <c r="EN8" s="231">
        <v>1316074.67</v>
      </c>
      <c r="EO8" s="231">
        <v>902711.37</v>
      </c>
      <c r="EP8" s="231">
        <v>413363.3</v>
      </c>
      <c r="EQ8" s="229">
        <v>0.45789999999999997</v>
      </c>
      <c r="ER8" s="231">
        <v>136744</v>
      </c>
      <c r="ES8" s="231">
        <v>103241</v>
      </c>
      <c r="ET8" s="231">
        <v>388441</v>
      </c>
      <c r="EU8" s="231">
        <v>88142691</v>
      </c>
      <c r="EV8" s="231">
        <v>628426</v>
      </c>
      <c r="EW8" s="231">
        <v>520831</v>
      </c>
      <c r="EX8" s="231">
        <v>107595</v>
      </c>
      <c r="EY8" s="229">
        <v>0.20660000000000001</v>
      </c>
      <c r="EZ8" s="229">
        <v>0.41639999999999999</v>
      </c>
      <c r="FA8" s="227" t="s">
        <v>555</v>
      </c>
      <c r="FB8" s="161">
        <f t="shared" si="0"/>
        <v>994650</v>
      </c>
    </row>
    <row r="9" spans="1:158" ht="17.25" thickBot="1" x14ac:dyDescent="0.3">
      <c r="A9" s="226">
        <v>46146</v>
      </c>
      <c r="B9" s="227" t="s">
        <v>161</v>
      </c>
      <c r="C9" s="227" t="s">
        <v>693</v>
      </c>
      <c r="D9" s="228">
        <v>3550</v>
      </c>
      <c r="E9" s="228">
        <v>228.01</v>
      </c>
      <c r="F9" s="228">
        <v>223.38</v>
      </c>
      <c r="G9" s="228">
        <v>4.63</v>
      </c>
      <c r="H9" s="229">
        <v>2.07E-2</v>
      </c>
      <c r="I9" s="228">
        <v>227.3</v>
      </c>
      <c r="J9" s="228">
        <v>221.85</v>
      </c>
      <c r="K9" s="228">
        <v>5.45</v>
      </c>
      <c r="L9" s="229">
        <v>2.46E-2</v>
      </c>
      <c r="M9" s="228">
        <v>228.01</v>
      </c>
      <c r="N9" s="228">
        <v>223.38</v>
      </c>
      <c r="O9" s="228">
        <v>4.63</v>
      </c>
      <c r="P9" s="229">
        <v>2.07E-2</v>
      </c>
      <c r="Q9" s="228">
        <v>229.03</v>
      </c>
      <c r="R9" s="228">
        <v>224.55</v>
      </c>
      <c r="S9" s="228">
        <v>4.4800000000000004</v>
      </c>
      <c r="T9" s="229">
        <v>0.02</v>
      </c>
      <c r="U9" s="228">
        <v>230.34</v>
      </c>
      <c r="V9" s="228">
        <v>225.17</v>
      </c>
      <c r="W9" s="228">
        <v>5.17</v>
      </c>
      <c r="X9" s="229">
        <v>2.3E-2</v>
      </c>
      <c r="Y9" s="228">
        <v>0.71</v>
      </c>
      <c r="Z9" s="228">
        <v>1.53</v>
      </c>
      <c r="AA9" s="228">
        <v>-0.82</v>
      </c>
      <c r="AB9" s="229">
        <v>3.0999999999999999E-3</v>
      </c>
      <c r="AC9" s="228">
        <v>0.71</v>
      </c>
      <c r="AD9" s="228">
        <v>1.53</v>
      </c>
      <c r="AE9" s="228">
        <v>-0.82</v>
      </c>
      <c r="AF9" s="229">
        <v>3.0999999999999999E-3</v>
      </c>
      <c r="AG9" s="228">
        <v>1.73</v>
      </c>
      <c r="AH9" s="228">
        <v>2.7</v>
      </c>
      <c r="AI9" s="228">
        <v>-0.97</v>
      </c>
      <c r="AJ9" s="229">
        <v>7.6E-3</v>
      </c>
      <c r="AK9" s="228">
        <v>3.04</v>
      </c>
      <c r="AL9" s="228">
        <v>3.32</v>
      </c>
      <c r="AM9" s="228">
        <v>-0.28000000000000003</v>
      </c>
      <c r="AN9" s="229">
        <v>1.34E-2</v>
      </c>
      <c r="AO9" s="228">
        <v>229.04</v>
      </c>
      <c r="AP9" s="228">
        <v>229.15</v>
      </c>
      <c r="AQ9" s="228">
        <v>0</v>
      </c>
      <c r="AR9" s="230">
        <v>42163350</v>
      </c>
      <c r="AS9" s="230">
        <v>46213900</v>
      </c>
      <c r="AT9" s="230">
        <v>-4050550</v>
      </c>
      <c r="AU9" s="229">
        <v>-8.7599999999999997E-2</v>
      </c>
      <c r="AV9" s="230">
        <v>39795500</v>
      </c>
      <c r="AW9" s="230">
        <v>44105200</v>
      </c>
      <c r="AX9" s="230">
        <v>-4309700</v>
      </c>
      <c r="AY9" s="229">
        <v>-9.7699999999999995E-2</v>
      </c>
      <c r="AZ9" s="230">
        <v>2034150</v>
      </c>
      <c r="BA9" s="230">
        <v>1945400</v>
      </c>
      <c r="BB9" s="230">
        <v>88750</v>
      </c>
      <c r="BC9" s="229">
        <v>4.5600000000000002E-2</v>
      </c>
      <c r="BD9" s="230">
        <v>333700</v>
      </c>
      <c r="BE9" s="230">
        <v>163300</v>
      </c>
      <c r="BF9" s="230">
        <v>170400</v>
      </c>
      <c r="BG9" s="229">
        <v>1.0435000000000001</v>
      </c>
      <c r="BH9" s="230">
        <v>81951750</v>
      </c>
      <c r="BI9" s="230">
        <v>82885400</v>
      </c>
      <c r="BJ9" s="230">
        <v>-933650</v>
      </c>
      <c r="BK9" s="229">
        <v>-1.1299999999999999E-2</v>
      </c>
      <c r="BL9" s="230">
        <v>35102400</v>
      </c>
      <c r="BM9" s="230">
        <v>36415900</v>
      </c>
      <c r="BN9" s="230">
        <v>-1313500</v>
      </c>
      <c r="BO9" s="229">
        <v>-3.61E-2</v>
      </c>
      <c r="BP9" s="230">
        <v>159217500</v>
      </c>
      <c r="BQ9" s="230">
        <v>165515200</v>
      </c>
      <c r="BR9" s="230">
        <v>-6297700</v>
      </c>
      <c r="BS9" s="229">
        <v>-3.7999999999999999E-2</v>
      </c>
      <c r="BT9" s="230">
        <v>72953908</v>
      </c>
      <c r="BU9" s="230">
        <v>70535661</v>
      </c>
      <c r="BV9" s="230">
        <v>2418247</v>
      </c>
      <c r="BW9" s="229">
        <v>3.4299999999999997E-2</v>
      </c>
      <c r="BX9" s="230">
        <v>76711950</v>
      </c>
      <c r="BY9" s="230">
        <v>75441050</v>
      </c>
      <c r="BZ9" s="230">
        <v>1270900</v>
      </c>
      <c r="CA9" s="229">
        <v>1.6799999999999999E-2</v>
      </c>
      <c r="CB9" s="230">
        <v>74081400</v>
      </c>
      <c r="CC9" s="230">
        <v>73360750</v>
      </c>
      <c r="CD9" s="230">
        <v>720650</v>
      </c>
      <c r="CE9" s="229">
        <v>9.7999999999999997E-3</v>
      </c>
      <c r="CF9" s="230">
        <v>2424650</v>
      </c>
      <c r="CG9" s="230">
        <v>1980900</v>
      </c>
      <c r="CH9" s="230">
        <v>443750</v>
      </c>
      <c r="CI9" s="229">
        <v>0.224</v>
      </c>
      <c r="CJ9" s="230">
        <v>205900</v>
      </c>
      <c r="CK9" s="230">
        <v>99400</v>
      </c>
      <c r="CL9" s="230">
        <v>106500</v>
      </c>
      <c r="CM9" s="229">
        <v>1.0713999999999999</v>
      </c>
      <c r="CN9" s="230">
        <v>30643600</v>
      </c>
      <c r="CO9" s="230">
        <v>31431700</v>
      </c>
      <c r="CP9" s="230">
        <v>-788100</v>
      </c>
      <c r="CQ9" s="229">
        <v>-2.5100000000000001E-2</v>
      </c>
      <c r="CR9" s="230">
        <v>20323750</v>
      </c>
      <c r="CS9" s="230">
        <v>20171100</v>
      </c>
      <c r="CT9" s="230">
        <v>152650</v>
      </c>
      <c r="CU9" s="229">
        <v>7.6E-3</v>
      </c>
      <c r="CV9" s="230">
        <v>127679300</v>
      </c>
      <c r="CW9" s="230">
        <v>127043850</v>
      </c>
      <c r="CX9" s="230">
        <v>635450</v>
      </c>
      <c r="CY9" s="229">
        <v>5.0000000000000001E-3</v>
      </c>
      <c r="CZ9" s="228">
        <v>52.77</v>
      </c>
      <c r="DA9" s="228">
        <v>52.26</v>
      </c>
      <c r="DB9" s="228">
        <v>0.51</v>
      </c>
      <c r="DC9" s="228">
        <v>0.51</v>
      </c>
      <c r="DD9" s="228">
        <v>52.43</v>
      </c>
      <c r="DE9" s="228">
        <v>52.45</v>
      </c>
      <c r="DF9" s="228">
        <v>0.34</v>
      </c>
      <c r="DG9" s="228">
        <v>-0.02</v>
      </c>
      <c r="DH9" s="228">
        <v>52.65</v>
      </c>
      <c r="DI9" s="228">
        <v>52.09</v>
      </c>
      <c r="DJ9" s="228">
        <v>0.56000000000000005</v>
      </c>
      <c r="DK9" s="228">
        <v>0.56000000000000005</v>
      </c>
      <c r="DL9" s="228">
        <v>53.07</v>
      </c>
      <c r="DM9" s="228">
        <v>52.66</v>
      </c>
      <c r="DN9" s="228">
        <v>0.41</v>
      </c>
      <c r="DO9" s="228">
        <v>0.41</v>
      </c>
      <c r="DP9" s="228">
        <v>0.66</v>
      </c>
      <c r="DQ9" s="228">
        <v>0.64</v>
      </c>
      <c r="DR9" s="228">
        <v>0.02</v>
      </c>
      <c r="DS9" s="229">
        <v>3.1300000000000001E-2</v>
      </c>
      <c r="DT9" s="228">
        <v>230</v>
      </c>
      <c r="DU9" s="228">
        <v>200</v>
      </c>
      <c r="DV9" s="228">
        <v>0.43</v>
      </c>
      <c r="DW9" s="228">
        <v>0.44</v>
      </c>
      <c r="DX9" s="228">
        <v>-0.01</v>
      </c>
      <c r="DY9" s="229">
        <v>-2.2700000000000001E-2</v>
      </c>
      <c r="DZ9" s="229">
        <v>3.4299999999999997E-2</v>
      </c>
      <c r="EA9" s="230">
        <v>2080300</v>
      </c>
      <c r="EB9" s="229">
        <v>4.4999999999999997E-3</v>
      </c>
      <c r="EC9" s="229">
        <v>3.4299999999999997E-2</v>
      </c>
      <c r="ED9" s="228">
        <v>0.11</v>
      </c>
      <c r="EE9" s="229">
        <v>5.0000000000000001E-4</v>
      </c>
      <c r="EF9" s="230">
        <v>17470011</v>
      </c>
      <c r="EG9" s="230">
        <v>16587130</v>
      </c>
      <c r="EH9" s="229">
        <v>5.3199999999999997E-2</v>
      </c>
      <c r="EI9" s="229">
        <v>0.23949999999999999</v>
      </c>
      <c r="EJ9" s="231">
        <v>199611.93</v>
      </c>
      <c r="EK9" s="231">
        <v>76527.570000000007</v>
      </c>
      <c r="EL9" s="231">
        <v>96581.33</v>
      </c>
      <c r="EM9" s="231">
        <v>12725</v>
      </c>
      <c r="EN9" s="231">
        <v>372720.83</v>
      </c>
      <c r="EO9" s="231">
        <v>379331.39</v>
      </c>
      <c r="EP9" s="231">
        <v>-6610.56</v>
      </c>
      <c r="EQ9" s="229">
        <v>-1.7399999999999999E-2</v>
      </c>
      <c r="ER9" s="231">
        <v>69235</v>
      </c>
      <c r="ES9" s="231">
        <v>41919</v>
      </c>
      <c r="ET9" s="231">
        <v>174940</v>
      </c>
      <c r="EU9" s="231">
        <v>482906787</v>
      </c>
      <c r="EV9" s="231">
        <v>286095</v>
      </c>
      <c r="EW9" s="231">
        <v>279965</v>
      </c>
      <c r="EX9" s="231">
        <v>6130</v>
      </c>
      <c r="EY9" s="229">
        <v>2.1899999999999999E-2</v>
      </c>
      <c r="EZ9" s="229">
        <v>0.26440000000000002</v>
      </c>
      <c r="FA9" s="227" t="s">
        <v>555</v>
      </c>
      <c r="FB9" s="161">
        <f t="shared" si="0"/>
        <v>2630550</v>
      </c>
    </row>
    <row r="10" spans="1:158" ht="17.25" thickBot="1" x14ac:dyDescent="0.3">
      <c r="A10" s="226">
        <v>46146</v>
      </c>
      <c r="B10" s="227" t="s">
        <v>170</v>
      </c>
      <c r="C10" s="227" t="s">
        <v>497</v>
      </c>
      <c r="D10" s="228">
        <v>125</v>
      </c>
      <c r="E10" s="231">
        <v>5350</v>
      </c>
      <c r="F10" s="231">
        <v>5393.5</v>
      </c>
      <c r="G10" s="228">
        <v>-43.5</v>
      </c>
      <c r="H10" s="229">
        <v>-8.0999999999999996E-3</v>
      </c>
      <c r="I10" s="231">
        <v>5360.5</v>
      </c>
      <c r="J10" s="231">
        <v>5400</v>
      </c>
      <c r="K10" s="228">
        <v>-39.5</v>
      </c>
      <c r="L10" s="229">
        <v>-7.3000000000000001E-3</v>
      </c>
      <c r="M10" s="231">
        <v>5350</v>
      </c>
      <c r="N10" s="231">
        <v>5393.5</v>
      </c>
      <c r="O10" s="228">
        <v>-43.5</v>
      </c>
      <c r="P10" s="229">
        <v>-8.0999999999999996E-3</v>
      </c>
      <c r="Q10" s="231">
        <v>5373</v>
      </c>
      <c r="R10" s="231">
        <v>5412.5</v>
      </c>
      <c r="S10" s="228">
        <v>-39.5</v>
      </c>
      <c r="T10" s="229">
        <v>-7.3000000000000001E-3</v>
      </c>
      <c r="U10" s="231">
        <v>5370</v>
      </c>
      <c r="V10" s="231">
        <v>5370</v>
      </c>
      <c r="W10" s="228">
        <v>0</v>
      </c>
      <c r="X10" s="229">
        <v>0</v>
      </c>
      <c r="Y10" s="228">
        <v>-10.5</v>
      </c>
      <c r="Z10" s="228">
        <v>-6.5</v>
      </c>
      <c r="AA10" s="228">
        <v>-4</v>
      </c>
      <c r="AB10" s="229">
        <v>-2E-3</v>
      </c>
      <c r="AC10" s="228">
        <v>-10.5</v>
      </c>
      <c r="AD10" s="228">
        <v>-6.5</v>
      </c>
      <c r="AE10" s="228">
        <v>-4</v>
      </c>
      <c r="AF10" s="229">
        <v>-2E-3</v>
      </c>
      <c r="AG10" s="228">
        <v>12.5</v>
      </c>
      <c r="AH10" s="228">
        <v>12.5</v>
      </c>
      <c r="AI10" s="228">
        <v>0</v>
      </c>
      <c r="AJ10" s="229">
        <v>2.3E-3</v>
      </c>
      <c r="AK10" s="228">
        <v>9.5</v>
      </c>
      <c r="AL10" s="228">
        <v>-30</v>
      </c>
      <c r="AM10" s="228">
        <v>39.5</v>
      </c>
      <c r="AN10" s="229">
        <v>1.8E-3</v>
      </c>
      <c r="AO10" s="231">
        <v>5369.84</v>
      </c>
      <c r="AP10" s="231">
        <v>5393.76</v>
      </c>
      <c r="AQ10" s="228">
        <v>0</v>
      </c>
      <c r="AR10" s="230">
        <v>120000</v>
      </c>
      <c r="AS10" s="230">
        <v>179000</v>
      </c>
      <c r="AT10" s="230">
        <v>-59000</v>
      </c>
      <c r="AU10" s="229">
        <v>-0.3296</v>
      </c>
      <c r="AV10" s="230">
        <v>112625</v>
      </c>
      <c r="AW10" s="230">
        <v>175875</v>
      </c>
      <c r="AX10" s="230">
        <v>-63250</v>
      </c>
      <c r="AY10" s="229">
        <v>-0.35959999999999998</v>
      </c>
      <c r="AZ10" s="230">
        <v>7375</v>
      </c>
      <c r="BA10" s="230">
        <v>3125</v>
      </c>
      <c r="BB10" s="230">
        <v>4250</v>
      </c>
      <c r="BC10" s="229">
        <v>1.36</v>
      </c>
      <c r="BD10" s="228">
        <v>0</v>
      </c>
      <c r="BE10" s="228">
        <v>0</v>
      </c>
      <c r="BF10" s="228">
        <v>0</v>
      </c>
      <c r="BG10" s="229">
        <v>0</v>
      </c>
      <c r="BH10" s="230">
        <v>180125</v>
      </c>
      <c r="BI10" s="230">
        <v>183500</v>
      </c>
      <c r="BJ10" s="230">
        <v>-3375</v>
      </c>
      <c r="BK10" s="229">
        <v>-1.84E-2</v>
      </c>
      <c r="BL10" s="230">
        <v>69500</v>
      </c>
      <c r="BM10" s="230">
        <v>90125</v>
      </c>
      <c r="BN10" s="230">
        <v>-20625</v>
      </c>
      <c r="BO10" s="229">
        <v>-0.2288</v>
      </c>
      <c r="BP10" s="230">
        <v>369625</v>
      </c>
      <c r="BQ10" s="230">
        <v>452625</v>
      </c>
      <c r="BR10" s="230">
        <v>-83000</v>
      </c>
      <c r="BS10" s="229">
        <v>-0.18340000000000001</v>
      </c>
      <c r="BT10" s="230">
        <v>106062</v>
      </c>
      <c r="BU10" s="230">
        <v>154870</v>
      </c>
      <c r="BV10" s="230">
        <v>-48808</v>
      </c>
      <c r="BW10" s="229">
        <v>-0.31519999999999998</v>
      </c>
      <c r="BX10" s="230">
        <v>1058250</v>
      </c>
      <c r="BY10" s="230">
        <v>1050125</v>
      </c>
      <c r="BZ10" s="230">
        <v>8125</v>
      </c>
      <c r="CA10" s="229">
        <v>7.7000000000000002E-3</v>
      </c>
      <c r="CB10" s="230">
        <v>1051375</v>
      </c>
      <c r="CC10" s="230">
        <v>1046875</v>
      </c>
      <c r="CD10" s="230">
        <v>4500</v>
      </c>
      <c r="CE10" s="229">
        <v>4.3E-3</v>
      </c>
      <c r="CF10" s="230">
        <v>6750</v>
      </c>
      <c r="CG10" s="230">
        <v>3125</v>
      </c>
      <c r="CH10" s="230">
        <v>3625</v>
      </c>
      <c r="CI10" s="229">
        <v>1.1599999999999999</v>
      </c>
      <c r="CJ10" s="228">
        <v>125</v>
      </c>
      <c r="CK10" s="228">
        <v>125</v>
      </c>
      <c r="CL10" s="228">
        <v>0</v>
      </c>
      <c r="CM10" s="229">
        <v>0</v>
      </c>
      <c r="CN10" s="230">
        <v>196375</v>
      </c>
      <c r="CO10" s="230">
        <v>130875</v>
      </c>
      <c r="CP10" s="230">
        <v>65500</v>
      </c>
      <c r="CQ10" s="229">
        <v>0.50049999999999994</v>
      </c>
      <c r="CR10" s="230">
        <v>128750</v>
      </c>
      <c r="CS10" s="230">
        <v>112875</v>
      </c>
      <c r="CT10" s="230">
        <v>15875</v>
      </c>
      <c r="CU10" s="229">
        <v>0.1406</v>
      </c>
      <c r="CV10" s="230">
        <v>1383375</v>
      </c>
      <c r="CW10" s="230">
        <v>1293875</v>
      </c>
      <c r="CX10" s="230">
        <v>89500</v>
      </c>
      <c r="CY10" s="229">
        <v>6.9199999999999998E-2</v>
      </c>
      <c r="CZ10" s="228">
        <v>31.15</v>
      </c>
      <c r="DA10" s="228">
        <v>32.81</v>
      </c>
      <c r="DB10" s="228">
        <v>-1.66</v>
      </c>
      <c r="DC10" s="228">
        <v>-1.66</v>
      </c>
      <c r="DD10" s="228">
        <v>29.09</v>
      </c>
      <c r="DE10" s="228">
        <v>29.14</v>
      </c>
      <c r="DF10" s="228">
        <v>2.06</v>
      </c>
      <c r="DG10" s="228">
        <v>-0.05</v>
      </c>
      <c r="DH10" s="228">
        <v>30.89</v>
      </c>
      <c r="DI10" s="228">
        <v>32.17</v>
      </c>
      <c r="DJ10" s="228">
        <v>-1.28</v>
      </c>
      <c r="DK10" s="228">
        <v>-1.28</v>
      </c>
      <c r="DL10" s="228">
        <v>31.84</v>
      </c>
      <c r="DM10" s="228">
        <v>34.11</v>
      </c>
      <c r="DN10" s="228">
        <v>-2.27</v>
      </c>
      <c r="DO10" s="228">
        <v>-2.27</v>
      </c>
      <c r="DP10" s="228">
        <v>0.66</v>
      </c>
      <c r="DQ10" s="228">
        <v>0.86</v>
      </c>
      <c r="DR10" s="228">
        <v>-0.2</v>
      </c>
      <c r="DS10" s="229">
        <v>-0.2326</v>
      </c>
      <c r="DT10" s="231">
        <v>5800</v>
      </c>
      <c r="DU10" s="231">
        <v>5400</v>
      </c>
      <c r="DV10" s="228">
        <v>0.39</v>
      </c>
      <c r="DW10" s="228">
        <v>0.49</v>
      </c>
      <c r="DX10" s="228">
        <v>-0.1</v>
      </c>
      <c r="DY10" s="229">
        <v>-0.2041</v>
      </c>
      <c r="DZ10" s="229">
        <v>6.4999999999999997E-3</v>
      </c>
      <c r="EA10" s="230">
        <v>3250</v>
      </c>
      <c r="EB10" s="229">
        <v>4.3E-3</v>
      </c>
      <c r="EC10" s="229">
        <v>6.4999999999999997E-3</v>
      </c>
      <c r="ED10" s="228">
        <v>23.92</v>
      </c>
      <c r="EE10" s="229">
        <v>4.4999999999999997E-3</v>
      </c>
      <c r="EF10" s="230">
        <v>50104</v>
      </c>
      <c r="EG10" s="230">
        <v>92070</v>
      </c>
      <c r="EH10" s="229">
        <v>-0.45579999999999998</v>
      </c>
      <c r="EI10" s="229">
        <v>0.47239999999999999</v>
      </c>
      <c r="EJ10" s="231">
        <v>10340.36</v>
      </c>
      <c r="EK10" s="231">
        <v>3705.83</v>
      </c>
      <c r="EL10" s="231">
        <v>6445.57</v>
      </c>
      <c r="EM10" s="231">
        <v>3904</v>
      </c>
      <c r="EN10" s="231">
        <v>20491.759999999998</v>
      </c>
      <c r="EO10" s="231">
        <v>24773.33</v>
      </c>
      <c r="EP10" s="231">
        <v>-4281.57</v>
      </c>
      <c r="EQ10" s="229">
        <v>-0.17280000000000001</v>
      </c>
      <c r="ER10" s="231">
        <v>11184</v>
      </c>
      <c r="ES10" s="231">
        <v>6679</v>
      </c>
      <c r="ET10" s="231">
        <v>56618</v>
      </c>
      <c r="EU10" s="231">
        <v>5873365</v>
      </c>
      <c r="EV10" s="231">
        <v>74481</v>
      </c>
      <c r="EW10" s="231">
        <v>69885</v>
      </c>
      <c r="EX10" s="231">
        <v>4596</v>
      </c>
      <c r="EY10" s="229">
        <v>6.5799999999999997E-2</v>
      </c>
      <c r="EZ10" s="229">
        <v>0.23549999999999999</v>
      </c>
      <c r="FA10" s="227" t="s">
        <v>566</v>
      </c>
      <c r="FB10" s="161">
        <f t="shared" si="0"/>
        <v>6875</v>
      </c>
    </row>
    <row r="11" spans="1:158" ht="17.25" thickBot="1" x14ac:dyDescent="0.3">
      <c r="A11" s="226">
        <v>46146</v>
      </c>
      <c r="B11" s="227" t="s">
        <v>184</v>
      </c>
      <c r="C11" s="227" t="s">
        <v>677</v>
      </c>
      <c r="D11" s="228">
        <v>100</v>
      </c>
      <c r="E11" s="231">
        <v>8051</v>
      </c>
      <c r="F11" s="231">
        <v>7996</v>
      </c>
      <c r="G11" s="228">
        <v>55</v>
      </c>
      <c r="H11" s="229">
        <v>6.8999999999999999E-3</v>
      </c>
      <c r="I11" s="231">
        <v>8007</v>
      </c>
      <c r="J11" s="231">
        <v>8024</v>
      </c>
      <c r="K11" s="228">
        <v>-17</v>
      </c>
      <c r="L11" s="229">
        <v>-2.0999999999999999E-3</v>
      </c>
      <c r="M11" s="231">
        <v>8051</v>
      </c>
      <c r="N11" s="231">
        <v>7996</v>
      </c>
      <c r="O11" s="228">
        <v>55</v>
      </c>
      <c r="P11" s="229">
        <v>6.8999999999999999E-3</v>
      </c>
      <c r="Q11" s="231">
        <v>7993</v>
      </c>
      <c r="R11" s="231">
        <v>7930</v>
      </c>
      <c r="S11" s="228">
        <v>63</v>
      </c>
      <c r="T11" s="229">
        <v>7.9000000000000008E-3</v>
      </c>
      <c r="U11" s="231">
        <v>7855</v>
      </c>
      <c r="V11" s="231">
        <v>7855</v>
      </c>
      <c r="W11" s="228">
        <v>0</v>
      </c>
      <c r="X11" s="229">
        <v>0</v>
      </c>
      <c r="Y11" s="228">
        <v>44</v>
      </c>
      <c r="Z11" s="228">
        <v>-28</v>
      </c>
      <c r="AA11" s="228">
        <v>72</v>
      </c>
      <c r="AB11" s="229">
        <v>5.4999999999999997E-3</v>
      </c>
      <c r="AC11" s="228">
        <v>44</v>
      </c>
      <c r="AD11" s="228">
        <v>-28</v>
      </c>
      <c r="AE11" s="228">
        <v>72</v>
      </c>
      <c r="AF11" s="229">
        <v>5.4999999999999997E-3</v>
      </c>
      <c r="AG11" s="228">
        <v>-14</v>
      </c>
      <c r="AH11" s="228">
        <v>-94</v>
      </c>
      <c r="AI11" s="228">
        <v>80</v>
      </c>
      <c r="AJ11" s="229">
        <v>-1.6999999999999999E-3</v>
      </c>
      <c r="AK11" s="228">
        <v>-152</v>
      </c>
      <c r="AL11" s="228">
        <v>-169</v>
      </c>
      <c r="AM11" s="228">
        <v>17</v>
      </c>
      <c r="AN11" s="229">
        <v>-1.9E-2</v>
      </c>
      <c r="AO11" s="231">
        <v>8035.68</v>
      </c>
      <c r="AP11" s="231">
        <v>7970.37</v>
      </c>
      <c r="AQ11" s="228">
        <v>0</v>
      </c>
      <c r="AR11" s="230">
        <v>202000</v>
      </c>
      <c r="AS11" s="230">
        <v>237700</v>
      </c>
      <c r="AT11" s="230">
        <v>-35700</v>
      </c>
      <c r="AU11" s="229">
        <v>-0.1502</v>
      </c>
      <c r="AV11" s="230">
        <v>199300</v>
      </c>
      <c r="AW11" s="230">
        <v>230500</v>
      </c>
      <c r="AX11" s="230">
        <v>-31200</v>
      </c>
      <c r="AY11" s="229">
        <v>-0.13539999999999999</v>
      </c>
      <c r="AZ11" s="230">
        <v>2700</v>
      </c>
      <c r="BA11" s="230">
        <v>7000</v>
      </c>
      <c r="BB11" s="230">
        <v>-4300</v>
      </c>
      <c r="BC11" s="229">
        <v>-0.61429999999999996</v>
      </c>
      <c r="BD11" s="228">
        <v>0</v>
      </c>
      <c r="BE11" s="228">
        <v>200</v>
      </c>
      <c r="BF11" s="228">
        <v>-200</v>
      </c>
      <c r="BG11" s="229">
        <v>-1</v>
      </c>
      <c r="BH11" s="230">
        <v>289700</v>
      </c>
      <c r="BI11" s="230">
        <v>420100</v>
      </c>
      <c r="BJ11" s="230">
        <v>-130400</v>
      </c>
      <c r="BK11" s="229">
        <v>-0.31040000000000001</v>
      </c>
      <c r="BL11" s="230">
        <v>135000</v>
      </c>
      <c r="BM11" s="230">
        <v>309200</v>
      </c>
      <c r="BN11" s="230">
        <v>-174200</v>
      </c>
      <c r="BO11" s="229">
        <v>-0.56340000000000001</v>
      </c>
      <c r="BP11" s="230">
        <v>626700</v>
      </c>
      <c r="BQ11" s="230">
        <v>967000</v>
      </c>
      <c r="BR11" s="230">
        <v>-340300</v>
      </c>
      <c r="BS11" s="229">
        <v>-0.35189999999999999</v>
      </c>
      <c r="BT11" s="230">
        <v>215100</v>
      </c>
      <c r="BU11" s="230">
        <v>166923</v>
      </c>
      <c r="BV11" s="230">
        <v>48177</v>
      </c>
      <c r="BW11" s="229">
        <v>0.28860000000000002</v>
      </c>
      <c r="BX11" s="230">
        <v>1210000</v>
      </c>
      <c r="BY11" s="230">
        <v>1183100</v>
      </c>
      <c r="BZ11" s="230">
        <v>26900</v>
      </c>
      <c r="CA11" s="229">
        <v>2.2700000000000001E-2</v>
      </c>
      <c r="CB11" s="230">
        <v>1191200</v>
      </c>
      <c r="CC11" s="230">
        <v>1164500</v>
      </c>
      <c r="CD11" s="230">
        <v>26700</v>
      </c>
      <c r="CE11" s="229">
        <v>2.29E-2</v>
      </c>
      <c r="CF11" s="230">
        <v>18400</v>
      </c>
      <c r="CG11" s="230">
        <v>18200</v>
      </c>
      <c r="CH11" s="228">
        <v>200</v>
      </c>
      <c r="CI11" s="229">
        <v>1.0999999999999999E-2</v>
      </c>
      <c r="CJ11" s="228">
        <v>400</v>
      </c>
      <c r="CK11" s="228">
        <v>400</v>
      </c>
      <c r="CL11" s="228">
        <v>0</v>
      </c>
      <c r="CM11" s="229">
        <v>0</v>
      </c>
      <c r="CN11" s="230">
        <v>422200</v>
      </c>
      <c r="CO11" s="230">
        <v>375600</v>
      </c>
      <c r="CP11" s="230">
        <v>46600</v>
      </c>
      <c r="CQ11" s="229">
        <v>0.1241</v>
      </c>
      <c r="CR11" s="230">
        <v>210000</v>
      </c>
      <c r="CS11" s="230">
        <v>198400</v>
      </c>
      <c r="CT11" s="230">
        <v>11600</v>
      </c>
      <c r="CU11" s="229">
        <v>5.8500000000000003E-2</v>
      </c>
      <c r="CV11" s="230">
        <v>1842200</v>
      </c>
      <c r="CW11" s="230">
        <v>1757100</v>
      </c>
      <c r="CX11" s="230">
        <v>85100</v>
      </c>
      <c r="CY11" s="229">
        <v>4.8399999999999999E-2</v>
      </c>
      <c r="CZ11" s="228">
        <v>46.08</v>
      </c>
      <c r="DA11" s="228">
        <v>43.45</v>
      </c>
      <c r="DB11" s="228">
        <v>2.63</v>
      </c>
      <c r="DC11" s="228">
        <v>2.63</v>
      </c>
      <c r="DD11" s="228">
        <v>53.54</v>
      </c>
      <c r="DE11" s="228">
        <v>53.67</v>
      </c>
      <c r="DF11" s="228">
        <v>-7.46</v>
      </c>
      <c r="DG11" s="228">
        <v>-0.13</v>
      </c>
      <c r="DH11" s="228">
        <v>45.97</v>
      </c>
      <c r="DI11" s="228">
        <v>43.5</v>
      </c>
      <c r="DJ11" s="228">
        <v>2.4700000000000002</v>
      </c>
      <c r="DK11" s="228">
        <v>2.4700000000000002</v>
      </c>
      <c r="DL11" s="228">
        <v>46.32</v>
      </c>
      <c r="DM11" s="228">
        <v>43.38</v>
      </c>
      <c r="DN11" s="228">
        <v>2.94</v>
      </c>
      <c r="DO11" s="228">
        <v>2.94</v>
      </c>
      <c r="DP11" s="228">
        <v>0.5</v>
      </c>
      <c r="DQ11" s="228">
        <v>0.53</v>
      </c>
      <c r="DR11" s="228">
        <v>-0.03</v>
      </c>
      <c r="DS11" s="229">
        <v>-5.6599999999999998E-2</v>
      </c>
      <c r="DT11" s="231">
        <v>8000</v>
      </c>
      <c r="DU11" s="231">
        <v>8000</v>
      </c>
      <c r="DV11" s="228">
        <v>0.47</v>
      </c>
      <c r="DW11" s="228">
        <v>0.74</v>
      </c>
      <c r="DX11" s="228">
        <v>-0.27</v>
      </c>
      <c r="DY11" s="229">
        <v>-0.3649</v>
      </c>
      <c r="DZ11" s="229">
        <v>1.55E-2</v>
      </c>
      <c r="EA11" s="230">
        <v>18600</v>
      </c>
      <c r="EB11" s="229">
        <v>-7.1999999999999998E-3</v>
      </c>
      <c r="EC11" s="229">
        <v>1.55E-2</v>
      </c>
      <c r="ED11" s="228">
        <v>-65.31</v>
      </c>
      <c r="EE11" s="229">
        <v>-8.0999999999999996E-3</v>
      </c>
      <c r="EF11" s="230">
        <v>106157</v>
      </c>
      <c r="EG11" s="230">
        <v>48750</v>
      </c>
      <c r="EH11" s="229">
        <v>1.1776</v>
      </c>
      <c r="EI11" s="229">
        <v>0.49349999999999999</v>
      </c>
      <c r="EJ11" s="231">
        <v>25192.17</v>
      </c>
      <c r="EK11" s="231">
        <v>10576.54</v>
      </c>
      <c r="EL11" s="231">
        <v>16230.31</v>
      </c>
      <c r="EM11" s="231">
        <v>7314</v>
      </c>
      <c r="EN11" s="231">
        <v>51999.02</v>
      </c>
      <c r="EO11" s="231">
        <v>79609.11</v>
      </c>
      <c r="EP11" s="231">
        <v>-27610.09</v>
      </c>
      <c r="EQ11" s="229">
        <v>-0.3468</v>
      </c>
      <c r="ER11" s="231">
        <v>35399</v>
      </c>
      <c r="ES11" s="231">
        <v>15997</v>
      </c>
      <c r="ET11" s="231">
        <v>97406</v>
      </c>
      <c r="EU11" s="231">
        <v>3260820</v>
      </c>
      <c r="EV11" s="231">
        <v>148802</v>
      </c>
      <c r="EW11" s="231">
        <v>141068</v>
      </c>
      <c r="EX11" s="231">
        <v>7734</v>
      </c>
      <c r="EY11" s="229">
        <v>5.4800000000000001E-2</v>
      </c>
      <c r="EZ11" s="229">
        <v>0.56489999999999996</v>
      </c>
      <c r="FA11" s="227" t="s">
        <v>555</v>
      </c>
      <c r="FB11" s="161">
        <f t="shared" si="0"/>
        <v>18800</v>
      </c>
    </row>
    <row r="12" spans="1:158" ht="17.25" thickBot="1" x14ac:dyDescent="0.3">
      <c r="A12" s="226">
        <v>46146</v>
      </c>
      <c r="B12" s="227" t="s">
        <v>157</v>
      </c>
      <c r="C12" s="227" t="s">
        <v>164</v>
      </c>
      <c r="D12" s="228">
        <v>1050</v>
      </c>
      <c r="E12" s="228">
        <v>447.35</v>
      </c>
      <c r="F12" s="228">
        <v>446.8</v>
      </c>
      <c r="G12" s="228">
        <v>0.55000000000000004</v>
      </c>
      <c r="H12" s="229">
        <v>1.1999999999999999E-3</v>
      </c>
      <c r="I12" s="228">
        <v>445.3</v>
      </c>
      <c r="J12" s="228">
        <v>444.2</v>
      </c>
      <c r="K12" s="228">
        <v>1.1000000000000001</v>
      </c>
      <c r="L12" s="229">
        <v>2.5000000000000001E-3</v>
      </c>
      <c r="M12" s="228">
        <v>447.35</v>
      </c>
      <c r="N12" s="228">
        <v>446.8</v>
      </c>
      <c r="O12" s="228">
        <v>0.55000000000000004</v>
      </c>
      <c r="P12" s="229">
        <v>1.1999999999999999E-3</v>
      </c>
      <c r="Q12" s="228">
        <v>447.7</v>
      </c>
      <c r="R12" s="228">
        <v>448.2</v>
      </c>
      <c r="S12" s="228">
        <v>-0.5</v>
      </c>
      <c r="T12" s="229">
        <v>-1.1000000000000001E-3</v>
      </c>
      <c r="U12" s="228">
        <v>452.35</v>
      </c>
      <c r="V12" s="228">
        <v>451.5</v>
      </c>
      <c r="W12" s="228">
        <v>0.85</v>
      </c>
      <c r="X12" s="229">
        <v>1.9E-3</v>
      </c>
      <c r="Y12" s="228">
        <v>2.0499999999999998</v>
      </c>
      <c r="Z12" s="228">
        <v>2.6</v>
      </c>
      <c r="AA12" s="228">
        <v>-0.55000000000000004</v>
      </c>
      <c r="AB12" s="229">
        <v>4.5999999999999999E-3</v>
      </c>
      <c r="AC12" s="228">
        <v>2.0499999999999998</v>
      </c>
      <c r="AD12" s="228">
        <v>2.6</v>
      </c>
      <c r="AE12" s="228">
        <v>-0.55000000000000004</v>
      </c>
      <c r="AF12" s="229">
        <v>4.5999999999999999E-3</v>
      </c>
      <c r="AG12" s="228">
        <v>2.4</v>
      </c>
      <c r="AH12" s="228">
        <v>4</v>
      </c>
      <c r="AI12" s="228">
        <v>-1.6</v>
      </c>
      <c r="AJ12" s="229">
        <v>5.4000000000000003E-3</v>
      </c>
      <c r="AK12" s="228">
        <v>7.05</v>
      </c>
      <c r="AL12" s="228">
        <v>7.3</v>
      </c>
      <c r="AM12" s="228">
        <v>-0.25</v>
      </c>
      <c r="AN12" s="229">
        <v>1.5800000000000002E-2</v>
      </c>
      <c r="AO12" s="228">
        <v>450.03</v>
      </c>
      <c r="AP12" s="228">
        <v>450.69</v>
      </c>
      <c r="AQ12" s="228">
        <v>0</v>
      </c>
      <c r="AR12" s="230">
        <v>33271350</v>
      </c>
      <c r="AS12" s="230">
        <v>4843650</v>
      </c>
      <c r="AT12" s="230">
        <v>28427700</v>
      </c>
      <c r="AU12" s="229">
        <v>5.8691000000000004</v>
      </c>
      <c r="AV12" s="230">
        <v>32336850</v>
      </c>
      <c r="AW12" s="230">
        <v>4621050</v>
      </c>
      <c r="AX12" s="230">
        <v>27715800</v>
      </c>
      <c r="AY12" s="229">
        <v>5.9977</v>
      </c>
      <c r="AZ12" s="230">
        <v>880950</v>
      </c>
      <c r="BA12" s="230">
        <v>201600</v>
      </c>
      <c r="BB12" s="230">
        <v>679350</v>
      </c>
      <c r="BC12" s="229">
        <v>3.3698000000000001</v>
      </c>
      <c r="BD12" s="230">
        <v>53550</v>
      </c>
      <c r="BE12" s="230">
        <v>21000</v>
      </c>
      <c r="BF12" s="230">
        <v>32550</v>
      </c>
      <c r="BG12" s="229">
        <v>1.55</v>
      </c>
      <c r="BH12" s="230">
        <v>78684900</v>
      </c>
      <c r="BI12" s="230">
        <v>7628250</v>
      </c>
      <c r="BJ12" s="230">
        <v>71056650</v>
      </c>
      <c r="BK12" s="229">
        <v>9.3148999999999997</v>
      </c>
      <c r="BL12" s="230">
        <v>35864850</v>
      </c>
      <c r="BM12" s="230">
        <v>3257100</v>
      </c>
      <c r="BN12" s="230">
        <v>32607750</v>
      </c>
      <c r="BO12" s="229">
        <v>10.0113</v>
      </c>
      <c r="BP12" s="230">
        <v>147821100</v>
      </c>
      <c r="BQ12" s="230">
        <v>15729000</v>
      </c>
      <c r="BR12" s="230">
        <v>132092100</v>
      </c>
      <c r="BS12" s="229">
        <v>8.3979999999999997</v>
      </c>
      <c r="BT12" s="230">
        <v>12981016</v>
      </c>
      <c r="BU12" s="230">
        <v>3520402</v>
      </c>
      <c r="BV12" s="230">
        <v>9460614</v>
      </c>
      <c r="BW12" s="229">
        <v>2.6873999999999998</v>
      </c>
      <c r="BX12" s="230">
        <v>70679850</v>
      </c>
      <c r="BY12" s="230">
        <v>62562900</v>
      </c>
      <c r="BZ12" s="230">
        <v>8116950</v>
      </c>
      <c r="CA12" s="229">
        <v>0.12970000000000001</v>
      </c>
      <c r="CB12" s="230">
        <v>69297900</v>
      </c>
      <c r="CC12" s="230">
        <v>61475400</v>
      </c>
      <c r="CD12" s="230">
        <v>7822500</v>
      </c>
      <c r="CE12" s="229">
        <v>0.12720000000000001</v>
      </c>
      <c r="CF12" s="230">
        <v>1338750</v>
      </c>
      <c r="CG12" s="230">
        <v>1064700</v>
      </c>
      <c r="CH12" s="230">
        <v>274050</v>
      </c>
      <c r="CI12" s="229">
        <v>0.25740000000000002</v>
      </c>
      <c r="CJ12" s="230">
        <v>43200</v>
      </c>
      <c r="CK12" s="230">
        <v>22800</v>
      </c>
      <c r="CL12" s="230">
        <v>20400</v>
      </c>
      <c r="CM12" s="229">
        <v>0.89470000000000005</v>
      </c>
      <c r="CN12" s="230">
        <v>18998700</v>
      </c>
      <c r="CO12" s="230">
        <v>11313750</v>
      </c>
      <c r="CP12" s="230">
        <v>7684950</v>
      </c>
      <c r="CQ12" s="229">
        <v>0.67930000000000001</v>
      </c>
      <c r="CR12" s="230">
        <v>10534650</v>
      </c>
      <c r="CS12" s="230">
        <v>9138150</v>
      </c>
      <c r="CT12" s="230">
        <v>1396500</v>
      </c>
      <c r="CU12" s="229">
        <v>0.15279999999999999</v>
      </c>
      <c r="CV12" s="230">
        <v>100213200</v>
      </c>
      <c r="CW12" s="230">
        <v>83014800</v>
      </c>
      <c r="CX12" s="230">
        <v>17198400</v>
      </c>
      <c r="CY12" s="229">
        <v>0.2072</v>
      </c>
      <c r="CZ12" s="228">
        <v>35.94</v>
      </c>
      <c r="DA12" s="228">
        <v>37.17</v>
      </c>
      <c r="DB12" s="228">
        <v>-1.23</v>
      </c>
      <c r="DC12" s="228">
        <v>-1.23</v>
      </c>
      <c r="DD12" s="228">
        <v>36.36</v>
      </c>
      <c r="DE12" s="228">
        <v>36.46</v>
      </c>
      <c r="DF12" s="228">
        <v>-0.42</v>
      </c>
      <c r="DG12" s="228">
        <v>-0.1</v>
      </c>
      <c r="DH12" s="228">
        <v>36.21</v>
      </c>
      <c r="DI12" s="228">
        <v>37.61</v>
      </c>
      <c r="DJ12" s="228">
        <v>-1.4</v>
      </c>
      <c r="DK12" s="228">
        <v>-1.4</v>
      </c>
      <c r="DL12" s="228">
        <v>35.33</v>
      </c>
      <c r="DM12" s="228">
        <v>36.14</v>
      </c>
      <c r="DN12" s="228">
        <v>-0.81</v>
      </c>
      <c r="DO12" s="228">
        <v>-0.81</v>
      </c>
      <c r="DP12" s="228">
        <v>0.55000000000000004</v>
      </c>
      <c r="DQ12" s="228">
        <v>0.81</v>
      </c>
      <c r="DR12" s="228">
        <v>-0.26</v>
      </c>
      <c r="DS12" s="229">
        <v>-0.32100000000000001</v>
      </c>
      <c r="DT12" s="228">
        <v>500</v>
      </c>
      <c r="DU12" s="228">
        <v>520</v>
      </c>
      <c r="DV12" s="228">
        <v>0.46</v>
      </c>
      <c r="DW12" s="228">
        <v>0.43</v>
      </c>
      <c r="DX12" s="228">
        <v>0.03</v>
      </c>
      <c r="DY12" s="229">
        <v>6.9800000000000001E-2</v>
      </c>
      <c r="DZ12" s="229">
        <v>1.9599999999999999E-2</v>
      </c>
      <c r="EA12" s="230">
        <v>1087500</v>
      </c>
      <c r="EB12" s="229">
        <v>8.0000000000000004E-4</v>
      </c>
      <c r="EC12" s="229">
        <v>1.9599999999999999E-2</v>
      </c>
      <c r="ED12" s="228">
        <v>0.66</v>
      </c>
      <c r="EE12" s="229">
        <v>1.5E-3</v>
      </c>
      <c r="EF12" s="230">
        <v>2873161</v>
      </c>
      <c r="EG12" s="230">
        <v>1876576</v>
      </c>
      <c r="EH12" s="229">
        <v>0.53110000000000002</v>
      </c>
      <c r="EI12" s="229">
        <v>0.2213</v>
      </c>
      <c r="EJ12" s="231">
        <v>377794.44</v>
      </c>
      <c r="EK12" s="231">
        <v>162586.23000000001</v>
      </c>
      <c r="EL12" s="231">
        <v>149774.70000000001</v>
      </c>
      <c r="EM12" s="231">
        <v>15436</v>
      </c>
      <c r="EN12" s="231">
        <v>690155.37</v>
      </c>
      <c r="EO12" s="231">
        <v>73315.3</v>
      </c>
      <c r="EP12" s="231">
        <v>616840.06999999995</v>
      </c>
      <c r="EQ12" s="229">
        <v>8.4135000000000009</v>
      </c>
      <c r="ER12" s="231">
        <v>90702</v>
      </c>
      <c r="ES12" s="231">
        <v>48506</v>
      </c>
      <c r="ET12" s="231">
        <v>316193</v>
      </c>
      <c r="EU12" s="231">
        <v>97233107</v>
      </c>
      <c r="EV12" s="231">
        <v>455401</v>
      </c>
      <c r="EW12" s="231">
        <v>376186</v>
      </c>
      <c r="EX12" s="231">
        <v>79215</v>
      </c>
      <c r="EY12" s="229">
        <v>0.21060000000000001</v>
      </c>
      <c r="EZ12" s="229">
        <v>1.0306</v>
      </c>
      <c r="FA12" s="227" t="s">
        <v>555</v>
      </c>
      <c r="FB12" s="161">
        <f t="shared" si="0"/>
        <v>1381950</v>
      </c>
    </row>
    <row r="13" spans="1:158" ht="17.25" thickBot="1" x14ac:dyDescent="0.3">
      <c r="A13" s="226">
        <v>46146</v>
      </c>
      <c r="B13" s="227" t="s">
        <v>175</v>
      </c>
      <c r="C13" s="227" t="s">
        <v>608</v>
      </c>
      <c r="D13" s="228">
        <v>2500</v>
      </c>
      <c r="E13" s="228">
        <v>309.5</v>
      </c>
      <c r="F13" s="228">
        <v>310.38</v>
      </c>
      <c r="G13" s="228">
        <v>-0.88</v>
      </c>
      <c r="H13" s="229">
        <v>-2.8E-3</v>
      </c>
      <c r="I13" s="228">
        <v>307.7</v>
      </c>
      <c r="J13" s="228">
        <v>308.70999999999998</v>
      </c>
      <c r="K13" s="228">
        <v>-1.01</v>
      </c>
      <c r="L13" s="229">
        <v>-3.3E-3</v>
      </c>
      <c r="M13" s="228">
        <v>309.5</v>
      </c>
      <c r="N13" s="228">
        <v>310.38</v>
      </c>
      <c r="O13" s="228">
        <v>-0.88</v>
      </c>
      <c r="P13" s="229">
        <v>-2.8E-3</v>
      </c>
      <c r="Q13" s="228">
        <v>309</v>
      </c>
      <c r="R13" s="228">
        <v>308.95</v>
      </c>
      <c r="S13" s="228">
        <v>0.05</v>
      </c>
      <c r="T13" s="229">
        <v>2.0000000000000001E-4</v>
      </c>
      <c r="U13" s="228">
        <v>308.05</v>
      </c>
      <c r="V13" s="228">
        <v>308.38</v>
      </c>
      <c r="W13" s="228">
        <v>-0.33</v>
      </c>
      <c r="X13" s="229">
        <v>-1.1000000000000001E-3</v>
      </c>
      <c r="Y13" s="228">
        <v>1.8</v>
      </c>
      <c r="Z13" s="228">
        <v>1.67</v>
      </c>
      <c r="AA13" s="228">
        <v>0.13</v>
      </c>
      <c r="AB13" s="229">
        <v>5.7999999999999996E-3</v>
      </c>
      <c r="AC13" s="228">
        <v>1.8</v>
      </c>
      <c r="AD13" s="228">
        <v>1.67</v>
      </c>
      <c r="AE13" s="228">
        <v>0.13</v>
      </c>
      <c r="AF13" s="229">
        <v>5.7999999999999996E-3</v>
      </c>
      <c r="AG13" s="228">
        <v>1.3</v>
      </c>
      <c r="AH13" s="228">
        <v>0.24</v>
      </c>
      <c r="AI13" s="228">
        <v>1.06</v>
      </c>
      <c r="AJ13" s="229">
        <v>4.1999999999999997E-3</v>
      </c>
      <c r="AK13" s="228">
        <v>0.35</v>
      </c>
      <c r="AL13" s="228">
        <v>-0.33</v>
      </c>
      <c r="AM13" s="228">
        <v>0.68</v>
      </c>
      <c r="AN13" s="229">
        <v>1.1000000000000001E-3</v>
      </c>
      <c r="AO13" s="228">
        <v>310.12</v>
      </c>
      <c r="AP13" s="228">
        <v>308.87</v>
      </c>
      <c r="AQ13" s="228">
        <v>0</v>
      </c>
      <c r="AR13" s="230">
        <v>6285000</v>
      </c>
      <c r="AS13" s="230">
        <v>5590000</v>
      </c>
      <c r="AT13" s="230">
        <v>695000</v>
      </c>
      <c r="AU13" s="229">
        <v>0.12429999999999999</v>
      </c>
      <c r="AV13" s="230">
        <v>6050000</v>
      </c>
      <c r="AW13" s="230">
        <v>5207500</v>
      </c>
      <c r="AX13" s="230">
        <v>842500</v>
      </c>
      <c r="AY13" s="229">
        <v>0.1618</v>
      </c>
      <c r="AZ13" s="230">
        <v>205000</v>
      </c>
      <c r="BA13" s="230">
        <v>282500</v>
      </c>
      <c r="BB13" s="230">
        <v>-77500</v>
      </c>
      <c r="BC13" s="229">
        <v>-0.27429999999999999</v>
      </c>
      <c r="BD13" s="230">
        <v>30000</v>
      </c>
      <c r="BE13" s="230">
        <v>100000</v>
      </c>
      <c r="BF13" s="230">
        <v>-70000</v>
      </c>
      <c r="BG13" s="229">
        <v>-0.7</v>
      </c>
      <c r="BH13" s="230">
        <v>13700000</v>
      </c>
      <c r="BI13" s="230">
        <v>10042500</v>
      </c>
      <c r="BJ13" s="230">
        <v>3657500</v>
      </c>
      <c r="BK13" s="229">
        <v>0.36420000000000002</v>
      </c>
      <c r="BL13" s="230">
        <v>7647500</v>
      </c>
      <c r="BM13" s="230">
        <v>5790000</v>
      </c>
      <c r="BN13" s="230">
        <v>1857500</v>
      </c>
      <c r="BO13" s="229">
        <v>0.32079999999999997</v>
      </c>
      <c r="BP13" s="230">
        <v>27632500</v>
      </c>
      <c r="BQ13" s="230">
        <v>21422500</v>
      </c>
      <c r="BR13" s="230">
        <v>6210000</v>
      </c>
      <c r="BS13" s="229">
        <v>0.28989999999999999</v>
      </c>
      <c r="BT13" s="230">
        <v>5291585</v>
      </c>
      <c r="BU13" s="230">
        <v>4217611</v>
      </c>
      <c r="BV13" s="230">
        <v>1073974</v>
      </c>
      <c r="BW13" s="229">
        <v>0.25459999999999999</v>
      </c>
      <c r="BX13" s="230">
        <v>23957500</v>
      </c>
      <c r="BY13" s="230">
        <v>22020000</v>
      </c>
      <c r="BZ13" s="230">
        <v>1937500</v>
      </c>
      <c r="CA13" s="229">
        <v>8.7999999999999995E-2</v>
      </c>
      <c r="CB13" s="230">
        <v>23275000</v>
      </c>
      <c r="CC13" s="230">
        <v>21427500</v>
      </c>
      <c r="CD13" s="230">
        <v>1847500</v>
      </c>
      <c r="CE13" s="229">
        <v>8.6199999999999999E-2</v>
      </c>
      <c r="CF13" s="230">
        <v>567500</v>
      </c>
      <c r="CG13" s="230">
        <v>502500</v>
      </c>
      <c r="CH13" s="230">
        <v>65000</v>
      </c>
      <c r="CI13" s="229">
        <v>0.12939999999999999</v>
      </c>
      <c r="CJ13" s="230">
        <v>115000</v>
      </c>
      <c r="CK13" s="230">
        <v>90000</v>
      </c>
      <c r="CL13" s="230">
        <v>25000</v>
      </c>
      <c r="CM13" s="229">
        <v>0.27779999999999999</v>
      </c>
      <c r="CN13" s="230">
        <v>11672500</v>
      </c>
      <c r="CO13" s="230">
        <v>10110000</v>
      </c>
      <c r="CP13" s="230">
        <v>1562500</v>
      </c>
      <c r="CQ13" s="229">
        <v>0.1545</v>
      </c>
      <c r="CR13" s="230">
        <v>7155000</v>
      </c>
      <c r="CS13" s="230">
        <v>6885000</v>
      </c>
      <c r="CT13" s="230">
        <v>270000</v>
      </c>
      <c r="CU13" s="229">
        <v>3.9199999999999999E-2</v>
      </c>
      <c r="CV13" s="230">
        <v>42785000</v>
      </c>
      <c r="CW13" s="230">
        <v>39015000</v>
      </c>
      <c r="CX13" s="230">
        <v>3770000</v>
      </c>
      <c r="CY13" s="229">
        <v>9.6600000000000005E-2</v>
      </c>
      <c r="CZ13" s="228">
        <v>42.46</v>
      </c>
      <c r="DA13" s="228">
        <v>42.62</v>
      </c>
      <c r="DB13" s="228">
        <v>-0.16</v>
      </c>
      <c r="DC13" s="228">
        <v>-0.16</v>
      </c>
      <c r="DD13" s="228">
        <v>56.41</v>
      </c>
      <c r="DE13" s="228">
        <v>56.55</v>
      </c>
      <c r="DF13" s="228">
        <v>-13.95</v>
      </c>
      <c r="DG13" s="228">
        <v>-0.14000000000000001</v>
      </c>
      <c r="DH13" s="228">
        <v>42.12</v>
      </c>
      <c r="DI13" s="228">
        <v>42</v>
      </c>
      <c r="DJ13" s="228">
        <v>0.12</v>
      </c>
      <c r="DK13" s="228">
        <v>0.12</v>
      </c>
      <c r="DL13" s="228">
        <v>43.06</v>
      </c>
      <c r="DM13" s="228">
        <v>43.69</v>
      </c>
      <c r="DN13" s="228">
        <v>-0.63</v>
      </c>
      <c r="DO13" s="228">
        <v>-0.63</v>
      </c>
      <c r="DP13" s="228">
        <v>0.61</v>
      </c>
      <c r="DQ13" s="228">
        <v>0.68</v>
      </c>
      <c r="DR13" s="228">
        <v>-7.0000000000000007E-2</v>
      </c>
      <c r="DS13" s="229">
        <v>-0.10290000000000001</v>
      </c>
      <c r="DT13" s="228">
        <v>360</v>
      </c>
      <c r="DU13" s="228">
        <v>300</v>
      </c>
      <c r="DV13" s="228">
        <v>0.56000000000000005</v>
      </c>
      <c r="DW13" s="228">
        <v>0.57999999999999996</v>
      </c>
      <c r="DX13" s="228">
        <v>-0.02</v>
      </c>
      <c r="DY13" s="229">
        <v>-3.4500000000000003E-2</v>
      </c>
      <c r="DZ13" s="229">
        <v>2.8500000000000001E-2</v>
      </c>
      <c r="EA13" s="230">
        <v>592500</v>
      </c>
      <c r="EB13" s="229">
        <v>-1.6000000000000001E-3</v>
      </c>
      <c r="EC13" s="229">
        <v>2.8500000000000001E-2</v>
      </c>
      <c r="ED13" s="228">
        <v>-1.25</v>
      </c>
      <c r="EE13" s="229">
        <v>-4.0000000000000001E-3</v>
      </c>
      <c r="EF13" s="230">
        <v>2061071</v>
      </c>
      <c r="EG13" s="230">
        <v>1544545</v>
      </c>
      <c r="EH13" s="229">
        <v>0.33439999999999998</v>
      </c>
      <c r="EI13" s="229">
        <v>0.38950000000000001</v>
      </c>
      <c r="EJ13" s="231">
        <v>45551.38</v>
      </c>
      <c r="EK13" s="231">
        <v>23610.43</v>
      </c>
      <c r="EL13" s="231">
        <v>19488.48</v>
      </c>
      <c r="EM13" s="231">
        <v>4395</v>
      </c>
      <c r="EN13" s="231">
        <v>88650.29</v>
      </c>
      <c r="EO13" s="231">
        <v>68854.22</v>
      </c>
      <c r="EP13" s="231">
        <v>19796.07</v>
      </c>
      <c r="EQ13" s="229">
        <v>0.28749999999999998</v>
      </c>
      <c r="ER13" s="231">
        <v>38188</v>
      </c>
      <c r="ES13" s="231">
        <v>20993</v>
      </c>
      <c r="ET13" s="231">
        <v>74144</v>
      </c>
      <c r="EU13" s="231">
        <v>96940911</v>
      </c>
      <c r="EV13" s="231">
        <v>133325</v>
      </c>
      <c r="EW13" s="231">
        <v>121618</v>
      </c>
      <c r="EX13" s="231">
        <v>11707</v>
      </c>
      <c r="EY13" s="229">
        <v>9.6299999999999997E-2</v>
      </c>
      <c r="EZ13" s="229">
        <v>0.44140000000000001</v>
      </c>
      <c r="FA13" s="227" t="s">
        <v>566</v>
      </c>
      <c r="FB13" s="161">
        <f t="shared" si="0"/>
        <v>682500</v>
      </c>
    </row>
    <row r="14" spans="1:158" ht="17.25" thickBot="1" x14ac:dyDescent="0.3">
      <c r="A14" s="226">
        <v>46146</v>
      </c>
      <c r="B14" s="227" t="s">
        <v>227</v>
      </c>
      <c r="C14" s="227" t="s">
        <v>597</v>
      </c>
      <c r="D14" s="228">
        <v>350</v>
      </c>
      <c r="E14" s="231">
        <v>1884.3</v>
      </c>
      <c r="F14" s="231">
        <v>1916.3</v>
      </c>
      <c r="G14" s="228">
        <v>-32</v>
      </c>
      <c r="H14" s="229">
        <v>-1.67E-2</v>
      </c>
      <c r="I14" s="231">
        <v>1873</v>
      </c>
      <c r="J14" s="231">
        <v>1905</v>
      </c>
      <c r="K14" s="228">
        <v>-32</v>
      </c>
      <c r="L14" s="229">
        <v>-1.6799999999999999E-2</v>
      </c>
      <c r="M14" s="231">
        <v>1884.3</v>
      </c>
      <c r="N14" s="231">
        <v>1916.3</v>
      </c>
      <c r="O14" s="228">
        <v>-32</v>
      </c>
      <c r="P14" s="229">
        <v>-1.67E-2</v>
      </c>
      <c r="Q14" s="231">
        <v>1896.7</v>
      </c>
      <c r="R14" s="231">
        <v>1931.7</v>
      </c>
      <c r="S14" s="228">
        <v>-35</v>
      </c>
      <c r="T14" s="229">
        <v>-1.8100000000000002E-2</v>
      </c>
      <c r="U14" s="231">
        <v>1907.2</v>
      </c>
      <c r="V14" s="231">
        <v>1943.2</v>
      </c>
      <c r="W14" s="228">
        <v>-36</v>
      </c>
      <c r="X14" s="229">
        <v>-1.8499999999999999E-2</v>
      </c>
      <c r="Y14" s="228">
        <v>11.3</v>
      </c>
      <c r="Z14" s="228">
        <v>11.3</v>
      </c>
      <c r="AA14" s="228">
        <v>0</v>
      </c>
      <c r="AB14" s="229">
        <v>6.0000000000000001E-3</v>
      </c>
      <c r="AC14" s="228">
        <v>11.3</v>
      </c>
      <c r="AD14" s="228">
        <v>11.3</v>
      </c>
      <c r="AE14" s="228">
        <v>0</v>
      </c>
      <c r="AF14" s="229">
        <v>6.0000000000000001E-3</v>
      </c>
      <c r="AG14" s="228">
        <v>23.7</v>
      </c>
      <c r="AH14" s="228">
        <v>26.7</v>
      </c>
      <c r="AI14" s="228">
        <v>-3</v>
      </c>
      <c r="AJ14" s="229">
        <v>1.2699999999999999E-2</v>
      </c>
      <c r="AK14" s="228">
        <v>34.200000000000003</v>
      </c>
      <c r="AL14" s="228">
        <v>38.200000000000003</v>
      </c>
      <c r="AM14" s="228">
        <v>-4</v>
      </c>
      <c r="AN14" s="229">
        <v>1.83E-2</v>
      </c>
      <c r="AO14" s="231">
        <v>1889.6</v>
      </c>
      <c r="AP14" s="231">
        <v>1899.22</v>
      </c>
      <c r="AQ14" s="228">
        <v>0</v>
      </c>
      <c r="AR14" s="230">
        <v>2452450</v>
      </c>
      <c r="AS14" s="230">
        <v>843500</v>
      </c>
      <c r="AT14" s="230">
        <v>1608950</v>
      </c>
      <c r="AU14" s="229">
        <v>1.9075</v>
      </c>
      <c r="AV14" s="230">
        <v>2398200</v>
      </c>
      <c r="AW14" s="230">
        <v>834400</v>
      </c>
      <c r="AX14" s="230">
        <v>1563800</v>
      </c>
      <c r="AY14" s="229">
        <v>1.8742000000000001</v>
      </c>
      <c r="AZ14" s="230">
        <v>44800</v>
      </c>
      <c r="BA14" s="230">
        <v>8050</v>
      </c>
      <c r="BB14" s="230">
        <v>36750</v>
      </c>
      <c r="BC14" s="229">
        <v>4.5651999999999999</v>
      </c>
      <c r="BD14" s="230">
        <v>9450</v>
      </c>
      <c r="BE14" s="230">
        <v>1050</v>
      </c>
      <c r="BF14" s="230">
        <v>8400</v>
      </c>
      <c r="BG14" s="229">
        <v>8</v>
      </c>
      <c r="BH14" s="230">
        <v>5848500</v>
      </c>
      <c r="BI14" s="230">
        <v>1166200</v>
      </c>
      <c r="BJ14" s="230">
        <v>4682300</v>
      </c>
      <c r="BK14" s="229">
        <v>4.0149999999999997</v>
      </c>
      <c r="BL14" s="230">
        <v>2758700</v>
      </c>
      <c r="BM14" s="230">
        <v>891100</v>
      </c>
      <c r="BN14" s="230">
        <v>1867600</v>
      </c>
      <c r="BO14" s="229">
        <v>2.0958000000000001</v>
      </c>
      <c r="BP14" s="230">
        <v>11059650</v>
      </c>
      <c r="BQ14" s="230">
        <v>2900800</v>
      </c>
      <c r="BR14" s="230">
        <v>8158850</v>
      </c>
      <c r="BS14" s="229">
        <v>2.8126000000000002</v>
      </c>
      <c r="BT14" s="230">
        <v>2412876</v>
      </c>
      <c r="BU14" s="230">
        <v>759568</v>
      </c>
      <c r="BV14" s="230">
        <v>1653308</v>
      </c>
      <c r="BW14" s="229">
        <v>2.1766000000000001</v>
      </c>
      <c r="BX14" s="230">
        <v>5790050</v>
      </c>
      <c r="BY14" s="230">
        <v>5171950</v>
      </c>
      <c r="BZ14" s="230">
        <v>618100</v>
      </c>
      <c r="CA14" s="229">
        <v>0.1195</v>
      </c>
      <c r="CB14" s="230">
        <v>5248600</v>
      </c>
      <c r="CC14" s="230">
        <v>4656050</v>
      </c>
      <c r="CD14" s="230">
        <v>592550</v>
      </c>
      <c r="CE14" s="229">
        <v>0.1273</v>
      </c>
      <c r="CF14" s="230">
        <v>530950</v>
      </c>
      <c r="CG14" s="230">
        <v>513450</v>
      </c>
      <c r="CH14" s="230">
        <v>17500</v>
      </c>
      <c r="CI14" s="229">
        <v>3.4099999999999998E-2</v>
      </c>
      <c r="CJ14" s="230">
        <v>10500</v>
      </c>
      <c r="CK14" s="230">
        <v>2450</v>
      </c>
      <c r="CL14" s="230">
        <v>8050</v>
      </c>
      <c r="CM14" s="229">
        <v>3.2856999999999998</v>
      </c>
      <c r="CN14" s="230">
        <v>1591800</v>
      </c>
      <c r="CO14" s="230">
        <v>812350</v>
      </c>
      <c r="CP14" s="230">
        <v>779450</v>
      </c>
      <c r="CQ14" s="229">
        <v>0.95950000000000002</v>
      </c>
      <c r="CR14" s="230">
        <v>903700</v>
      </c>
      <c r="CS14" s="230">
        <v>620200</v>
      </c>
      <c r="CT14" s="230">
        <v>283500</v>
      </c>
      <c r="CU14" s="229">
        <v>0.45710000000000001</v>
      </c>
      <c r="CV14" s="230">
        <v>8285550</v>
      </c>
      <c r="CW14" s="230">
        <v>6604500</v>
      </c>
      <c r="CX14" s="230">
        <v>1681050</v>
      </c>
      <c r="CY14" s="229">
        <v>0.2545</v>
      </c>
      <c r="CZ14" s="228">
        <v>31.3</v>
      </c>
      <c r="DA14" s="228">
        <v>34.82</v>
      </c>
      <c r="DB14" s="228">
        <v>-3.52</v>
      </c>
      <c r="DC14" s="228">
        <v>-3.52</v>
      </c>
      <c r="DD14" s="228">
        <v>36.270000000000003</v>
      </c>
      <c r="DE14" s="228">
        <v>36.29</v>
      </c>
      <c r="DF14" s="228">
        <v>-4.97</v>
      </c>
      <c r="DG14" s="228">
        <v>-0.02</v>
      </c>
      <c r="DH14" s="228">
        <v>31.46</v>
      </c>
      <c r="DI14" s="228">
        <v>35.24</v>
      </c>
      <c r="DJ14" s="228">
        <v>-3.78</v>
      </c>
      <c r="DK14" s="228">
        <v>-3.78</v>
      </c>
      <c r="DL14" s="228">
        <v>30.95</v>
      </c>
      <c r="DM14" s="228">
        <v>34.26</v>
      </c>
      <c r="DN14" s="228">
        <v>-3.31</v>
      </c>
      <c r="DO14" s="228">
        <v>-3.31</v>
      </c>
      <c r="DP14" s="228">
        <v>0.56999999999999995</v>
      </c>
      <c r="DQ14" s="228">
        <v>0.76</v>
      </c>
      <c r="DR14" s="228">
        <v>-0.19</v>
      </c>
      <c r="DS14" s="229">
        <v>-0.25</v>
      </c>
      <c r="DT14" s="231">
        <v>2000</v>
      </c>
      <c r="DU14" s="231">
        <v>1800</v>
      </c>
      <c r="DV14" s="228">
        <v>0.47</v>
      </c>
      <c r="DW14" s="228">
        <v>0.76</v>
      </c>
      <c r="DX14" s="228">
        <v>-0.28999999999999998</v>
      </c>
      <c r="DY14" s="229">
        <v>-0.38159999999999999</v>
      </c>
      <c r="DZ14" s="229">
        <v>9.35E-2</v>
      </c>
      <c r="EA14" s="230">
        <v>515900</v>
      </c>
      <c r="EB14" s="229">
        <v>6.6E-3</v>
      </c>
      <c r="EC14" s="229">
        <v>9.35E-2</v>
      </c>
      <c r="ED14" s="228">
        <v>9.6199999999999992</v>
      </c>
      <c r="EE14" s="229">
        <v>5.1000000000000004E-3</v>
      </c>
      <c r="EF14" s="230">
        <v>1136168</v>
      </c>
      <c r="EG14" s="230">
        <v>399579</v>
      </c>
      <c r="EH14" s="229">
        <v>1.8433999999999999</v>
      </c>
      <c r="EI14" s="229">
        <v>0.47089999999999999</v>
      </c>
      <c r="EJ14" s="231">
        <v>117548.82</v>
      </c>
      <c r="EK14" s="231">
        <v>52305.94</v>
      </c>
      <c r="EL14" s="231">
        <v>46348.25</v>
      </c>
      <c r="EM14" s="231">
        <v>3873</v>
      </c>
      <c r="EN14" s="231">
        <v>216203.01</v>
      </c>
      <c r="EO14" s="231">
        <v>57697.53</v>
      </c>
      <c r="EP14" s="231">
        <v>158505.48000000001</v>
      </c>
      <c r="EQ14" s="229">
        <v>2.7471999999999999</v>
      </c>
      <c r="ER14" s="231">
        <v>32280</v>
      </c>
      <c r="ES14" s="231">
        <v>17081</v>
      </c>
      <c r="ET14" s="231">
        <v>109170</v>
      </c>
      <c r="EU14" s="231">
        <v>29871221</v>
      </c>
      <c r="EV14" s="231">
        <v>158531</v>
      </c>
      <c r="EW14" s="231">
        <v>127859</v>
      </c>
      <c r="EX14" s="231">
        <v>30672</v>
      </c>
      <c r="EY14" s="229">
        <v>0.2399</v>
      </c>
      <c r="EZ14" s="229">
        <v>0.27739999999999998</v>
      </c>
      <c r="FA14" s="227" t="s">
        <v>566</v>
      </c>
      <c r="FB14" s="161">
        <f t="shared" si="0"/>
        <v>541450</v>
      </c>
    </row>
    <row r="15" spans="1:158" ht="17.25" thickBot="1" x14ac:dyDescent="0.3">
      <c r="A15" s="226">
        <v>46146</v>
      </c>
      <c r="B15" s="227" t="s">
        <v>170</v>
      </c>
      <c r="C15" s="227" t="s">
        <v>165</v>
      </c>
      <c r="D15" s="228">
        <v>125</v>
      </c>
      <c r="E15" s="231">
        <v>7780</v>
      </c>
      <c r="F15" s="231">
        <v>7679.5</v>
      </c>
      <c r="G15" s="228">
        <v>100.5</v>
      </c>
      <c r="H15" s="229">
        <v>1.3100000000000001E-2</v>
      </c>
      <c r="I15" s="231">
        <v>7737.5</v>
      </c>
      <c r="J15" s="231">
        <v>7636.5</v>
      </c>
      <c r="K15" s="228">
        <v>101</v>
      </c>
      <c r="L15" s="229">
        <v>1.32E-2</v>
      </c>
      <c r="M15" s="231">
        <v>7780</v>
      </c>
      <c r="N15" s="231">
        <v>7679.5</v>
      </c>
      <c r="O15" s="228">
        <v>100.5</v>
      </c>
      <c r="P15" s="229">
        <v>1.3100000000000001E-2</v>
      </c>
      <c r="Q15" s="231">
        <v>7833.5</v>
      </c>
      <c r="R15" s="231">
        <v>7727</v>
      </c>
      <c r="S15" s="228">
        <v>106.5</v>
      </c>
      <c r="T15" s="229">
        <v>1.38E-2</v>
      </c>
      <c r="U15" s="231">
        <v>7865.5</v>
      </c>
      <c r="V15" s="231">
        <v>7768</v>
      </c>
      <c r="W15" s="228">
        <v>97.5</v>
      </c>
      <c r="X15" s="229">
        <v>1.26E-2</v>
      </c>
      <c r="Y15" s="228">
        <v>42.5</v>
      </c>
      <c r="Z15" s="228">
        <v>43</v>
      </c>
      <c r="AA15" s="228">
        <v>-0.5</v>
      </c>
      <c r="AB15" s="229">
        <v>5.4999999999999997E-3</v>
      </c>
      <c r="AC15" s="228">
        <v>42.5</v>
      </c>
      <c r="AD15" s="228">
        <v>43</v>
      </c>
      <c r="AE15" s="228">
        <v>-0.5</v>
      </c>
      <c r="AF15" s="229">
        <v>5.4999999999999997E-3</v>
      </c>
      <c r="AG15" s="228">
        <v>96</v>
      </c>
      <c r="AH15" s="228">
        <v>90.5</v>
      </c>
      <c r="AI15" s="228">
        <v>5.5</v>
      </c>
      <c r="AJ15" s="229">
        <v>1.24E-2</v>
      </c>
      <c r="AK15" s="228">
        <v>128</v>
      </c>
      <c r="AL15" s="228">
        <v>131.5</v>
      </c>
      <c r="AM15" s="228">
        <v>-3.5</v>
      </c>
      <c r="AN15" s="229">
        <v>1.6500000000000001E-2</v>
      </c>
      <c r="AO15" s="231">
        <v>7785.63</v>
      </c>
      <c r="AP15" s="231">
        <v>7836.9</v>
      </c>
      <c r="AQ15" s="228">
        <v>0</v>
      </c>
      <c r="AR15" s="230">
        <v>223625</v>
      </c>
      <c r="AS15" s="230">
        <v>261125</v>
      </c>
      <c r="AT15" s="230">
        <v>-37500</v>
      </c>
      <c r="AU15" s="229">
        <v>-0.14360000000000001</v>
      </c>
      <c r="AV15" s="230">
        <v>211375</v>
      </c>
      <c r="AW15" s="230">
        <v>248500</v>
      </c>
      <c r="AX15" s="230">
        <v>-37125</v>
      </c>
      <c r="AY15" s="229">
        <v>-0.14940000000000001</v>
      </c>
      <c r="AZ15" s="230">
        <v>11625</v>
      </c>
      <c r="BA15" s="230">
        <v>11875</v>
      </c>
      <c r="BB15" s="228">
        <v>-250</v>
      </c>
      <c r="BC15" s="229">
        <v>-2.1100000000000001E-2</v>
      </c>
      <c r="BD15" s="228">
        <v>625</v>
      </c>
      <c r="BE15" s="228">
        <v>750</v>
      </c>
      <c r="BF15" s="228">
        <v>-125</v>
      </c>
      <c r="BG15" s="229">
        <v>-0.16669999999999999</v>
      </c>
      <c r="BH15" s="230">
        <v>761250</v>
      </c>
      <c r="BI15" s="230">
        <v>630875</v>
      </c>
      <c r="BJ15" s="230">
        <v>130375</v>
      </c>
      <c r="BK15" s="229">
        <v>0.20669999999999999</v>
      </c>
      <c r="BL15" s="230">
        <v>473375</v>
      </c>
      <c r="BM15" s="230">
        <v>515250</v>
      </c>
      <c r="BN15" s="230">
        <v>-41875</v>
      </c>
      <c r="BO15" s="229">
        <v>-8.1299999999999997E-2</v>
      </c>
      <c r="BP15" s="230">
        <v>1458250</v>
      </c>
      <c r="BQ15" s="230">
        <v>1407250</v>
      </c>
      <c r="BR15" s="230">
        <v>51000</v>
      </c>
      <c r="BS15" s="229">
        <v>3.6200000000000003E-2</v>
      </c>
      <c r="BT15" s="230">
        <v>341517</v>
      </c>
      <c r="BU15" s="230">
        <v>402780</v>
      </c>
      <c r="BV15" s="230">
        <v>-61263</v>
      </c>
      <c r="BW15" s="229">
        <v>-0.15210000000000001</v>
      </c>
      <c r="BX15" s="230">
        <v>2022000</v>
      </c>
      <c r="BY15" s="230">
        <v>2011625</v>
      </c>
      <c r="BZ15" s="230">
        <v>10375</v>
      </c>
      <c r="CA15" s="229">
        <v>5.1999999999999998E-3</v>
      </c>
      <c r="CB15" s="230">
        <v>1848625</v>
      </c>
      <c r="CC15" s="230">
        <v>1842875</v>
      </c>
      <c r="CD15" s="230">
        <v>5750</v>
      </c>
      <c r="CE15" s="229">
        <v>3.0999999999999999E-3</v>
      </c>
      <c r="CF15" s="230">
        <v>170000</v>
      </c>
      <c r="CG15" s="230">
        <v>165750</v>
      </c>
      <c r="CH15" s="230">
        <v>4250</v>
      </c>
      <c r="CI15" s="229">
        <v>2.5600000000000001E-2</v>
      </c>
      <c r="CJ15" s="230">
        <v>3375</v>
      </c>
      <c r="CK15" s="230">
        <v>3000</v>
      </c>
      <c r="CL15" s="228">
        <v>375</v>
      </c>
      <c r="CM15" s="229">
        <v>0.125</v>
      </c>
      <c r="CN15" s="230">
        <v>644750</v>
      </c>
      <c r="CO15" s="230">
        <v>559375</v>
      </c>
      <c r="CP15" s="230">
        <v>85375</v>
      </c>
      <c r="CQ15" s="229">
        <v>0.15260000000000001</v>
      </c>
      <c r="CR15" s="230">
        <v>416500</v>
      </c>
      <c r="CS15" s="230">
        <v>365125</v>
      </c>
      <c r="CT15" s="230">
        <v>51375</v>
      </c>
      <c r="CU15" s="229">
        <v>0.14069999999999999</v>
      </c>
      <c r="CV15" s="230">
        <v>3083250</v>
      </c>
      <c r="CW15" s="230">
        <v>2936125</v>
      </c>
      <c r="CX15" s="230">
        <v>147125</v>
      </c>
      <c r="CY15" s="229">
        <v>5.0099999999999999E-2</v>
      </c>
      <c r="CZ15" s="228">
        <v>26.86</v>
      </c>
      <c r="DA15" s="228">
        <v>26.3</v>
      </c>
      <c r="DB15" s="228">
        <v>0.56000000000000005</v>
      </c>
      <c r="DC15" s="228">
        <v>0.56000000000000005</v>
      </c>
      <c r="DD15" s="228">
        <v>24.99</v>
      </c>
      <c r="DE15" s="228">
        <v>24.99</v>
      </c>
      <c r="DF15" s="228">
        <v>1.87</v>
      </c>
      <c r="DG15" s="228">
        <v>0</v>
      </c>
      <c r="DH15" s="228">
        <v>26.67</v>
      </c>
      <c r="DI15" s="228">
        <v>26.13</v>
      </c>
      <c r="DJ15" s="228">
        <v>0.54</v>
      </c>
      <c r="DK15" s="228">
        <v>0.54</v>
      </c>
      <c r="DL15" s="228">
        <v>27.18</v>
      </c>
      <c r="DM15" s="228">
        <v>26.51</v>
      </c>
      <c r="DN15" s="228">
        <v>0.67</v>
      </c>
      <c r="DO15" s="228">
        <v>0.67</v>
      </c>
      <c r="DP15" s="228">
        <v>0.65</v>
      </c>
      <c r="DQ15" s="228">
        <v>0.65</v>
      </c>
      <c r="DR15" s="228">
        <v>0</v>
      </c>
      <c r="DS15" s="229">
        <v>0</v>
      </c>
      <c r="DT15" s="231">
        <v>7800</v>
      </c>
      <c r="DU15" s="231">
        <v>7000</v>
      </c>
      <c r="DV15" s="228">
        <v>0.62</v>
      </c>
      <c r="DW15" s="228">
        <v>0.82</v>
      </c>
      <c r="DX15" s="228">
        <v>-0.2</v>
      </c>
      <c r="DY15" s="229">
        <v>-0.24390000000000001</v>
      </c>
      <c r="DZ15" s="229">
        <v>8.5699999999999998E-2</v>
      </c>
      <c r="EA15" s="230">
        <v>168750</v>
      </c>
      <c r="EB15" s="229">
        <v>6.8999999999999999E-3</v>
      </c>
      <c r="EC15" s="229">
        <v>8.5699999999999998E-2</v>
      </c>
      <c r="ED15" s="228">
        <v>51.27</v>
      </c>
      <c r="EE15" s="229">
        <v>6.6E-3</v>
      </c>
      <c r="EF15" s="230">
        <v>215511</v>
      </c>
      <c r="EG15" s="230">
        <v>265029</v>
      </c>
      <c r="EH15" s="229">
        <v>-0.18679999999999999</v>
      </c>
      <c r="EI15" s="229">
        <v>0.63100000000000001</v>
      </c>
      <c r="EJ15" s="231">
        <v>62205.2</v>
      </c>
      <c r="EK15" s="231">
        <v>35328.65</v>
      </c>
      <c r="EL15" s="231">
        <v>17417.11</v>
      </c>
      <c r="EM15" s="231">
        <v>4797</v>
      </c>
      <c r="EN15" s="231">
        <v>114950.96</v>
      </c>
      <c r="EO15" s="231">
        <v>108940.7</v>
      </c>
      <c r="EP15" s="231">
        <v>6010.26</v>
      </c>
      <c r="EQ15" s="229">
        <v>5.5199999999999999E-2</v>
      </c>
      <c r="ER15" s="231">
        <v>52128</v>
      </c>
      <c r="ES15" s="231">
        <v>30583</v>
      </c>
      <c r="ET15" s="231">
        <v>157405</v>
      </c>
      <c r="EU15" s="231">
        <v>15524629</v>
      </c>
      <c r="EV15" s="231">
        <v>240116</v>
      </c>
      <c r="EW15" s="231">
        <v>226350</v>
      </c>
      <c r="EX15" s="231">
        <v>13766</v>
      </c>
      <c r="EY15" s="229">
        <v>6.08E-2</v>
      </c>
      <c r="EZ15" s="229">
        <v>0.1986</v>
      </c>
      <c r="FA15" s="227" t="s">
        <v>555</v>
      </c>
      <c r="FB15" s="161">
        <f t="shared" si="0"/>
        <v>173375</v>
      </c>
    </row>
    <row r="16" spans="1:158" ht="17.25" thickBot="1" x14ac:dyDescent="0.3">
      <c r="A16" s="226">
        <v>46146</v>
      </c>
      <c r="B16" s="227" t="s">
        <v>162</v>
      </c>
      <c r="C16" s="227" t="s">
        <v>167</v>
      </c>
      <c r="D16" s="228">
        <v>5000</v>
      </c>
      <c r="E16" s="228">
        <v>160.62</v>
      </c>
      <c r="F16" s="228">
        <v>162.44999999999999</v>
      </c>
      <c r="G16" s="228">
        <v>-1.83</v>
      </c>
      <c r="H16" s="229">
        <v>-1.1299999999999999E-2</v>
      </c>
      <c r="I16" s="228">
        <v>160.77000000000001</v>
      </c>
      <c r="J16" s="228">
        <v>162.09</v>
      </c>
      <c r="K16" s="228">
        <v>-1.32</v>
      </c>
      <c r="L16" s="229">
        <v>-8.0999999999999996E-3</v>
      </c>
      <c r="M16" s="228">
        <v>160.62</v>
      </c>
      <c r="N16" s="228">
        <v>162.44999999999999</v>
      </c>
      <c r="O16" s="228">
        <v>-1.83</v>
      </c>
      <c r="P16" s="229">
        <v>-1.1299999999999999E-2</v>
      </c>
      <c r="Q16" s="228">
        <v>159.86000000000001</v>
      </c>
      <c r="R16" s="228">
        <v>161.87</v>
      </c>
      <c r="S16" s="228">
        <v>-2.0099999999999998</v>
      </c>
      <c r="T16" s="229">
        <v>-1.24E-2</v>
      </c>
      <c r="U16" s="228">
        <v>159.35</v>
      </c>
      <c r="V16" s="228">
        <v>161.51</v>
      </c>
      <c r="W16" s="228">
        <v>-2.16</v>
      </c>
      <c r="X16" s="229">
        <v>-1.34E-2</v>
      </c>
      <c r="Y16" s="228">
        <v>-0.15</v>
      </c>
      <c r="Z16" s="228">
        <v>0.36</v>
      </c>
      <c r="AA16" s="228">
        <v>-0.51</v>
      </c>
      <c r="AB16" s="229">
        <v>-8.9999999999999998E-4</v>
      </c>
      <c r="AC16" s="228">
        <v>-0.15</v>
      </c>
      <c r="AD16" s="228">
        <v>0.36</v>
      </c>
      <c r="AE16" s="228">
        <v>-0.51</v>
      </c>
      <c r="AF16" s="229">
        <v>-8.9999999999999998E-4</v>
      </c>
      <c r="AG16" s="228">
        <v>-0.91</v>
      </c>
      <c r="AH16" s="228">
        <v>-0.22</v>
      </c>
      <c r="AI16" s="228">
        <v>-0.69</v>
      </c>
      <c r="AJ16" s="229">
        <v>-5.7000000000000002E-3</v>
      </c>
      <c r="AK16" s="228">
        <v>-1.42</v>
      </c>
      <c r="AL16" s="228">
        <v>-0.57999999999999996</v>
      </c>
      <c r="AM16" s="228">
        <v>-0.84</v>
      </c>
      <c r="AN16" s="229">
        <v>-8.8000000000000005E-3</v>
      </c>
      <c r="AO16" s="228">
        <v>160.91999999999999</v>
      </c>
      <c r="AP16" s="228">
        <v>160.35</v>
      </c>
      <c r="AQ16" s="228">
        <v>0</v>
      </c>
      <c r="AR16" s="230">
        <v>32665000</v>
      </c>
      <c r="AS16" s="230">
        <v>30230000</v>
      </c>
      <c r="AT16" s="230">
        <v>2435000</v>
      </c>
      <c r="AU16" s="229">
        <v>8.0500000000000002E-2</v>
      </c>
      <c r="AV16" s="230">
        <v>29740000</v>
      </c>
      <c r="AW16" s="230">
        <v>27035000</v>
      </c>
      <c r="AX16" s="230">
        <v>2705000</v>
      </c>
      <c r="AY16" s="229">
        <v>0.10009999999999999</v>
      </c>
      <c r="AZ16" s="230">
        <v>2550000</v>
      </c>
      <c r="BA16" s="230">
        <v>2725000</v>
      </c>
      <c r="BB16" s="230">
        <v>-175000</v>
      </c>
      <c r="BC16" s="229">
        <v>-6.4199999999999993E-2</v>
      </c>
      <c r="BD16" s="230">
        <v>375000</v>
      </c>
      <c r="BE16" s="230">
        <v>470000</v>
      </c>
      <c r="BF16" s="230">
        <v>-95000</v>
      </c>
      <c r="BG16" s="229">
        <v>-0.2021</v>
      </c>
      <c r="BH16" s="230">
        <v>67595000</v>
      </c>
      <c r="BI16" s="230">
        <v>69615000</v>
      </c>
      <c r="BJ16" s="230">
        <v>-2020000</v>
      </c>
      <c r="BK16" s="229">
        <v>-2.9000000000000001E-2</v>
      </c>
      <c r="BL16" s="230">
        <v>28865000</v>
      </c>
      <c r="BM16" s="230">
        <v>32425000</v>
      </c>
      <c r="BN16" s="230">
        <v>-3560000</v>
      </c>
      <c r="BO16" s="229">
        <v>-0.10979999999999999</v>
      </c>
      <c r="BP16" s="230">
        <v>129125000</v>
      </c>
      <c r="BQ16" s="230">
        <v>132270000</v>
      </c>
      <c r="BR16" s="230">
        <v>-3145000</v>
      </c>
      <c r="BS16" s="229">
        <v>-2.3800000000000002E-2</v>
      </c>
      <c r="BT16" s="230">
        <v>20376182</v>
      </c>
      <c r="BU16" s="230">
        <v>22828305</v>
      </c>
      <c r="BV16" s="230">
        <v>-2452123</v>
      </c>
      <c r="BW16" s="229">
        <v>-0.1074</v>
      </c>
      <c r="BX16" s="230">
        <v>137420000</v>
      </c>
      <c r="BY16" s="230">
        <v>134420000</v>
      </c>
      <c r="BZ16" s="230">
        <v>3000000</v>
      </c>
      <c r="CA16" s="229">
        <v>2.23E-2</v>
      </c>
      <c r="CB16" s="230">
        <v>128615000</v>
      </c>
      <c r="CC16" s="230">
        <v>126835000</v>
      </c>
      <c r="CD16" s="230">
        <v>1780000</v>
      </c>
      <c r="CE16" s="229">
        <v>1.4E-2</v>
      </c>
      <c r="CF16" s="230">
        <v>7905000</v>
      </c>
      <c r="CG16" s="230">
        <v>6895000</v>
      </c>
      <c r="CH16" s="230">
        <v>1010000</v>
      </c>
      <c r="CI16" s="229">
        <v>0.14649999999999999</v>
      </c>
      <c r="CJ16" s="230">
        <v>900000</v>
      </c>
      <c r="CK16" s="230">
        <v>690000</v>
      </c>
      <c r="CL16" s="230">
        <v>210000</v>
      </c>
      <c r="CM16" s="229">
        <v>0.30430000000000001</v>
      </c>
      <c r="CN16" s="230">
        <v>80415000</v>
      </c>
      <c r="CO16" s="230">
        <v>70750000</v>
      </c>
      <c r="CP16" s="230">
        <v>9665000</v>
      </c>
      <c r="CQ16" s="229">
        <v>0.1366</v>
      </c>
      <c r="CR16" s="230">
        <v>48160000</v>
      </c>
      <c r="CS16" s="230">
        <v>45695000</v>
      </c>
      <c r="CT16" s="230">
        <v>2465000</v>
      </c>
      <c r="CU16" s="229">
        <v>5.3900000000000003E-2</v>
      </c>
      <c r="CV16" s="230">
        <v>265995000</v>
      </c>
      <c r="CW16" s="230">
        <v>250865000</v>
      </c>
      <c r="CX16" s="230">
        <v>15130000</v>
      </c>
      <c r="CY16" s="229">
        <v>6.0299999999999999E-2</v>
      </c>
      <c r="CZ16" s="228">
        <v>44.1</v>
      </c>
      <c r="DA16" s="228">
        <v>43.19</v>
      </c>
      <c r="DB16" s="228">
        <v>0.91</v>
      </c>
      <c r="DC16" s="228">
        <v>0.91</v>
      </c>
      <c r="DD16" s="228">
        <v>42.25</v>
      </c>
      <c r="DE16" s="228">
        <v>42.34</v>
      </c>
      <c r="DF16" s="228">
        <v>1.85</v>
      </c>
      <c r="DG16" s="228">
        <v>-0.09</v>
      </c>
      <c r="DH16" s="228">
        <v>44.7</v>
      </c>
      <c r="DI16" s="228">
        <v>43.42</v>
      </c>
      <c r="DJ16" s="228">
        <v>1.28</v>
      </c>
      <c r="DK16" s="228">
        <v>1.28</v>
      </c>
      <c r="DL16" s="228">
        <v>42.7</v>
      </c>
      <c r="DM16" s="228">
        <v>42.71</v>
      </c>
      <c r="DN16" s="228">
        <v>-0.01</v>
      </c>
      <c r="DO16" s="228">
        <v>-0.01</v>
      </c>
      <c r="DP16" s="228">
        <v>0.6</v>
      </c>
      <c r="DQ16" s="228">
        <v>0.65</v>
      </c>
      <c r="DR16" s="228">
        <v>-0.05</v>
      </c>
      <c r="DS16" s="229">
        <v>-7.6899999999999996E-2</v>
      </c>
      <c r="DT16" s="228">
        <v>180</v>
      </c>
      <c r="DU16" s="228">
        <v>160</v>
      </c>
      <c r="DV16" s="228">
        <v>0.43</v>
      </c>
      <c r="DW16" s="228">
        <v>0.47</v>
      </c>
      <c r="DX16" s="228">
        <v>-0.04</v>
      </c>
      <c r="DY16" s="229">
        <v>-8.5099999999999995E-2</v>
      </c>
      <c r="DZ16" s="229">
        <v>6.4100000000000004E-2</v>
      </c>
      <c r="EA16" s="230">
        <v>7585000</v>
      </c>
      <c r="EB16" s="229">
        <v>-4.7000000000000002E-3</v>
      </c>
      <c r="EC16" s="229">
        <v>6.4100000000000004E-2</v>
      </c>
      <c r="ED16" s="228">
        <v>-0.56999999999999995</v>
      </c>
      <c r="EE16" s="229">
        <v>-3.5000000000000001E-3</v>
      </c>
      <c r="EF16" s="230">
        <v>7824285</v>
      </c>
      <c r="EG16" s="230">
        <v>11716111</v>
      </c>
      <c r="EH16" s="229">
        <v>-0.3322</v>
      </c>
      <c r="EI16" s="229">
        <v>0.38400000000000001</v>
      </c>
      <c r="EJ16" s="231">
        <v>121619.47</v>
      </c>
      <c r="EK16" s="231">
        <v>46761.67</v>
      </c>
      <c r="EL16" s="231">
        <v>52544.24</v>
      </c>
      <c r="EM16" s="231">
        <v>11933</v>
      </c>
      <c r="EN16" s="231">
        <v>220925.38</v>
      </c>
      <c r="EO16" s="231">
        <v>228215.31</v>
      </c>
      <c r="EP16" s="231">
        <v>-7289.93</v>
      </c>
      <c r="EQ16" s="229">
        <v>-3.1899999999999998E-2</v>
      </c>
      <c r="ER16" s="231">
        <v>147517</v>
      </c>
      <c r="ES16" s="231">
        <v>80496</v>
      </c>
      <c r="ET16" s="231">
        <v>220652</v>
      </c>
      <c r="EU16" s="231">
        <v>423779104</v>
      </c>
      <c r="EV16" s="231">
        <v>448666</v>
      </c>
      <c r="EW16" s="231">
        <v>425641</v>
      </c>
      <c r="EX16" s="231">
        <v>23025</v>
      </c>
      <c r="EY16" s="229">
        <v>5.4100000000000002E-2</v>
      </c>
      <c r="EZ16" s="229">
        <v>0.62770000000000004</v>
      </c>
      <c r="FA16" s="227" t="s">
        <v>566</v>
      </c>
      <c r="FB16" s="161">
        <f t="shared" si="0"/>
        <v>8805000</v>
      </c>
    </row>
    <row r="17" spans="1:158" ht="17.25" thickBot="1" x14ac:dyDescent="0.3">
      <c r="A17" s="226">
        <v>46146</v>
      </c>
      <c r="B17" s="227" t="s">
        <v>168</v>
      </c>
      <c r="C17" s="227" t="s">
        <v>169</v>
      </c>
      <c r="D17" s="228">
        <v>250</v>
      </c>
      <c r="E17" s="231">
        <v>2461.9</v>
      </c>
      <c r="F17" s="231">
        <v>2457.1999999999998</v>
      </c>
      <c r="G17" s="228">
        <v>4.7</v>
      </c>
      <c r="H17" s="229">
        <v>1.9E-3</v>
      </c>
      <c r="I17" s="231">
        <v>2448.1</v>
      </c>
      <c r="J17" s="231">
        <v>2444.5</v>
      </c>
      <c r="K17" s="228">
        <v>3.6</v>
      </c>
      <c r="L17" s="229">
        <v>1.5E-3</v>
      </c>
      <c r="M17" s="231">
        <v>2461.9</v>
      </c>
      <c r="N17" s="231">
        <v>2457.1999999999998</v>
      </c>
      <c r="O17" s="228">
        <v>4.7</v>
      </c>
      <c r="P17" s="229">
        <v>1.9E-3</v>
      </c>
      <c r="Q17" s="231">
        <v>2460.5</v>
      </c>
      <c r="R17" s="231">
        <v>2453.4</v>
      </c>
      <c r="S17" s="228">
        <v>7.1</v>
      </c>
      <c r="T17" s="229">
        <v>2.8999999999999998E-3</v>
      </c>
      <c r="U17" s="231">
        <v>2481.8000000000002</v>
      </c>
      <c r="V17" s="231">
        <v>2461.5</v>
      </c>
      <c r="W17" s="228">
        <v>20.3</v>
      </c>
      <c r="X17" s="229">
        <v>8.2000000000000007E-3</v>
      </c>
      <c r="Y17" s="228">
        <v>13.8</v>
      </c>
      <c r="Z17" s="228">
        <v>12.7</v>
      </c>
      <c r="AA17" s="228">
        <v>1.1000000000000001</v>
      </c>
      <c r="AB17" s="229">
        <v>5.5999999999999999E-3</v>
      </c>
      <c r="AC17" s="228">
        <v>13.8</v>
      </c>
      <c r="AD17" s="228">
        <v>12.7</v>
      </c>
      <c r="AE17" s="228">
        <v>1.1000000000000001</v>
      </c>
      <c r="AF17" s="229">
        <v>5.5999999999999999E-3</v>
      </c>
      <c r="AG17" s="228">
        <v>12.4</v>
      </c>
      <c r="AH17" s="228">
        <v>8.9</v>
      </c>
      <c r="AI17" s="228">
        <v>3.5</v>
      </c>
      <c r="AJ17" s="229">
        <v>5.1000000000000004E-3</v>
      </c>
      <c r="AK17" s="228">
        <v>33.700000000000003</v>
      </c>
      <c r="AL17" s="228">
        <v>17</v>
      </c>
      <c r="AM17" s="228">
        <v>16.7</v>
      </c>
      <c r="AN17" s="229">
        <v>1.38E-2</v>
      </c>
      <c r="AO17" s="231">
        <v>2487.13</v>
      </c>
      <c r="AP17" s="231">
        <v>2479.36</v>
      </c>
      <c r="AQ17" s="228">
        <v>0</v>
      </c>
      <c r="AR17" s="230">
        <v>1188000</v>
      </c>
      <c r="AS17" s="230">
        <v>1781250</v>
      </c>
      <c r="AT17" s="230">
        <v>-593250</v>
      </c>
      <c r="AU17" s="229">
        <v>-0.33310000000000001</v>
      </c>
      <c r="AV17" s="230">
        <v>1110250</v>
      </c>
      <c r="AW17" s="230">
        <v>1725000</v>
      </c>
      <c r="AX17" s="230">
        <v>-614750</v>
      </c>
      <c r="AY17" s="229">
        <v>-0.35639999999999999</v>
      </c>
      <c r="AZ17" s="230">
        <v>72000</v>
      </c>
      <c r="BA17" s="230">
        <v>42250</v>
      </c>
      <c r="BB17" s="230">
        <v>29750</v>
      </c>
      <c r="BC17" s="229">
        <v>0.70409999999999995</v>
      </c>
      <c r="BD17" s="230">
        <v>5750</v>
      </c>
      <c r="BE17" s="230">
        <v>14000</v>
      </c>
      <c r="BF17" s="230">
        <v>-8250</v>
      </c>
      <c r="BG17" s="229">
        <v>-0.58930000000000005</v>
      </c>
      <c r="BH17" s="230">
        <v>6114750</v>
      </c>
      <c r="BI17" s="230">
        <v>3631750</v>
      </c>
      <c r="BJ17" s="230">
        <v>2483000</v>
      </c>
      <c r="BK17" s="229">
        <v>0.68369999999999997</v>
      </c>
      <c r="BL17" s="230">
        <v>3942250</v>
      </c>
      <c r="BM17" s="230">
        <v>4001500</v>
      </c>
      <c r="BN17" s="230">
        <v>-59250</v>
      </c>
      <c r="BO17" s="229">
        <v>-1.4800000000000001E-2</v>
      </c>
      <c r="BP17" s="230">
        <v>11245000</v>
      </c>
      <c r="BQ17" s="230">
        <v>9414500</v>
      </c>
      <c r="BR17" s="230">
        <v>1830500</v>
      </c>
      <c r="BS17" s="229">
        <v>0.19439999999999999</v>
      </c>
      <c r="BT17" s="230">
        <v>623591</v>
      </c>
      <c r="BU17" s="230">
        <v>881697</v>
      </c>
      <c r="BV17" s="230">
        <v>-258106</v>
      </c>
      <c r="BW17" s="229">
        <v>-0.29270000000000002</v>
      </c>
      <c r="BX17" s="230">
        <v>14212250</v>
      </c>
      <c r="BY17" s="230">
        <v>13907250</v>
      </c>
      <c r="BZ17" s="230">
        <v>305000</v>
      </c>
      <c r="CA17" s="229">
        <v>2.1899999999999999E-2</v>
      </c>
      <c r="CB17" s="230">
        <v>13051250</v>
      </c>
      <c r="CC17" s="230">
        <v>12788500</v>
      </c>
      <c r="CD17" s="230">
        <v>262750</v>
      </c>
      <c r="CE17" s="229">
        <v>2.0500000000000001E-2</v>
      </c>
      <c r="CF17" s="230">
        <v>1143000</v>
      </c>
      <c r="CG17" s="230">
        <v>1105000</v>
      </c>
      <c r="CH17" s="230">
        <v>38000</v>
      </c>
      <c r="CI17" s="229">
        <v>3.44E-2</v>
      </c>
      <c r="CJ17" s="230">
        <v>18000</v>
      </c>
      <c r="CK17" s="230">
        <v>13750</v>
      </c>
      <c r="CL17" s="230">
        <v>4250</v>
      </c>
      <c r="CM17" s="229">
        <v>0.30909999999999999</v>
      </c>
      <c r="CN17" s="230">
        <v>3746500</v>
      </c>
      <c r="CO17" s="230">
        <v>2638000</v>
      </c>
      <c r="CP17" s="230">
        <v>1108500</v>
      </c>
      <c r="CQ17" s="229">
        <v>0.42020000000000002</v>
      </c>
      <c r="CR17" s="230">
        <v>3170000</v>
      </c>
      <c r="CS17" s="230">
        <v>2747000</v>
      </c>
      <c r="CT17" s="230">
        <v>423000</v>
      </c>
      <c r="CU17" s="229">
        <v>0.154</v>
      </c>
      <c r="CV17" s="230">
        <v>21128750</v>
      </c>
      <c r="CW17" s="230">
        <v>19292250</v>
      </c>
      <c r="CX17" s="230">
        <v>1836500</v>
      </c>
      <c r="CY17" s="229">
        <v>9.5200000000000007E-2</v>
      </c>
      <c r="CZ17" s="228">
        <v>27.52</v>
      </c>
      <c r="DA17" s="228">
        <v>31.36</v>
      </c>
      <c r="DB17" s="228">
        <v>-3.84</v>
      </c>
      <c r="DC17" s="228">
        <v>-3.84</v>
      </c>
      <c r="DD17" s="228">
        <v>28.84</v>
      </c>
      <c r="DE17" s="228">
        <v>28.91</v>
      </c>
      <c r="DF17" s="228">
        <v>-1.32</v>
      </c>
      <c r="DG17" s="228">
        <v>-7.0000000000000007E-2</v>
      </c>
      <c r="DH17" s="228">
        <v>26.28</v>
      </c>
      <c r="DI17" s="228">
        <v>30.1</v>
      </c>
      <c r="DJ17" s="228">
        <v>-3.82</v>
      </c>
      <c r="DK17" s="228">
        <v>-3.82</v>
      </c>
      <c r="DL17" s="228">
        <v>29.46</v>
      </c>
      <c r="DM17" s="228">
        <v>32.5</v>
      </c>
      <c r="DN17" s="228">
        <v>-3.04</v>
      </c>
      <c r="DO17" s="228">
        <v>-3.04</v>
      </c>
      <c r="DP17" s="228">
        <v>0.85</v>
      </c>
      <c r="DQ17" s="228">
        <v>1.04</v>
      </c>
      <c r="DR17" s="228">
        <v>-0.19</v>
      </c>
      <c r="DS17" s="229">
        <v>-0.1827</v>
      </c>
      <c r="DT17" s="231">
        <v>2500</v>
      </c>
      <c r="DU17" s="231">
        <v>2400</v>
      </c>
      <c r="DV17" s="228">
        <v>0.64</v>
      </c>
      <c r="DW17" s="228">
        <v>1.1000000000000001</v>
      </c>
      <c r="DX17" s="228">
        <v>-0.46</v>
      </c>
      <c r="DY17" s="229">
        <v>-0.41820000000000002</v>
      </c>
      <c r="DZ17" s="229">
        <v>8.1699999999999995E-2</v>
      </c>
      <c r="EA17" s="230">
        <v>1118750</v>
      </c>
      <c r="EB17" s="229">
        <v>-5.9999999999999995E-4</v>
      </c>
      <c r="EC17" s="229">
        <v>8.1699999999999995E-2</v>
      </c>
      <c r="ED17" s="228">
        <v>-7.77</v>
      </c>
      <c r="EE17" s="229">
        <v>-3.0999999999999999E-3</v>
      </c>
      <c r="EF17" s="230">
        <v>281439</v>
      </c>
      <c r="EG17" s="230">
        <v>298509</v>
      </c>
      <c r="EH17" s="229">
        <v>-5.7200000000000001E-2</v>
      </c>
      <c r="EI17" s="229">
        <v>0.45129999999999998</v>
      </c>
      <c r="EJ17" s="231">
        <v>160185.20000000001</v>
      </c>
      <c r="EK17" s="231">
        <v>95556.91</v>
      </c>
      <c r="EL17" s="231">
        <v>29542.27</v>
      </c>
      <c r="EM17" s="231">
        <v>16047</v>
      </c>
      <c r="EN17" s="231">
        <v>285284.38</v>
      </c>
      <c r="EO17" s="231">
        <v>233106.24</v>
      </c>
      <c r="EP17" s="231">
        <v>52178.14</v>
      </c>
      <c r="EQ17" s="229">
        <v>0.2238</v>
      </c>
      <c r="ER17" s="231">
        <v>96602</v>
      </c>
      <c r="ES17" s="231">
        <v>74121</v>
      </c>
      <c r="ET17" s="231">
        <v>349879</v>
      </c>
      <c r="EU17" s="231">
        <v>62818628</v>
      </c>
      <c r="EV17" s="231">
        <v>520602</v>
      </c>
      <c r="EW17" s="231">
        <v>473776</v>
      </c>
      <c r="EX17" s="231">
        <v>46826</v>
      </c>
      <c r="EY17" s="229">
        <v>9.8799999999999999E-2</v>
      </c>
      <c r="EZ17" s="229">
        <v>0.33629999999999999</v>
      </c>
      <c r="FA17" s="227" t="s">
        <v>555</v>
      </c>
      <c r="FB17" s="161">
        <f t="shared" si="0"/>
        <v>1161000</v>
      </c>
    </row>
    <row r="18" spans="1:158" ht="17.25" thickBot="1" x14ac:dyDescent="0.3">
      <c r="A18" s="226">
        <v>46146</v>
      </c>
      <c r="B18" s="227" t="s">
        <v>184</v>
      </c>
      <c r="C18" s="227" t="s">
        <v>503</v>
      </c>
      <c r="D18" s="228">
        <v>425</v>
      </c>
      <c r="E18" s="231">
        <v>1558.3</v>
      </c>
      <c r="F18" s="231">
        <v>1533.2</v>
      </c>
      <c r="G18" s="228">
        <v>25.1</v>
      </c>
      <c r="H18" s="229">
        <v>1.6400000000000001E-2</v>
      </c>
      <c r="I18" s="231">
        <v>1559.6</v>
      </c>
      <c r="J18" s="231">
        <v>1529.7</v>
      </c>
      <c r="K18" s="228">
        <v>29.9</v>
      </c>
      <c r="L18" s="229">
        <v>1.95E-2</v>
      </c>
      <c r="M18" s="231">
        <v>1558.3</v>
      </c>
      <c r="N18" s="231">
        <v>1533.2</v>
      </c>
      <c r="O18" s="228">
        <v>25.1</v>
      </c>
      <c r="P18" s="229">
        <v>1.6400000000000001E-2</v>
      </c>
      <c r="Q18" s="231">
        <v>1532.2</v>
      </c>
      <c r="R18" s="231">
        <v>1506.1</v>
      </c>
      <c r="S18" s="228">
        <v>26.1</v>
      </c>
      <c r="T18" s="229">
        <v>1.7299999999999999E-2</v>
      </c>
      <c r="U18" s="231">
        <v>1522.3</v>
      </c>
      <c r="V18" s="231">
        <v>1475</v>
      </c>
      <c r="W18" s="228">
        <v>47.3</v>
      </c>
      <c r="X18" s="229">
        <v>3.2099999999999997E-2</v>
      </c>
      <c r="Y18" s="228">
        <v>-1.3</v>
      </c>
      <c r="Z18" s="228">
        <v>3.5</v>
      </c>
      <c r="AA18" s="228">
        <v>-4.8</v>
      </c>
      <c r="AB18" s="229">
        <v>-8.0000000000000004E-4</v>
      </c>
      <c r="AC18" s="228">
        <v>-1.3</v>
      </c>
      <c r="AD18" s="228">
        <v>3.5</v>
      </c>
      <c r="AE18" s="228">
        <v>-4.8</v>
      </c>
      <c r="AF18" s="229">
        <v>-8.0000000000000004E-4</v>
      </c>
      <c r="AG18" s="228">
        <v>-27.4</v>
      </c>
      <c r="AH18" s="228">
        <v>-23.6</v>
      </c>
      <c r="AI18" s="228">
        <v>-3.8</v>
      </c>
      <c r="AJ18" s="229">
        <v>-1.7600000000000001E-2</v>
      </c>
      <c r="AK18" s="228">
        <v>-37.299999999999997</v>
      </c>
      <c r="AL18" s="228">
        <v>-54.7</v>
      </c>
      <c r="AM18" s="228">
        <v>17.399999999999999</v>
      </c>
      <c r="AN18" s="229">
        <v>-2.3900000000000001E-2</v>
      </c>
      <c r="AO18" s="231">
        <v>1561.84</v>
      </c>
      <c r="AP18" s="231">
        <v>1537.96</v>
      </c>
      <c r="AQ18" s="228">
        <v>0</v>
      </c>
      <c r="AR18" s="230">
        <v>1258850</v>
      </c>
      <c r="AS18" s="230">
        <v>1089275</v>
      </c>
      <c r="AT18" s="230">
        <v>169575</v>
      </c>
      <c r="AU18" s="229">
        <v>0.15570000000000001</v>
      </c>
      <c r="AV18" s="230">
        <v>1000875</v>
      </c>
      <c r="AW18" s="230">
        <v>968575</v>
      </c>
      <c r="AX18" s="230">
        <v>32300</v>
      </c>
      <c r="AY18" s="229">
        <v>3.3300000000000003E-2</v>
      </c>
      <c r="AZ18" s="230">
        <v>252875</v>
      </c>
      <c r="BA18" s="230">
        <v>106675</v>
      </c>
      <c r="BB18" s="230">
        <v>146200</v>
      </c>
      <c r="BC18" s="229">
        <v>1.3705000000000001</v>
      </c>
      <c r="BD18" s="230">
        <v>5100</v>
      </c>
      <c r="BE18" s="230">
        <v>14025</v>
      </c>
      <c r="BF18" s="230">
        <v>-8925</v>
      </c>
      <c r="BG18" s="229">
        <v>-0.63639999999999997</v>
      </c>
      <c r="BH18" s="230">
        <v>1533825</v>
      </c>
      <c r="BI18" s="230">
        <v>1450950</v>
      </c>
      <c r="BJ18" s="230">
        <v>82875</v>
      </c>
      <c r="BK18" s="229">
        <v>5.7099999999999998E-2</v>
      </c>
      <c r="BL18" s="230">
        <v>703375</v>
      </c>
      <c r="BM18" s="230">
        <v>767550</v>
      </c>
      <c r="BN18" s="230">
        <v>-64175</v>
      </c>
      <c r="BO18" s="229">
        <v>-8.3599999999999994E-2</v>
      </c>
      <c r="BP18" s="230">
        <v>3496050</v>
      </c>
      <c r="BQ18" s="230">
        <v>3307775</v>
      </c>
      <c r="BR18" s="230">
        <v>188275</v>
      </c>
      <c r="BS18" s="229">
        <v>5.6899999999999999E-2</v>
      </c>
      <c r="BT18" s="230">
        <v>414420</v>
      </c>
      <c r="BU18" s="230">
        <v>339780</v>
      </c>
      <c r="BV18" s="230">
        <v>74640</v>
      </c>
      <c r="BW18" s="229">
        <v>0.21970000000000001</v>
      </c>
      <c r="BX18" s="230">
        <v>9134950</v>
      </c>
      <c r="BY18" s="230">
        <v>9021900</v>
      </c>
      <c r="BZ18" s="230">
        <v>113050</v>
      </c>
      <c r="CA18" s="229">
        <v>1.2500000000000001E-2</v>
      </c>
      <c r="CB18" s="230">
        <v>8698475</v>
      </c>
      <c r="CC18" s="230">
        <v>8695075</v>
      </c>
      <c r="CD18" s="230">
        <v>3400</v>
      </c>
      <c r="CE18" s="229">
        <v>4.0000000000000002E-4</v>
      </c>
      <c r="CF18" s="230">
        <v>412675</v>
      </c>
      <c r="CG18" s="230">
        <v>305150</v>
      </c>
      <c r="CH18" s="230">
        <v>107525</v>
      </c>
      <c r="CI18" s="229">
        <v>0.35239999999999999</v>
      </c>
      <c r="CJ18" s="230">
        <v>23800</v>
      </c>
      <c r="CK18" s="230">
        <v>21675</v>
      </c>
      <c r="CL18" s="230">
        <v>2125</v>
      </c>
      <c r="CM18" s="229">
        <v>9.8000000000000004E-2</v>
      </c>
      <c r="CN18" s="230">
        <v>1356600</v>
      </c>
      <c r="CO18" s="230">
        <v>1280950</v>
      </c>
      <c r="CP18" s="230">
        <v>75650</v>
      </c>
      <c r="CQ18" s="229">
        <v>5.91E-2</v>
      </c>
      <c r="CR18" s="230">
        <v>927775</v>
      </c>
      <c r="CS18" s="230">
        <v>918425</v>
      </c>
      <c r="CT18" s="230">
        <v>9350</v>
      </c>
      <c r="CU18" s="229">
        <v>1.0200000000000001E-2</v>
      </c>
      <c r="CV18" s="230">
        <v>11419325</v>
      </c>
      <c r="CW18" s="230">
        <v>11221275</v>
      </c>
      <c r="CX18" s="230">
        <v>198050</v>
      </c>
      <c r="CY18" s="229">
        <v>1.7600000000000001E-2</v>
      </c>
      <c r="CZ18" s="228">
        <v>34.78</v>
      </c>
      <c r="DA18" s="228">
        <v>35</v>
      </c>
      <c r="DB18" s="228">
        <v>-0.22</v>
      </c>
      <c r="DC18" s="228">
        <v>-0.22</v>
      </c>
      <c r="DD18" s="228">
        <v>35.44</v>
      </c>
      <c r="DE18" s="228">
        <v>35.43</v>
      </c>
      <c r="DF18" s="228">
        <v>-0.66</v>
      </c>
      <c r="DG18" s="228">
        <v>0.01</v>
      </c>
      <c r="DH18" s="228">
        <v>34.68</v>
      </c>
      <c r="DI18" s="228">
        <v>34.99</v>
      </c>
      <c r="DJ18" s="228">
        <v>-0.31</v>
      </c>
      <c r="DK18" s="228">
        <v>-0.31</v>
      </c>
      <c r="DL18" s="228">
        <v>35</v>
      </c>
      <c r="DM18" s="228">
        <v>35</v>
      </c>
      <c r="DN18" s="228">
        <v>0</v>
      </c>
      <c r="DO18" s="228">
        <v>0</v>
      </c>
      <c r="DP18" s="228">
        <v>0.68</v>
      </c>
      <c r="DQ18" s="228">
        <v>0.72</v>
      </c>
      <c r="DR18" s="228">
        <v>-0.04</v>
      </c>
      <c r="DS18" s="229">
        <v>-5.5599999999999997E-2</v>
      </c>
      <c r="DT18" s="231">
        <v>1600</v>
      </c>
      <c r="DU18" s="231">
        <v>1560</v>
      </c>
      <c r="DV18" s="228">
        <v>0.46</v>
      </c>
      <c r="DW18" s="228">
        <v>0.53</v>
      </c>
      <c r="DX18" s="228">
        <v>-7.0000000000000007E-2</v>
      </c>
      <c r="DY18" s="229">
        <v>-0.1321</v>
      </c>
      <c r="DZ18" s="229">
        <v>4.7800000000000002E-2</v>
      </c>
      <c r="EA18" s="230">
        <v>326825</v>
      </c>
      <c r="EB18" s="229">
        <v>-1.67E-2</v>
      </c>
      <c r="EC18" s="229">
        <v>4.7800000000000002E-2</v>
      </c>
      <c r="ED18" s="228">
        <v>-23.88</v>
      </c>
      <c r="EE18" s="229">
        <v>-1.5299999999999999E-2</v>
      </c>
      <c r="EF18" s="230">
        <v>166670</v>
      </c>
      <c r="EG18" s="230">
        <v>152375</v>
      </c>
      <c r="EH18" s="229">
        <v>9.3799999999999994E-2</v>
      </c>
      <c r="EI18" s="229">
        <v>0.4022</v>
      </c>
      <c r="EJ18" s="231">
        <v>25493.47</v>
      </c>
      <c r="EK18" s="231">
        <v>10917.76</v>
      </c>
      <c r="EL18" s="231">
        <v>19598.89</v>
      </c>
      <c r="EM18" s="231">
        <v>8155</v>
      </c>
      <c r="EN18" s="231">
        <v>56010.12</v>
      </c>
      <c r="EO18" s="231">
        <v>52302.05</v>
      </c>
      <c r="EP18" s="231">
        <v>3708.07</v>
      </c>
      <c r="EQ18" s="229">
        <v>7.0900000000000005E-2</v>
      </c>
      <c r="ER18" s="231">
        <v>22194</v>
      </c>
      <c r="ES18" s="231">
        <v>14013</v>
      </c>
      <c r="ET18" s="231">
        <v>142234</v>
      </c>
      <c r="EU18" s="231">
        <v>17577908</v>
      </c>
      <c r="EV18" s="231">
        <v>178441</v>
      </c>
      <c r="EW18" s="231">
        <v>173016</v>
      </c>
      <c r="EX18" s="231">
        <v>5425</v>
      </c>
      <c r="EY18" s="229">
        <v>3.1399999999999997E-2</v>
      </c>
      <c r="EZ18" s="229">
        <v>0.64959999999999996</v>
      </c>
      <c r="FA18" s="227" t="s">
        <v>555</v>
      </c>
      <c r="FB18" s="161">
        <f t="shared" si="0"/>
        <v>436475</v>
      </c>
    </row>
    <row r="19" spans="1:158" ht="17.25" thickBot="1" x14ac:dyDescent="0.3">
      <c r="A19" s="226">
        <v>46146</v>
      </c>
      <c r="B19" s="227" t="s">
        <v>172</v>
      </c>
      <c r="C19" s="227" t="s">
        <v>495</v>
      </c>
      <c r="D19" s="228">
        <v>1000</v>
      </c>
      <c r="E19" s="231">
        <v>1021.1</v>
      </c>
      <c r="F19" s="231">
        <v>1021.15</v>
      </c>
      <c r="G19" s="228">
        <v>-0.05</v>
      </c>
      <c r="H19" s="229">
        <v>0</v>
      </c>
      <c r="I19" s="231">
        <v>1015</v>
      </c>
      <c r="J19" s="231">
        <v>1015.95</v>
      </c>
      <c r="K19" s="228">
        <v>-0.95</v>
      </c>
      <c r="L19" s="229">
        <v>-8.9999999999999998E-4</v>
      </c>
      <c r="M19" s="231">
        <v>1021.1</v>
      </c>
      <c r="N19" s="231">
        <v>1021.15</v>
      </c>
      <c r="O19" s="228">
        <v>-0.05</v>
      </c>
      <c r="P19" s="229">
        <v>0</v>
      </c>
      <c r="Q19" s="231">
        <v>1027.7</v>
      </c>
      <c r="R19" s="231">
        <v>1027.75</v>
      </c>
      <c r="S19" s="228">
        <v>-0.05</v>
      </c>
      <c r="T19" s="229">
        <v>0</v>
      </c>
      <c r="U19" s="231">
        <v>1046</v>
      </c>
      <c r="V19" s="231">
        <v>1024</v>
      </c>
      <c r="W19" s="228">
        <v>22</v>
      </c>
      <c r="X19" s="229">
        <v>2.1499999999999998E-2</v>
      </c>
      <c r="Y19" s="228">
        <v>6.1</v>
      </c>
      <c r="Z19" s="228">
        <v>5.2</v>
      </c>
      <c r="AA19" s="228">
        <v>0.9</v>
      </c>
      <c r="AB19" s="229">
        <v>6.0000000000000001E-3</v>
      </c>
      <c r="AC19" s="228">
        <v>6.1</v>
      </c>
      <c r="AD19" s="228">
        <v>5.2</v>
      </c>
      <c r="AE19" s="228">
        <v>0.9</v>
      </c>
      <c r="AF19" s="229">
        <v>6.0000000000000001E-3</v>
      </c>
      <c r="AG19" s="228">
        <v>12.7</v>
      </c>
      <c r="AH19" s="228">
        <v>11.8</v>
      </c>
      <c r="AI19" s="228">
        <v>0.9</v>
      </c>
      <c r="AJ19" s="229">
        <v>1.2500000000000001E-2</v>
      </c>
      <c r="AK19" s="228">
        <v>31</v>
      </c>
      <c r="AL19" s="228">
        <v>8.0500000000000007</v>
      </c>
      <c r="AM19" s="228">
        <v>22.95</v>
      </c>
      <c r="AN19" s="229">
        <v>3.0499999999999999E-2</v>
      </c>
      <c r="AO19" s="231">
        <v>1030.52</v>
      </c>
      <c r="AP19" s="231">
        <v>1039.18</v>
      </c>
      <c r="AQ19" s="228">
        <v>0</v>
      </c>
      <c r="AR19" s="230">
        <v>3374000</v>
      </c>
      <c r="AS19" s="230">
        <v>4184000</v>
      </c>
      <c r="AT19" s="230">
        <v>-810000</v>
      </c>
      <c r="AU19" s="229">
        <v>-0.19359999999999999</v>
      </c>
      <c r="AV19" s="230">
        <v>3097000</v>
      </c>
      <c r="AW19" s="230">
        <v>3913000</v>
      </c>
      <c r="AX19" s="230">
        <v>-816000</v>
      </c>
      <c r="AY19" s="229">
        <v>-0.20849999999999999</v>
      </c>
      <c r="AZ19" s="230">
        <v>273000</v>
      </c>
      <c r="BA19" s="230">
        <v>268000</v>
      </c>
      <c r="BB19" s="230">
        <v>5000</v>
      </c>
      <c r="BC19" s="229">
        <v>1.8700000000000001E-2</v>
      </c>
      <c r="BD19" s="230">
        <v>4000</v>
      </c>
      <c r="BE19" s="230">
        <v>3000</v>
      </c>
      <c r="BF19" s="230">
        <v>1000</v>
      </c>
      <c r="BG19" s="229">
        <v>0.33329999999999999</v>
      </c>
      <c r="BH19" s="230">
        <v>5905000</v>
      </c>
      <c r="BI19" s="230">
        <v>8655000</v>
      </c>
      <c r="BJ19" s="230">
        <v>-2750000</v>
      </c>
      <c r="BK19" s="229">
        <v>-0.31769999999999998</v>
      </c>
      <c r="BL19" s="230">
        <v>3090000</v>
      </c>
      <c r="BM19" s="230">
        <v>4764000</v>
      </c>
      <c r="BN19" s="230">
        <v>-1674000</v>
      </c>
      <c r="BO19" s="229">
        <v>-0.35139999999999999</v>
      </c>
      <c r="BP19" s="230">
        <v>12369000</v>
      </c>
      <c r="BQ19" s="230">
        <v>17603000</v>
      </c>
      <c r="BR19" s="230">
        <v>-5234000</v>
      </c>
      <c r="BS19" s="229">
        <v>-0.29730000000000001</v>
      </c>
      <c r="BT19" s="230">
        <v>1553581</v>
      </c>
      <c r="BU19" s="230">
        <v>1955155</v>
      </c>
      <c r="BV19" s="230">
        <v>-401574</v>
      </c>
      <c r="BW19" s="229">
        <v>-0.2054</v>
      </c>
      <c r="BX19" s="230">
        <v>26943000</v>
      </c>
      <c r="BY19" s="230">
        <v>26776000</v>
      </c>
      <c r="BZ19" s="230">
        <v>167000</v>
      </c>
      <c r="CA19" s="229">
        <v>6.1999999999999998E-3</v>
      </c>
      <c r="CB19" s="230">
        <v>25704000</v>
      </c>
      <c r="CC19" s="230">
        <v>25670000</v>
      </c>
      <c r="CD19" s="230">
        <v>34000</v>
      </c>
      <c r="CE19" s="229">
        <v>1.2999999999999999E-3</v>
      </c>
      <c r="CF19" s="230">
        <v>1232000</v>
      </c>
      <c r="CG19" s="230">
        <v>1101000</v>
      </c>
      <c r="CH19" s="230">
        <v>131000</v>
      </c>
      <c r="CI19" s="229">
        <v>0.11899999999999999</v>
      </c>
      <c r="CJ19" s="230">
        <v>7000</v>
      </c>
      <c r="CK19" s="230">
        <v>5000</v>
      </c>
      <c r="CL19" s="230">
        <v>2000</v>
      </c>
      <c r="CM19" s="229">
        <v>0.4</v>
      </c>
      <c r="CN19" s="230">
        <v>7492000</v>
      </c>
      <c r="CO19" s="230">
        <v>7683000</v>
      </c>
      <c r="CP19" s="230">
        <v>-191000</v>
      </c>
      <c r="CQ19" s="229">
        <v>-2.4899999999999999E-2</v>
      </c>
      <c r="CR19" s="230">
        <v>4161000</v>
      </c>
      <c r="CS19" s="230">
        <v>4161000</v>
      </c>
      <c r="CT19" s="228">
        <v>0</v>
      </c>
      <c r="CU19" s="229">
        <v>0</v>
      </c>
      <c r="CV19" s="230">
        <v>38596000</v>
      </c>
      <c r="CW19" s="230">
        <v>38620000</v>
      </c>
      <c r="CX19" s="230">
        <v>-24000</v>
      </c>
      <c r="CY19" s="229">
        <v>-5.9999999999999995E-4</v>
      </c>
      <c r="CZ19" s="228">
        <v>32.57</v>
      </c>
      <c r="DA19" s="228">
        <v>32.409999999999997</v>
      </c>
      <c r="DB19" s="228">
        <v>0.16</v>
      </c>
      <c r="DC19" s="228">
        <v>0.16</v>
      </c>
      <c r="DD19" s="228">
        <v>38</v>
      </c>
      <c r="DE19" s="228">
        <v>38.090000000000003</v>
      </c>
      <c r="DF19" s="228">
        <v>-5.43</v>
      </c>
      <c r="DG19" s="228">
        <v>-0.09</v>
      </c>
      <c r="DH19" s="228">
        <v>32.51</v>
      </c>
      <c r="DI19" s="228">
        <v>32.4</v>
      </c>
      <c r="DJ19" s="228">
        <v>0.11</v>
      </c>
      <c r="DK19" s="228">
        <v>0.11</v>
      </c>
      <c r="DL19" s="228">
        <v>32.67</v>
      </c>
      <c r="DM19" s="228">
        <v>32.43</v>
      </c>
      <c r="DN19" s="228">
        <v>0.24</v>
      </c>
      <c r="DO19" s="228">
        <v>0.24</v>
      </c>
      <c r="DP19" s="228">
        <v>0.56000000000000005</v>
      </c>
      <c r="DQ19" s="228">
        <v>0.54</v>
      </c>
      <c r="DR19" s="228">
        <v>0.02</v>
      </c>
      <c r="DS19" s="229">
        <v>3.6999999999999998E-2</v>
      </c>
      <c r="DT19" s="231">
        <v>1100</v>
      </c>
      <c r="DU19" s="231">
        <v>1000</v>
      </c>
      <c r="DV19" s="228">
        <v>0.52</v>
      </c>
      <c r="DW19" s="228">
        <v>0.55000000000000004</v>
      </c>
      <c r="DX19" s="228">
        <v>-0.03</v>
      </c>
      <c r="DY19" s="229">
        <v>-5.45E-2</v>
      </c>
      <c r="DZ19" s="229">
        <v>4.5999999999999999E-2</v>
      </c>
      <c r="EA19" s="230">
        <v>1106000</v>
      </c>
      <c r="EB19" s="229">
        <v>6.4999999999999997E-3</v>
      </c>
      <c r="EC19" s="229">
        <v>4.5999999999999999E-2</v>
      </c>
      <c r="ED19" s="228">
        <v>8.66</v>
      </c>
      <c r="EE19" s="229">
        <v>8.3999999999999995E-3</v>
      </c>
      <c r="EF19" s="230">
        <v>878927</v>
      </c>
      <c r="EG19" s="230">
        <v>926400</v>
      </c>
      <c r="EH19" s="229">
        <v>-5.1200000000000002E-2</v>
      </c>
      <c r="EI19" s="229">
        <v>0.56569999999999998</v>
      </c>
      <c r="EJ19" s="231">
        <v>64096.06</v>
      </c>
      <c r="EK19" s="231">
        <v>31471.68</v>
      </c>
      <c r="EL19" s="231">
        <v>34793.870000000003</v>
      </c>
      <c r="EM19" s="231">
        <v>11402</v>
      </c>
      <c r="EN19" s="231">
        <v>130361.61</v>
      </c>
      <c r="EO19" s="231">
        <v>184775.8</v>
      </c>
      <c r="EP19" s="231">
        <v>-54414.19</v>
      </c>
      <c r="EQ19" s="229">
        <v>-0.29449999999999998</v>
      </c>
      <c r="ER19" s="231">
        <v>81028</v>
      </c>
      <c r="ES19" s="231">
        <v>40777</v>
      </c>
      <c r="ET19" s="231">
        <v>275198</v>
      </c>
      <c r="EU19" s="231">
        <v>86532345</v>
      </c>
      <c r="EV19" s="231">
        <v>397003</v>
      </c>
      <c r="EW19" s="231">
        <v>397317</v>
      </c>
      <c r="EX19" s="228">
        <v>-314</v>
      </c>
      <c r="EY19" s="229">
        <v>-8.0000000000000004E-4</v>
      </c>
      <c r="EZ19" s="229">
        <v>0.44600000000000001</v>
      </c>
      <c r="FA19" s="227" t="s">
        <v>237</v>
      </c>
      <c r="FB19" s="161">
        <f t="shared" si="0"/>
        <v>1239000</v>
      </c>
    </row>
    <row r="20" spans="1:158" ht="17.25" thickBot="1" x14ac:dyDescent="0.3">
      <c r="A20" s="226">
        <v>46146</v>
      </c>
      <c r="B20" s="227" t="s">
        <v>170</v>
      </c>
      <c r="C20" s="227" t="s">
        <v>171</v>
      </c>
      <c r="D20" s="228">
        <v>550</v>
      </c>
      <c r="E20" s="231">
        <v>1379.8</v>
      </c>
      <c r="F20" s="231">
        <v>1396.4</v>
      </c>
      <c r="G20" s="228">
        <v>-16.600000000000001</v>
      </c>
      <c r="H20" s="229">
        <v>-1.1900000000000001E-2</v>
      </c>
      <c r="I20" s="231">
        <v>1376</v>
      </c>
      <c r="J20" s="231">
        <v>1389.5</v>
      </c>
      <c r="K20" s="228">
        <v>-13.5</v>
      </c>
      <c r="L20" s="229">
        <v>-9.7000000000000003E-3</v>
      </c>
      <c r="M20" s="231">
        <v>1379.8</v>
      </c>
      <c r="N20" s="231">
        <v>1396.4</v>
      </c>
      <c r="O20" s="228">
        <v>-16.600000000000001</v>
      </c>
      <c r="P20" s="229">
        <v>-1.1900000000000001E-2</v>
      </c>
      <c r="Q20" s="231">
        <v>1387</v>
      </c>
      <c r="R20" s="231">
        <v>1402.9</v>
      </c>
      <c r="S20" s="228">
        <v>-15.9</v>
      </c>
      <c r="T20" s="229">
        <v>-1.1299999999999999E-2</v>
      </c>
      <c r="U20" s="231">
        <v>1395</v>
      </c>
      <c r="V20" s="231">
        <v>1426.9</v>
      </c>
      <c r="W20" s="228">
        <v>-31.9</v>
      </c>
      <c r="X20" s="229">
        <v>-2.24E-2</v>
      </c>
      <c r="Y20" s="228">
        <v>3.8</v>
      </c>
      <c r="Z20" s="228">
        <v>6.9</v>
      </c>
      <c r="AA20" s="228">
        <v>-3.1</v>
      </c>
      <c r="AB20" s="229">
        <v>2.8E-3</v>
      </c>
      <c r="AC20" s="228">
        <v>3.8</v>
      </c>
      <c r="AD20" s="228">
        <v>6.9</v>
      </c>
      <c r="AE20" s="228">
        <v>-3.1</v>
      </c>
      <c r="AF20" s="229">
        <v>2.8E-3</v>
      </c>
      <c r="AG20" s="228">
        <v>11</v>
      </c>
      <c r="AH20" s="228">
        <v>13.4</v>
      </c>
      <c r="AI20" s="228">
        <v>-2.4</v>
      </c>
      <c r="AJ20" s="229">
        <v>8.0000000000000002E-3</v>
      </c>
      <c r="AK20" s="228">
        <v>19</v>
      </c>
      <c r="AL20" s="228">
        <v>37.4</v>
      </c>
      <c r="AM20" s="228">
        <v>-18.399999999999999</v>
      </c>
      <c r="AN20" s="229">
        <v>1.38E-2</v>
      </c>
      <c r="AO20" s="231">
        <v>1385.9</v>
      </c>
      <c r="AP20" s="231">
        <v>1390.11</v>
      </c>
      <c r="AQ20" s="228">
        <v>0</v>
      </c>
      <c r="AR20" s="230">
        <v>1482800</v>
      </c>
      <c r="AS20" s="230">
        <v>649000</v>
      </c>
      <c r="AT20" s="230">
        <v>833800</v>
      </c>
      <c r="AU20" s="229">
        <v>1.2847</v>
      </c>
      <c r="AV20" s="230">
        <v>1463550</v>
      </c>
      <c r="AW20" s="230">
        <v>637450</v>
      </c>
      <c r="AX20" s="230">
        <v>826100</v>
      </c>
      <c r="AY20" s="229">
        <v>1.2959000000000001</v>
      </c>
      <c r="AZ20" s="230">
        <v>17600</v>
      </c>
      <c r="BA20" s="230">
        <v>11550</v>
      </c>
      <c r="BB20" s="230">
        <v>6050</v>
      </c>
      <c r="BC20" s="229">
        <v>0.52380000000000004</v>
      </c>
      <c r="BD20" s="230">
        <v>1650</v>
      </c>
      <c r="BE20" s="228">
        <v>0</v>
      </c>
      <c r="BF20" s="230">
        <v>1650</v>
      </c>
      <c r="BG20" s="229">
        <v>0</v>
      </c>
      <c r="BH20" s="230">
        <v>1695100</v>
      </c>
      <c r="BI20" s="230">
        <v>1263900</v>
      </c>
      <c r="BJ20" s="230">
        <v>431200</v>
      </c>
      <c r="BK20" s="229">
        <v>0.3412</v>
      </c>
      <c r="BL20" s="230">
        <v>891000</v>
      </c>
      <c r="BM20" s="230">
        <v>750750</v>
      </c>
      <c r="BN20" s="230">
        <v>140250</v>
      </c>
      <c r="BO20" s="229">
        <v>0.18679999999999999</v>
      </c>
      <c r="BP20" s="230">
        <v>4068900</v>
      </c>
      <c r="BQ20" s="230">
        <v>2663650</v>
      </c>
      <c r="BR20" s="230">
        <v>1405250</v>
      </c>
      <c r="BS20" s="229">
        <v>0.52759999999999996</v>
      </c>
      <c r="BT20" s="230">
        <v>806168</v>
      </c>
      <c r="BU20" s="230">
        <v>622464</v>
      </c>
      <c r="BV20" s="230">
        <v>183704</v>
      </c>
      <c r="BW20" s="229">
        <v>0.29509999999999997</v>
      </c>
      <c r="BX20" s="230">
        <v>19611900</v>
      </c>
      <c r="BY20" s="230">
        <v>19498050</v>
      </c>
      <c r="BZ20" s="230">
        <v>113850</v>
      </c>
      <c r="CA20" s="229">
        <v>5.7999999999999996E-3</v>
      </c>
      <c r="CB20" s="230">
        <v>19562400</v>
      </c>
      <c r="CC20" s="230">
        <v>19461750</v>
      </c>
      <c r="CD20" s="230">
        <v>100650</v>
      </c>
      <c r="CE20" s="229">
        <v>5.1999999999999998E-3</v>
      </c>
      <c r="CF20" s="230">
        <v>47850</v>
      </c>
      <c r="CG20" s="230">
        <v>35750</v>
      </c>
      <c r="CH20" s="230">
        <v>12100</v>
      </c>
      <c r="CI20" s="229">
        <v>0.33850000000000002</v>
      </c>
      <c r="CJ20" s="230">
        <v>1650</v>
      </c>
      <c r="CK20" s="228">
        <v>550</v>
      </c>
      <c r="CL20" s="230">
        <v>1100</v>
      </c>
      <c r="CM20" s="229">
        <v>2</v>
      </c>
      <c r="CN20" s="230">
        <v>2778050</v>
      </c>
      <c r="CO20" s="230">
        <v>2444200</v>
      </c>
      <c r="CP20" s="230">
        <v>333850</v>
      </c>
      <c r="CQ20" s="229">
        <v>0.1366</v>
      </c>
      <c r="CR20" s="230">
        <v>1579600</v>
      </c>
      <c r="CS20" s="230">
        <v>1469050</v>
      </c>
      <c r="CT20" s="230">
        <v>110550</v>
      </c>
      <c r="CU20" s="229">
        <v>7.5300000000000006E-2</v>
      </c>
      <c r="CV20" s="230">
        <v>23969550</v>
      </c>
      <c r="CW20" s="230">
        <v>23411300</v>
      </c>
      <c r="CX20" s="230">
        <v>558250</v>
      </c>
      <c r="CY20" s="229">
        <v>2.3800000000000002E-2</v>
      </c>
      <c r="CZ20" s="228">
        <v>30.81</v>
      </c>
      <c r="DA20" s="228">
        <v>29.97</v>
      </c>
      <c r="DB20" s="228">
        <v>0.84</v>
      </c>
      <c r="DC20" s="228">
        <v>0.84</v>
      </c>
      <c r="DD20" s="228">
        <v>32.97</v>
      </c>
      <c r="DE20" s="228">
        <v>33.03</v>
      </c>
      <c r="DF20" s="228">
        <v>-2.16</v>
      </c>
      <c r="DG20" s="228">
        <v>-0.06</v>
      </c>
      <c r="DH20" s="228">
        <v>31.23</v>
      </c>
      <c r="DI20" s="228">
        <v>30.1</v>
      </c>
      <c r="DJ20" s="228">
        <v>1.1299999999999999</v>
      </c>
      <c r="DK20" s="228">
        <v>1.1299999999999999</v>
      </c>
      <c r="DL20" s="228">
        <v>30</v>
      </c>
      <c r="DM20" s="228">
        <v>29.73</v>
      </c>
      <c r="DN20" s="228">
        <v>0.27</v>
      </c>
      <c r="DO20" s="228">
        <v>0.27</v>
      </c>
      <c r="DP20" s="228">
        <v>0.56999999999999995</v>
      </c>
      <c r="DQ20" s="228">
        <v>0.6</v>
      </c>
      <c r="DR20" s="228">
        <v>-0.03</v>
      </c>
      <c r="DS20" s="229">
        <v>-0.05</v>
      </c>
      <c r="DT20" s="231">
        <v>1440</v>
      </c>
      <c r="DU20" s="231">
        <v>1400</v>
      </c>
      <c r="DV20" s="228">
        <v>0.53</v>
      </c>
      <c r="DW20" s="228">
        <v>0.59</v>
      </c>
      <c r="DX20" s="228">
        <v>-0.06</v>
      </c>
      <c r="DY20" s="229">
        <v>-0.1017</v>
      </c>
      <c r="DZ20" s="229">
        <v>2.5000000000000001E-3</v>
      </c>
      <c r="EA20" s="230">
        <v>36300</v>
      </c>
      <c r="EB20" s="229">
        <v>5.1999999999999998E-3</v>
      </c>
      <c r="EC20" s="229">
        <v>2.5000000000000001E-3</v>
      </c>
      <c r="ED20" s="228">
        <v>4.21</v>
      </c>
      <c r="EE20" s="229">
        <v>3.0000000000000001E-3</v>
      </c>
      <c r="EF20" s="230">
        <v>401136</v>
      </c>
      <c r="EG20" s="230">
        <v>245399</v>
      </c>
      <c r="EH20" s="229">
        <v>0.63460000000000005</v>
      </c>
      <c r="EI20" s="229">
        <v>0.49759999999999999</v>
      </c>
      <c r="EJ20" s="231">
        <v>24946.79</v>
      </c>
      <c r="EK20" s="231">
        <v>12432.13</v>
      </c>
      <c r="EL20" s="231">
        <v>20551.07</v>
      </c>
      <c r="EM20" s="231">
        <v>5269</v>
      </c>
      <c r="EN20" s="231">
        <v>57929.99</v>
      </c>
      <c r="EO20" s="231">
        <v>38045.94</v>
      </c>
      <c r="EP20" s="231">
        <v>19884.05</v>
      </c>
      <c r="EQ20" s="229">
        <v>0.52259999999999995</v>
      </c>
      <c r="ER20" s="231">
        <v>40105</v>
      </c>
      <c r="ES20" s="231">
        <v>21589</v>
      </c>
      <c r="ET20" s="231">
        <v>270609</v>
      </c>
      <c r="EU20" s="231">
        <v>41977935</v>
      </c>
      <c r="EV20" s="231">
        <v>332304</v>
      </c>
      <c r="EW20" s="231">
        <v>327638</v>
      </c>
      <c r="EX20" s="231">
        <v>4666</v>
      </c>
      <c r="EY20" s="229">
        <v>1.4200000000000001E-2</v>
      </c>
      <c r="EZ20" s="229">
        <v>0.57099999999999995</v>
      </c>
      <c r="FA20" s="227" t="s">
        <v>566</v>
      </c>
      <c r="FB20" s="161">
        <f t="shared" si="0"/>
        <v>49500</v>
      </c>
    </row>
    <row r="21" spans="1:158" ht="17.25" thickBot="1" x14ac:dyDescent="0.3">
      <c r="A21" s="226">
        <v>46146</v>
      </c>
      <c r="B21" s="227" t="s">
        <v>172</v>
      </c>
      <c r="C21" s="227" t="s">
        <v>173</v>
      </c>
      <c r="D21" s="228">
        <v>625</v>
      </c>
      <c r="E21" s="231">
        <v>1282.2</v>
      </c>
      <c r="F21" s="231">
        <v>1275.9000000000001</v>
      </c>
      <c r="G21" s="228">
        <v>6.3</v>
      </c>
      <c r="H21" s="229">
        <v>4.8999999999999998E-3</v>
      </c>
      <c r="I21" s="231">
        <v>1275.0999999999999</v>
      </c>
      <c r="J21" s="231">
        <v>1268.3</v>
      </c>
      <c r="K21" s="228">
        <v>6.8</v>
      </c>
      <c r="L21" s="229">
        <v>5.4000000000000003E-3</v>
      </c>
      <c r="M21" s="231">
        <v>1282.2</v>
      </c>
      <c r="N21" s="231">
        <v>1275.9000000000001</v>
      </c>
      <c r="O21" s="228">
        <v>6.3</v>
      </c>
      <c r="P21" s="229">
        <v>4.8999999999999998E-3</v>
      </c>
      <c r="Q21" s="231">
        <v>1290.5</v>
      </c>
      <c r="R21" s="231">
        <v>1283.7</v>
      </c>
      <c r="S21" s="228">
        <v>6.8</v>
      </c>
      <c r="T21" s="229">
        <v>5.3E-3</v>
      </c>
      <c r="U21" s="231">
        <v>1297.4000000000001</v>
      </c>
      <c r="V21" s="231">
        <v>1290.4000000000001</v>
      </c>
      <c r="W21" s="228">
        <v>7</v>
      </c>
      <c r="X21" s="229">
        <v>5.4000000000000003E-3</v>
      </c>
      <c r="Y21" s="228">
        <v>7.1</v>
      </c>
      <c r="Z21" s="228">
        <v>7.6</v>
      </c>
      <c r="AA21" s="228">
        <v>-0.5</v>
      </c>
      <c r="AB21" s="229">
        <v>5.5999999999999999E-3</v>
      </c>
      <c r="AC21" s="228">
        <v>7.1</v>
      </c>
      <c r="AD21" s="228">
        <v>7.6</v>
      </c>
      <c r="AE21" s="228">
        <v>-0.5</v>
      </c>
      <c r="AF21" s="229">
        <v>5.5999999999999999E-3</v>
      </c>
      <c r="AG21" s="228">
        <v>15.4</v>
      </c>
      <c r="AH21" s="228">
        <v>15.4</v>
      </c>
      <c r="AI21" s="228">
        <v>0</v>
      </c>
      <c r="AJ21" s="229">
        <v>1.21E-2</v>
      </c>
      <c r="AK21" s="228">
        <v>22.3</v>
      </c>
      <c r="AL21" s="228">
        <v>22.1</v>
      </c>
      <c r="AM21" s="228">
        <v>0.2</v>
      </c>
      <c r="AN21" s="229">
        <v>1.7500000000000002E-2</v>
      </c>
      <c r="AO21" s="231">
        <v>1285.04</v>
      </c>
      <c r="AP21" s="231">
        <v>1291.75</v>
      </c>
      <c r="AQ21" s="228">
        <v>0</v>
      </c>
      <c r="AR21" s="230">
        <v>7328750</v>
      </c>
      <c r="AS21" s="230">
        <v>10421875</v>
      </c>
      <c r="AT21" s="230">
        <v>-3093125</v>
      </c>
      <c r="AU21" s="229">
        <v>-0.29680000000000001</v>
      </c>
      <c r="AV21" s="230">
        <v>6412500</v>
      </c>
      <c r="AW21" s="230">
        <v>9258125</v>
      </c>
      <c r="AX21" s="230">
        <v>-2845625</v>
      </c>
      <c r="AY21" s="229">
        <v>-0.30740000000000001</v>
      </c>
      <c r="AZ21" s="230">
        <v>899375</v>
      </c>
      <c r="BA21" s="230">
        <v>1114375</v>
      </c>
      <c r="BB21" s="230">
        <v>-215000</v>
      </c>
      <c r="BC21" s="229">
        <v>-0.19289999999999999</v>
      </c>
      <c r="BD21" s="230">
        <v>16875</v>
      </c>
      <c r="BE21" s="230">
        <v>49375</v>
      </c>
      <c r="BF21" s="230">
        <v>-32500</v>
      </c>
      <c r="BG21" s="229">
        <v>-0.65820000000000001</v>
      </c>
      <c r="BH21" s="230">
        <v>19852500</v>
      </c>
      <c r="BI21" s="230">
        <v>24603125</v>
      </c>
      <c r="BJ21" s="230">
        <v>-4750625</v>
      </c>
      <c r="BK21" s="229">
        <v>-0.19309999999999999</v>
      </c>
      <c r="BL21" s="230">
        <v>9824375</v>
      </c>
      <c r="BM21" s="230">
        <v>17408125</v>
      </c>
      <c r="BN21" s="230">
        <v>-7583750</v>
      </c>
      <c r="BO21" s="229">
        <v>-0.43559999999999999</v>
      </c>
      <c r="BP21" s="230">
        <v>37005625</v>
      </c>
      <c r="BQ21" s="230">
        <v>52433125</v>
      </c>
      <c r="BR21" s="230">
        <v>-15427500</v>
      </c>
      <c r="BS21" s="229">
        <v>-0.29420000000000002</v>
      </c>
      <c r="BT21" s="230">
        <v>10542787</v>
      </c>
      <c r="BU21" s="230">
        <v>17248371</v>
      </c>
      <c r="BV21" s="230">
        <v>-6705584</v>
      </c>
      <c r="BW21" s="229">
        <v>-0.38879999999999998</v>
      </c>
      <c r="BX21" s="230">
        <v>66586250</v>
      </c>
      <c r="BY21" s="230">
        <v>64493750</v>
      </c>
      <c r="BZ21" s="230">
        <v>2092500</v>
      </c>
      <c r="CA21" s="229">
        <v>3.2399999999999998E-2</v>
      </c>
      <c r="CB21" s="230">
        <v>58879375</v>
      </c>
      <c r="CC21" s="230">
        <v>57502500</v>
      </c>
      <c r="CD21" s="230">
        <v>1376875</v>
      </c>
      <c r="CE21" s="229">
        <v>2.3900000000000001E-2</v>
      </c>
      <c r="CF21" s="230">
        <v>7646875</v>
      </c>
      <c r="CG21" s="230">
        <v>6939375</v>
      </c>
      <c r="CH21" s="230">
        <v>707500</v>
      </c>
      <c r="CI21" s="229">
        <v>0.10199999999999999</v>
      </c>
      <c r="CJ21" s="230">
        <v>60000</v>
      </c>
      <c r="CK21" s="230">
        <v>51875</v>
      </c>
      <c r="CL21" s="230">
        <v>8125</v>
      </c>
      <c r="CM21" s="229">
        <v>0.15659999999999999</v>
      </c>
      <c r="CN21" s="230">
        <v>14793750</v>
      </c>
      <c r="CO21" s="230">
        <v>12561875</v>
      </c>
      <c r="CP21" s="230">
        <v>2231875</v>
      </c>
      <c r="CQ21" s="229">
        <v>0.1777</v>
      </c>
      <c r="CR21" s="230">
        <v>10312500</v>
      </c>
      <c r="CS21" s="230">
        <v>8807500</v>
      </c>
      <c r="CT21" s="230">
        <v>1505000</v>
      </c>
      <c r="CU21" s="229">
        <v>0.1709</v>
      </c>
      <c r="CV21" s="230">
        <v>91692500</v>
      </c>
      <c r="CW21" s="230">
        <v>85863125</v>
      </c>
      <c r="CX21" s="230">
        <v>5829375</v>
      </c>
      <c r="CY21" s="229">
        <v>6.7900000000000002E-2</v>
      </c>
      <c r="CZ21" s="228">
        <v>26.04</v>
      </c>
      <c r="DA21" s="228">
        <v>25.98</v>
      </c>
      <c r="DB21" s="228">
        <v>0.06</v>
      </c>
      <c r="DC21" s="228">
        <v>0.06</v>
      </c>
      <c r="DD21" s="228">
        <v>30.1</v>
      </c>
      <c r="DE21" s="228">
        <v>30.16</v>
      </c>
      <c r="DF21" s="228">
        <v>-4.0599999999999996</v>
      </c>
      <c r="DG21" s="228">
        <v>-0.06</v>
      </c>
      <c r="DH21" s="228">
        <v>25.8</v>
      </c>
      <c r="DI21" s="228">
        <v>25.79</v>
      </c>
      <c r="DJ21" s="228">
        <v>0.01</v>
      </c>
      <c r="DK21" s="228">
        <v>0.01</v>
      </c>
      <c r="DL21" s="228">
        <v>26.53</v>
      </c>
      <c r="DM21" s="228">
        <v>26.25</v>
      </c>
      <c r="DN21" s="228">
        <v>0.28000000000000003</v>
      </c>
      <c r="DO21" s="228">
        <v>0.28000000000000003</v>
      </c>
      <c r="DP21" s="228">
        <v>0.7</v>
      </c>
      <c r="DQ21" s="228">
        <v>0.7</v>
      </c>
      <c r="DR21" s="228">
        <v>0</v>
      </c>
      <c r="DS21" s="229">
        <v>0</v>
      </c>
      <c r="DT21" s="231">
        <v>1400</v>
      </c>
      <c r="DU21" s="231">
        <v>1200</v>
      </c>
      <c r="DV21" s="228">
        <v>0.49</v>
      </c>
      <c r="DW21" s="228">
        <v>0.71</v>
      </c>
      <c r="DX21" s="228">
        <v>-0.22</v>
      </c>
      <c r="DY21" s="229">
        <v>-0.30990000000000001</v>
      </c>
      <c r="DZ21" s="229">
        <v>0.1157</v>
      </c>
      <c r="EA21" s="230">
        <v>6991250</v>
      </c>
      <c r="EB21" s="229">
        <v>6.4999999999999997E-3</v>
      </c>
      <c r="EC21" s="229">
        <v>0.1157</v>
      </c>
      <c r="ED21" s="228">
        <v>6.71</v>
      </c>
      <c r="EE21" s="229">
        <v>5.1999999999999998E-3</v>
      </c>
      <c r="EF21" s="230">
        <v>7214989</v>
      </c>
      <c r="EG21" s="230">
        <v>11666879</v>
      </c>
      <c r="EH21" s="229">
        <v>-0.38159999999999999</v>
      </c>
      <c r="EI21" s="229">
        <v>0.68440000000000001</v>
      </c>
      <c r="EJ21" s="231">
        <v>268163.20000000001</v>
      </c>
      <c r="EK21" s="231">
        <v>124192.45</v>
      </c>
      <c r="EL21" s="231">
        <v>94240.1</v>
      </c>
      <c r="EM21" s="231">
        <v>29291</v>
      </c>
      <c r="EN21" s="231">
        <v>486595.75</v>
      </c>
      <c r="EO21" s="231">
        <v>684644.07</v>
      </c>
      <c r="EP21" s="231">
        <v>-198048.32</v>
      </c>
      <c r="EQ21" s="229">
        <v>-0.2893</v>
      </c>
      <c r="ER21" s="231">
        <v>200542</v>
      </c>
      <c r="ES21" s="231">
        <v>128741</v>
      </c>
      <c r="ET21" s="231">
        <v>854413</v>
      </c>
      <c r="EU21" s="231">
        <v>331596880</v>
      </c>
      <c r="EV21" s="231">
        <v>1183696</v>
      </c>
      <c r="EW21" s="231">
        <v>1104370</v>
      </c>
      <c r="EX21" s="231">
        <v>79326</v>
      </c>
      <c r="EY21" s="229">
        <v>7.1800000000000003E-2</v>
      </c>
      <c r="EZ21" s="229">
        <v>0.27650000000000002</v>
      </c>
      <c r="FA21" s="227" t="s">
        <v>555</v>
      </c>
      <c r="FB21" s="161">
        <f t="shared" si="0"/>
        <v>7706875</v>
      </c>
    </row>
    <row r="22" spans="1:158" ht="17.25" thickBot="1" x14ac:dyDescent="0.3">
      <c r="A22" s="226">
        <v>46146</v>
      </c>
      <c r="B22" s="227" t="s">
        <v>162</v>
      </c>
      <c r="C22" s="227" t="s">
        <v>174</v>
      </c>
      <c r="D22" s="228">
        <v>75</v>
      </c>
      <c r="E22" s="231">
        <v>10170.5</v>
      </c>
      <c r="F22" s="231">
        <v>10039</v>
      </c>
      <c r="G22" s="228">
        <v>131.5</v>
      </c>
      <c r="H22" s="229">
        <v>1.3100000000000001E-2</v>
      </c>
      <c r="I22" s="231">
        <v>10132</v>
      </c>
      <c r="J22" s="231">
        <v>9994</v>
      </c>
      <c r="K22" s="228">
        <v>138</v>
      </c>
      <c r="L22" s="229">
        <v>1.38E-2</v>
      </c>
      <c r="M22" s="231">
        <v>10170.5</v>
      </c>
      <c r="N22" s="231">
        <v>10039</v>
      </c>
      <c r="O22" s="228">
        <v>131.5</v>
      </c>
      <c r="P22" s="229">
        <v>1.3100000000000001E-2</v>
      </c>
      <c r="Q22" s="231">
        <v>10074.5</v>
      </c>
      <c r="R22" s="231">
        <v>9959</v>
      </c>
      <c r="S22" s="228">
        <v>115.5</v>
      </c>
      <c r="T22" s="229">
        <v>1.1599999999999999E-2</v>
      </c>
      <c r="U22" s="231">
        <v>9982.5</v>
      </c>
      <c r="V22" s="231">
        <v>9866</v>
      </c>
      <c r="W22" s="228">
        <v>116.5</v>
      </c>
      <c r="X22" s="229">
        <v>1.18E-2</v>
      </c>
      <c r="Y22" s="228">
        <v>38.5</v>
      </c>
      <c r="Z22" s="228">
        <v>45</v>
      </c>
      <c r="AA22" s="228">
        <v>-6.5</v>
      </c>
      <c r="AB22" s="229">
        <v>3.8E-3</v>
      </c>
      <c r="AC22" s="228">
        <v>38.5</v>
      </c>
      <c r="AD22" s="228">
        <v>45</v>
      </c>
      <c r="AE22" s="228">
        <v>-6.5</v>
      </c>
      <c r="AF22" s="229">
        <v>3.8E-3</v>
      </c>
      <c r="AG22" s="228">
        <v>-57.5</v>
      </c>
      <c r="AH22" s="228">
        <v>-35</v>
      </c>
      <c r="AI22" s="228">
        <v>-22.5</v>
      </c>
      <c r="AJ22" s="229">
        <v>-5.7000000000000002E-3</v>
      </c>
      <c r="AK22" s="228">
        <v>-149.5</v>
      </c>
      <c r="AL22" s="228">
        <v>-128</v>
      </c>
      <c r="AM22" s="228">
        <v>-21.5</v>
      </c>
      <c r="AN22" s="229">
        <v>-1.4800000000000001E-2</v>
      </c>
      <c r="AO22" s="231">
        <v>10288.02</v>
      </c>
      <c r="AP22" s="231">
        <v>10183.9</v>
      </c>
      <c r="AQ22" s="228">
        <v>0</v>
      </c>
      <c r="AR22" s="230">
        <v>822450</v>
      </c>
      <c r="AS22" s="230">
        <v>1696050</v>
      </c>
      <c r="AT22" s="230">
        <v>-873600</v>
      </c>
      <c r="AU22" s="229">
        <v>-0.5151</v>
      </c>
      <c r="AV22" s="230">
        <v>772800</v>
      </c>
      <c r="AW22" s="230">
        <v>1587750</v>
      </c>
      <c r="AX22" s="230">
        <v>-814950</v>
      </c>
      <c r="AY22" s="229">
        <v>-0.51329999999999998</v>
      </c>
      <c r="AZ22" s="230">
        <v>44775</v>
      </c>
      <c r="BA22" s="230">
        <v>100950</v>
      </c>
      <c r="BB22" s="230">
        <v>-56175</v>
      </c>
      <c r="BC22" s="229">
        <v>-0.55649999999999999</v>
      </c>
      <c r="BD22" s="230">
        <v>4875</v>
      </c>
      <c r="BE22" s="230">
        <v>7350</v>
      </c>
      <c r="BF22" s="230">
        <v>-2475</v>
      </c>
      <c r="BG22" s="229">
        <v>-0.3367</v>
      </c>
      <c r="BH22" s="230">
        <v>5845725</v>
      </c>
      <c r="BI22" s="230">
        <v>8010600</v>
      </c>
      <c r="BJ22" s="230">
        <v>-2164875</v>
      </c>
      <c r="BK22" s="229">
        <v>-0.27029999999999998</v>
      </c>
      <c r="BL22" s="230">
        <v>3259875</v>
      </c>
      <c r="BM22" s="230">
        <v>3355575</v>
      </c>
      <c r="BN22" s="230">
        <v>-95700</v>
      </c>
      <c r="BO22" s="229">
        <v>-2.8500000000000001E-2</v>
      </c>
      <c r="BP22" s="230">
        <v>9928050</v>
      </c>
      <c r="BQ22" s="230">
        <v>13062225</v>
      </c>
      <c r="BR22" s="230">
        <v>-3134175</v>
      </c>
      <c r="BS22" s="229">
        <v>-0.2399</v>
      </c>
      <c r="BT22" s="230">
        <v>763219</v>
      </c>
      <c r="BU22" s="230">
        <v>1258037</v>
      </c>
      <c r="BV22" s="230">
        <v>-494818</v>
      </c>
      <c r="BW22" s="229">
        <v>-0.39329999999999998</v>
      </c>
      <c r="BX22" s="230">
        <v>2600475</v>
      </c>
      <c r="BY22" s="230">
        <v>2572200</v>
      </c>
      <c r="BZ22" s="230">
        <v>28275</v>
      </c>
      <c r="CA22" s="229">
        <v>1.0999999999999999E-2</v>
      </c>
      <c r="CB22" s="230">
        <v>2485200</v>
      </c>
      <c r="CC22" s="230">
        <v>2470050</v>
      </c>
      <c r="CD22" s="230">
        <v>15150</v>
      </c>
      <c r="CE22" s="229">
        <v>6.1000000000000004E-3</v>
      </c>
      <c r="CF22" s="230">
        <v>109125</v>
      </c>
      <c r="CG22" s="230">
        <v>98175</v>
      </c>
      <c r="CH22" s="230">
        <v>10950</v>
      </c>
      <c r="CI22" s="229">
        <v>0.1115</v>
      </c>
      <c r="CJ22" s="230">
        <v>6150</v>
      </c>
      <c r="CK22" s="230">
        <v>3975</v>
      </c>
      <c r="CL22" s="230">
        <v>2175</v>
      </c>
      <c r="CM22" s="229">
        <v>0.54720000000000002</v>
      </c>
      <c r="CN22" s="230">
        <v>1430700</v>
      </c>
      <c r="CO22" s="230">
        <v>1086525</v>
      </c>
      <c r="CP22" s="230">
        <v>344175</v>
      </c>
      <c r="CQ22" s="229">
        <v>0.31680000000000003</v>
      </c>
      <c r="CR22" s="230">
        <v>1137375</v>
      </c>
      <c r="CS22" s="230">
        <v>962625</v>
      </c>
      <c r="CT22" s="230">
        <v>174750</v>
      </c>
      <c r="CU22" s="229">
        <v>0.18149999999999999</v>
      </c>
      <c r="CV22" s="230">
        <v>5168550</v>
      </c>
      <c r="CW22" s="230">
        <v>4621350</v>
      </c>
      <c r="CX22" s="230">
        <v>547200</v>
      </c>
      <c r="CY22" s="229">
        <v>0.11840000000000001</v>
      </c>
      <c r="CZ22" s="228">
        <v>32.159999999999997</v>
      </c>
      <c r="DA22" s="228">
        <v>31.2</v>
      </c>
      <c r="DB22" s="228">
        <v>0.96</v>
      </c>
      <c r="DC22" s="228">
        <v>0.96</v>
      </c>
      <c r="DD22" s="228">
        <v>29.96</v>
      </c>
      <c r="DE22" s="228">
        <v>29.98</v>
      </c>
      <c r="DF22" s="228">
        <v>2.2000000000000002</v>
      </c>
      <c r="DG22" s="228">
        <v>-0.02</v>
      </c>
      <c r="DH22" s="228">
        <v>31.95</v>
      </c>
      <c r="DI22" s="228">
        <v>30.85</v>
      </c>
      <c r="DJ22" s="228">
        <v>1.1000000000000001</v>
      </c>
      <c r="DK22" s="228">
        <v>1.1000000000000001</v>
      </c>
      <c r="DL22" s="228">
        <v>32.54</v>
      </c>
      <c r="DM22" s="228">
        <v>32.020000000000003</v>
      </c>
      <c r="DN22" s="228">
        <v>0.52</v>
      </c>
      <c r="DO22" s="228">
        <v>0.52</v>
      </c>
      <c r="DP22" s="228">
        <v>0.79</v>
      </c>
      <c r="DQ22" s="228">
        <v>0.89</v>
      </c>
      <c r="DR22" s="228">
        <v>-0.1</v>
      </c>
      <c r="DS22" s="229">
        <v>-0.1124</v>
      </c>
      <c r="DT22" s="231">
        <v>11000</v>
      </c>
      <c r="DU22" s="231">
        <v>9000</v>
      </c>
      <c r="DV22" s="228">
        <v>0.56000000000000005</v>
      </c>
      <c r="DW22" s="228">
        <v>0.42</v>
      </c>
      <c r="DX22" s="228">
        <v>0.14000000000000001</v>
      </c>
      <c r="DY22" s="229">
        <v>0.33329999999999999</v>
      </c>
      <c r="DZ22" s="229">
        <v>4.4299999999999999E-2</v>
      </c>
      <c r="EA22" s="230">
        <v>102150</v>
      </c>
      <c r="EB22" s="229">
        <v>-9.4000000000000004E-3</v>
      </c>
      <c r="EC22" s="229">
        <v>4.4299999999999999E-2</v>
      </c>
      <c r="ED22" s="228">
        <v>-104.12</v>
      </c>
      <c r="EE22" s="229">
        <v>-1.01E-2</v>
      </c>
      <c r="EF22" s="230">
        <v>274513</v>
      </c>
      <c r="EG22" s="230">
        <v>475854</v>
      </c>
      <c r="EH22" s="229">
        <v>-0.42309999999999998</v>
      </c>
      <c r="EI22" s="229">
        <v>0.35970000000000002</v>
      </c>
      <c r="EJ22" s="231">
        <v>639906.78</v>
      </c>
      <c r="EK22" s="231">
        <v>319295.90000000002</v>
      </c>
      <c r="EL22" s="231">
        <v>84559.79</v>
      </c>
      <c r="EM22" s="231">
        <v>16166</v>
      </c>
      <c r="EN22" s="231">
        <v>1043762.47</v>
      </c>
      <c r="EO22" s="231">
        <v>1323236.83</v>
      </c>
      <c r="EP22" s="231">
        <v>-279474.36</v>
      </c>
      <c r="EQ22" s="229">
        <v>-0.2112</v>
      </c>
      <c r="ER22" s="231">
        <v>148413</v>
      </c>
      <c r="ES22" s="231">
        <v>107253</v>
      </c>
      <c r="ET22" s="231">
        <v>264365</v>
      </c>
      <c r="EU22" s="231">
        <v>12553818</v>
      </c>
      <c r="EV22" s="231">
        <v>520030</v>
      </c>
      <c r="EW22" s="231">
        <v>457925</v>
      </c>
      <c r="EX22" s="231">
        <v>62105</v>
      </c>
      <c r="EY22" s="229">
        <v>0.1356</v>
      </c>
      <c r="EZ22" s="229">
        <v>0.41170000000000001</v>
      </c>
      <c r="FA22" s="227" t="s">
        <v>555</v>
      </c>
      <c r="FB22" s="161">
        <f t="shared" si="0"/>
        <v>115275</v>
      </c>
    </row>
    <row r="23" spans="1:158" ht="17.25" thickBot="1" x14ac:dyDescent="0.3">
      <c r="A23" s="226">
        <v>46146</v>
      </c>
      <c r="B23" s="227" t="s">
        <v>175</v>
      </c>
      <c r="C23" s="227" t="s">
        <v>176</v>
      </c>
      <c r="D23" s="228">
        <v>250</v>
      </c>
      <c r="E23" s="231">
        <v>1780.2</v>
      </c>
      <c r="F23" s="231">
        <v>1752.4</v>
      </c>
      <c r="G23" s="228">
        <v>27.8</v>
      </c>
      <c r="H23" s="229">
        <v>1.5900000000000001E-2</v>
      </c>
      <c r="I23" s="231">
        <v>1770.4</v>
      </c>
      <c r="J23" s="231">
        <v>1747.2</v>
      </c>
      <c r="K23" s="228">
        <v>23.2</v>
      </c>
      <c r="L23" s="229">
        <v>1.3299999999999999E-2</v>
      </c>
      <c r="M23" s="231">
        <v>1780.2</v>
      </c>
      <c r="N23" s="231">
        <v>1752.4</v>
      </c>
      <c r="O23" s="228">
        <v>27.8</v>
      </c>
      <c r="P23" s="229">
        <v>1.5900000000000001E-2</v>
      </c>
      <c r="Q23" s="231">
        <v>1790.2</v>
      </c>
      <c r="R23" s="231">
        <v>1764.1</v>
      </c>
      <c r="S23" s="228">
        <v>26.1</v>
      </c>
      <c r="T23" s="229">
        <v>1.4800000000000001E-2</v>
      </c>
      <c r="U23" s="231">
        <v>1800.2</v>
      </c>
      <c r="V23" s="231">
        <v>1774.5</v>
      </c>
      <c r="W23" s="228">
        <v>25.7</v>
      </c>
      <c r="X23" s="229">
        <v>1.4500000000000001E-2</v>
      </c>
      <c r="Y23" s="228">
        <v>9.8000000000000007</v>
      </c>
      <c r="Z23" s="228">
        <v>5.2</v>
      </c>
      <c r="AA23" s="228">
        <v>4.5999999999999996</v>
      </c>
      <c r="AB23" s="229">
        <v>5.4999999999999997E-3</v>
      </c>
      <c r="AC23" s="228">
        <v>9.8000000000000007</v>
      </c>
      <c r="AD23" s="228">
        <v>5.2</v>
      </c>
      <c r="AE23" s="228">
        <v>4.5999999999999996</v>
      </c>
      <c r="AF23" s="229">
        <v>5.4999999999999997E-3</v>
      </c>
      <c r="AG23" s="228">
        <v>19.8</v>
      </c>
      <c r="AH23" s="228">
        <v>16.899999999999999</v>
      </c>
      <c r="AI23" s="228">
        <v>2.9</v>
      </c>
      <c r="AJ23" s="229">
        <v>1.12E-2</v>
      </c>
      <c r="AK23" s="228">
        <v>29.8</v>
      </c>
      <c r="AL23" s="228">
        <v>27.3</v>
      </c>
      <c r="AM23" s="228">
        <v>2.5</v>
      </c>
      <c r="AN23" s="229">
        <v>1.6799999999999999E-2</v>
      </c>
      <c r="AO23" s="231">
        <v>1778.75</v>
      </c>
      <c r="AP23" s="231">
        <v>1787.28</v>
      </c>
      <c r="AQ23" s="228">
        <v>0</v>
      </c>
      <c r="AR23" s="230">
        <v>1395750</v>
      </c>
      <c r="AS23" s="230">
        <v>2607500</v>
      </c>
      <c r="AT23" s="230">
        <v>-1211750</v>
      </c>
      <c r="AU23" s="229">
        <v>-0.4647</v>
      </c>
      <c r="AV23" s="230">
        <v>1235250</v>
      </c>
      <c r="AW23" s="230">
        <v>2485000</v>
      </c>
      <c r="AX23" s="230">
        <v>-1249750</v>
      </c>
      <c r="AY23" s="229">
        <v>-0.50290000000000001</v>
      </c>
      <c r="AZ23" s="230">
        <v>154750</v>
      </c>
      <c r="BA23" s="230">
        <v>105750</v>
      </c>
      <c r="BB23" s="230">
        <v>49000</v>
      </c>
      <c r="BC23" s="229">
        <v>0.46339999999999998</v>
      </c>
      <c r="BD23" s="230">
        <v>5750</v>
      </c>
      <c r="BE23" s="230">
        <v>16750</v>
      </c>
      <c r="BF23" s="230">
        <v>-11000</v>
      </c>
      <c r="BG23" s="229">
        <v>-0.65669999999999995</v>
      </c>
      <c r="BH23" s="230">
        <v>5049250</v>
      </c>
      <c r="BI23" s="230">
        <v>10285750</v>
      </c>
      <c r="BJ23" s="230">
        <v>-5236500</v>
      </c>
      <c r="BK23" s="229">
        <v>-0.5091</v>
      </c>
      <c r="BL23" s="230">
        <v>3311500</v>
      </c>
      <c r="BM23" s="230">
        <v>6488250</v>
      </c>
      <c r="BN23" s="230">
        <v>-3176750</v>
      </c>
      <c r="BO23" s="229">
        <v>-0.48959999999999998</v>
      </c>
      <c r="BP23" s="230">
        <v>9756500</v>
      </c>
      <c r="BQ23" s="230">
        <v>19381500</v>
      </c>
      <c r="BR23" s="230">
        <v>-9625000</v>
      </c>
      <c r="BS23" s="229">
        <v>-0.49659999999999999</v>
      </c>
      <c r="BT23" s="230">
        <v>1745036</v>
      </c>
      <c r="BU23" s="230">
        <v>2722860</v>
      </c>
      <c r="BV23" s="230">
        <v>-977824</v>
      </c>
      <c r="BW23" s="229">
        <v>-0.35909999999999997</v>
      </c>
      <c r="BX23" s="230">
        <v>11619950</v>
      </c>
      <c r="BY23" s="230">
        <v>11229400</v>
      </c>
      <c r="BZ23" s="230">
        <v>390550</v>
      </c>
      <c r="CA23" s="229">
        <v>3.4799999999999998E-2</v>
      </c>
      <c r="CB23" s="230">
        <v>10593500</v>
      </c>
      <c r="CC23" s="230">
        <v>10294000</v>
      </c>
      <c r="CD23" s="230">
        <v>299500</v>
      </c>
      <c r="CE23" s="229">
        <v>2.9100000000000001E-2</v>
      </c>
      <c r="CF23" s="230">
        <v>1002750</v>
      </c>
      <c r="CG23" s="230">
        <v>916500</v>
      </c>
      <c r="CH23" s="230">
        <v>86250</v>
      </c>
      <c r="CI23" s="229">
        <v>9.4100000000000003E-2</v>
      </c>
      <c r="CJ23" s="230">
        <v>23700</v>
      </c>
      <c r="CK23" s="230">
        <v>18900</v>
      </c>
      <c r="CL23" s="230">
        <v>4800</v>
      </c>
      <c r="CM23" s="229">
        <v>0.254</v>
      </c>
      <c r="CN23" s="230">
        <v>2778500</v>
      </c>
      <c r="CO23" s="230">
        <v>2630000</v>
      </c>
      <c r="CP23" s="230">
        <v>148500</v>
      </c>
      <c r="CQ23" s="229">
        <v>5.6500000000000002E-2</v>
      </c>
      <c r="CR23" s="230">
        <v>2915500</v>
      </c>
      <c r="CS23" s="230">
        <v>2651250</v>
      </c>
      <c r="CT23" s="230">
        <v>264250</v>
      </c>
      <c r="CU23" s="229">
        <v>9.9699999999999997E-2</v>
      </c>
      <c r="CV23" s="230">
        <v>17313950</v>
      </c>
      <c r="CW23" s="230">
        <v>16510650</v>
      </c>
      <c r="CX23" s="230">
        <v>803300</v>
      </c>
      <c r="CY23" s="229">
        <v>4.87E-2</v>
      </c>
      <c r="CZ23" s="228">
        <v>28.1</v>
      </c>
      <c r="DA23" s="228">
        <v>29.93</v>
      </c>
      <c r="DB23" s="228">
        <v>-1.83</v>
      </c>
      <c r="DC23" s="228">
        <v>-1.83</v>
      </c>
      <c r="DD23" s="228">
        <v>30.37</v>
      </c>
      <c r="DE23" s="228">
        <v>30.37</v>
      </c>
      <c r="DF23" s="228">
        <v>-2.27</v>
      </c>
      <c r="DG23" s="228">
        <v>0</v>
      </c>
      <c r="DH23" s="228">
        <v>27</v>
      </c>
      <c r="DI23" s="228">
        <v>29.4</v>
      </c>
      <c r="DJ23" s="228">
        <v>-2.4</v>
      </c>
      <c r="DK23" s="228">
        <v>-2.4</v>
      </c>
      <c r="DL23" s="228">
        <v>29.77</v>
      </c>
      <c r="DM23" s="228">
        <v>30.77</v>
      </c>
      <c r="DN23" s="228">
        <v>-1</v>
      </c>
      <c r="DO23" s="228">
        <v>-1</v>
      </c>
      <c r="DP23" s="228">
        <v>1.05</v>
      </c>
      <c r="DQ23" s="228">
        <v>1.01</v>
      </c>
      <c r="DR23" s="228">
        <v>0.04</v>
      </c>
      <c r="DS23" s="229">
        <v>3.9600000000000003E-2</v>
      </c>
      <c r="DT23" s="231">
        <v>1800</v>
      </c>
      <c r="DU23" s="231">
        <v>1780</v>
      </c>
      <c r="DV23" s="228">
        <v>0.66</v>
      </c>
      <c r="DW23" s="228">
        <v>0.63</v>
      </c>
      <c r="DX23" s="228">
        <v>0.03</v>
      </c>
      <c r="DY23" s="229">
        <v>4.7600000000000003E-2</v>
      </c>
      <c r="DZ23" s="229">
        <v>8.8300000000000003E-2</v>
      </c>
      <c r="EA23" s="230">
        <v>935400</v>
      </c>
      <c r="EB23" s="229">
        <v>5.5999999999999999E-3</v>
      </c>
      <c r="EC23" s="229">
        <v>8.8300000000000003E-2</v>
      </c>
      <c r="ED23" s="228">
        <v>8.5299999999999994</v>
      </c>
      <c r="EE23" s="229">
        <v>4.7999999999999996E-3</v>
      </c>
      <c r="EF23" s="230">
        <v>936130</v>
      </c>
      <c r="EG23" s="230">
        <v>1143296</v>
      </c>
      <c r="EH23" s="229">
        <v>-0.1812</v>
      </c>
      <c r="EI23" s="229">
        <v>0.53649999999999998</v>
      </c>
      <c r="EJ23" s="231">
        <v>94728.11</v>
      </c>
      <c r="EK23" s="231">
        <v>57337.52</v>
      </c>
      <c r="EL23" s="231">
        <v>24861.89</v>
      </c>
      <c r="EM23" s="231">
        <v>13665</v>
      </c>
      <c r="EN23" s="231">
        <v>176927.52</v>
      </c>
      <c r="EO23" s="231">
        <v>352504.21</v>
      </c>
      <c r="EP23" s="231">
        <v>-175576.69</v>
      </c>
      <c r="EQ23" s="229">
        <v>-0.49809999999999999</v>
      </c>
      <c r="ER23" s="231">
        <v>51679</v>
      </c>
      <c r="ES23" s="231">
        <v>51005</v>
      </c>
      <c r="ET23" s="231">
        <v>206963</v>
      </c>
      <c r="EU23" s="231">
        <v>65784745</v>
      </c>
      <c r="EV23" s="231">
        <v>309647</v>
      </c>
      <c r="EW23" s="231">
        <v>291991</v>
      </c>
      <c r="EX23" s="231">
        <v>17656</v>
      </c>
      <c r="EY23" s="229">
        <v>6.0499999999999998E-2</v>
      </c>
      <c r="EZ23" s="229">
        <v>0.26319999999999999</v>
      </c>
      <c r="FA23" s="227" t="s">
        <v>555</v>
      </c>
      <c r="FB23" s="161">
        <f t="shared" si="0"/>
        <v>1026450</v>
      </c>
    </row>
    <row r="24" spans="1:158" ht="17.25" thickBot="1" x14ac:dyDescent="0.3">
      <c r="A24" s="226">
        <v>46146</v>
      </c>
      <c r="B24" s="227" t="s">
        <v>175</v>
      </c>
      <c r="C24" s="227" t="s">
        <v>687</v>
      </c>
      <c r="D24" s="228">
        <v>50</v>
      </c>
      <c r="E24" s="231">
        <v>10427</v>
      </c>
      <c r="F24" s="231">
        <v>10336</v>
      </c>
      <c r="G24" s="228">
        <v>91</v>
      </c>
      <c r="H24" s="229">
        <v>8.8000000000000005E-3</v>
      </c>
      <c r="I24" s="231">
        <v>10376</v>
      </c>
      <c r="J24" s="231">
        <v>10267</v>
      </c>
      <c r="K24" s="228">
        <v>109</v>
      </c>
      <c r="L24" s="229">
        <v>1.06E-2</v>
      </c>
      <c r="M24" s="231">
        <v>10427</v>
      </c>
      <c r="N24" s="231">
        <v>10336</v>
      </c>
      <c r="O24" s="228">
        <v>91</v>
      </c>
      <c r="P24" s="229">
        <v>8.8000000000000005E-3</v>
      </c>
      <c r="Q24" s="231">
        <v>10440</v>
      </c>
      <c r="R24" s="231">
        <v>10355</v>
      </c>
      <c r="S24" s="228">
        <v>85</v>
      </c>
      <c r="T24" s="229">
        <v>8.2000000000000007E-3</v>
      </c>
      <c r="U24" s="228">
        <v>0</v>
      </c>
      <c r="V24" s="228">
        <v>0</v>
      </c>
      <c r="W24" s="228">
        <v>0</v>
      </c>
      <c r="X24" s="229">
        <v>0</v>
      </c>
      <c r="Y24" s="228">
        <v>51</v>
      </c>
      <c r="Z24" s="228">
        <v>69</v>
      </c>
      <c r="AA24" s="228">
        <v>-18</v>
      </c>
      <c r="AB24" s="229">
        <v>4.8999999999999998E-3</v>
      </c>
      <c r="AC24" s="228">
        <v>51</v>
      </c>
      <c r="AD24" s="228">
        <v>69</v>
      </c>
      <c r="AE24" s="228">
        <v>-18</v>
      </c>
      <c r="AF24" s="229">
        <v>4.8999999999999998E-3</v>
      </c>
      <c r="AG24" s="228">
        <v>64</v>
      </c>
      <c r="AH24" s="228">
        <v>88</v>
      </c>
      <c r="AI24" s="228">
        <v>-24</v>
      </c>
      <c r="AJ24" s="229">
        <v>6.1999999999999998E-3</v>
      </c>
      <c r="AK24" s="228">
        <v>0</v>
      </c>
      <c r="AL24" s="228">
        <v>0</v>
      </c>
      <c r="AM24" s="228">
        <v>0</v>
      </c>
      <c r="AN24" s="229">
        <v>0</v>
      </c>
      <c r="AO24" s="231">
        <v>10528.07</v>
      </c>
      <c r="AP24" s="231">
        <v>10536.36</v>
      </c>
      <c r="AQ24" s="228">
        <v>0</v>
      </c>
      <c r="AR24" s="230">
        <v>42500</v>
      </c>
      <c r="AS24" s="230">
        <v>24500</v>
      </c>
      <c r="AT24" s="230">
        <v>18000</v>
      </c>
      <c r="AU24" s="229">
        <v>0.73470000000000002</v>
      </c>
      <c r="AV24" s="230">
        <v>41400</v>
      </c>
      <c r="AW24" s="230">
        <v>23900</v>
      </c>
      <c r="AX24" s="230">
        <v>17500</v>
      </c>
      <c r="AY24" s="229">
        <v>0.73219999999999996</v>
      </c>
      <c r="AZ24" s="230">
        <v>1100</v>
      </c>
      <c r="BA24" s="228">
        <v>600</v>
      </c>
      <c r="BB24" s="228">
        <v>500</v>
      </c>
      <c r="BC24" s="229">
        <v>0.83330000000000004</v>
      </c>
      <c r="BD24" s="228">
        <v>0</v>
      </c>
      <c r="BE24" s="228">
        <v>0</v>
      </c>
      <c r="BF24" s="228">
        <v>0</v>
      </c>
      <c r="BG24" s="229">
        <v>0</v>
      </c>
      <c r="BH24" s="230">
        <v>200500</v>
      </c>
      <c r="BI24" s="230">
        <v>58750</v>
      </c>
      <c r="BJ24" s="230">
        <v>141750</v>
      </c>
      <c r="BK24" s="229">
        <v>2.4127999999999998</v>
      </c>
      <c r="BL24" s="230">
        <v>29600</v>
      </c>
      <c r="BM24" s="230">
        <v>13900</v>
      </c>
      <c r="BN24" s="230">
        <v>15700</v>
      </c>
      <c r="BO24" s="229">
        <v>1.1294999999999999</v>
      </c>
      <c r="BP24" s="230">
        <v>272600</v>
      </c>
      <c r="BQ24" s="230">
        <v>97150</v>
      </c>
      <c r="BR24" s="230">
        <v>175450</v>
      </c>
      <c r="BS24" s="229">
        <v>1.806</v>
      </c>
      <c r="BT24" s="230">
        <v>51293</v>
      </c>
      <c r="BU24" s="230">
        <v>29776</v>
      </c>
      <c r="BV24" s="230">
        <v>21517</v>
      </c>
      <c r="BW24" s="229">
        <v>0.72260000000000002</v>
      </c>
      <c r="BX24" s="230">
        <v>257000</v>
      </c>
      <c r="BY24" s="230">
        <v>252400</v>
      </c>
      <c r="BZ24" s="230">
        <v>4600</v>
      </c>
      <c r="CA24" s="229">
        <v>1.8200000000000001E-2</v>
      </c>
      <c r="CB24" s="230">
        <v>254400</v>
      </c>
      <c r="CC24" s="230">
        <v>250250</v>
      </c>
      <c r="CD24" s="230">
        <v>4150</v>
      </c>
      <c r="CE24" s="229">
        <v>1.66E-2</v>
      </c>
      <c r="CF24" s="230">
        <v>2600</v>
      </c>
      <c r="CG24" s="230">
        <v>2150</v>
      </c>
      <c r="CH24" s="228">
        <v>450</v>
      </c>
      <c r="CI24" s="229">
        <v>0.20930000000000001</v>
      </c>
      <c r="CJ24" s="228">
        <v>0</v>
      </c>
      <c r="CK24" s="228">
        <v>0</v>
      </c>
      <c r="CL24" s="228">
        <v>0</v>
      </c>
      <c r="CM24" s="229">
        <v>0</v>
      </c>
      <c r="CN24" s="230">
        <v>55750</v>
      </c>
      <c r="CO24" s="230">
        <v>36750</v>
      </c>
      <c r="CP24" s="230">
        <v>19000</v>
      </c>
      <c r="CQ24" s="229">
        <v>0.51700000000000002</v>
      </c>
      <c r="CR24" s="230">
        <v>24550</v>
      </c>
      <c r="CS24" s="230">
        <v>16450</v>
      </c>
      <c r="CT24" s="230">
        <v>8100</v>
      </c>
      <c r="CU24" s="229">
        <v>0.4924</v>
      </c>
      <c r="CV24" s="230">
        <v>337300</v>
      </c>
      <c r="CW24" s="230">
        <v>305600</v>
      </c>
      <c r="CX24" s="230">
        <v>31700</v>
      </c>
      <c r="CY24" s="229">
        <v>0.1037</v>
      </c>
      <c r="CZ24" s="228">
        <v>38.5</v>
      </c>
      <c r="DA24" s="228">
        <v>36.31</v>
      </c>
      <c r="DB24" s="228">
        <v>2.19</v>
      </c>
      <c r="DC24" s="228">
        <v>2.19</v>
      </c>
      <c r="DD24" s="228">
        <v>38.130000000000003</v>
      </c>
      <c r="DE24" s="228">
        <v>38.21</v>
      </c>
      <c r="DF24" s="228">
        <v>0.37</v>
      </c>
      <c r="DG24" s="228">
        <v>-0.08</v>
      </c>
      <c r="DH24" s="228">
        <v>38.6</v>
      </c>
      <c r="DI24" s="228">
        <v>35.74</v>
      </c>
      <c r="DJ24" s="228">
        <v>2.86</v>
      </c>
      <c r="DK24" s="228">
        <v>2.86</v>
      </c>
      <c r="DL24" s="228">
        <v>37.78</v>
      </c>
      <c r="DM24" s="228">
        <v>38.75</v>
      </c>
      <c r="DN24" s="228">
        <v>-0.97</v>
      </c>
      <c r="DO24" s="228">
        <v>-0.97</v>
      </c>
      <c r="DP24" s="228">
        <v>0.44</v>
      </c>
      <c r="DQ24" s="228">
        <v>0.45</v>
      </c>
      <c r="DR24" s="228">
        <v>-0.01</v>
      </c>
      <c r="DS24" s="229">
        <v>-2.2200000000000001E-2</v>
      </c>
      <c r="DT24" s="231">
        <v>11000</v>
      </c>
      <c r="DU24" s="231">
        <v>10000</v>
      </c>
      <c r="DV24" s="228">
        <v>0.15</v>
      </c>
      <c r="DW24" s="228">
        <v>0.24</v>
      </c>
      <c r="DX24" s="228">
        <v>-0.09</v>
      </c>
      <c r="DY24" s="229">
        <v>-0.375</v>
      </c>
      <c r="DZ24" s="229">
        <v>1.01E-2</v>
      </c>
      <c r="EA24" s="230">
        <v>2150</v>
      </c>
      <c r="EB24" s="229">
        <v>1.1999999999999999E-3</v>
      </c>
      <c r="EC24" s="229">
        <v>1.01E-2</v>
      </c>
      <c r="ED24" s="228">
        <v>8.2899999999999991</v>
      </c>
      <c r="EE24" s="229">
        <v>8.0000000000000004E-4</v>
      </c>
      <c r="EF24" s="230">
        <v>17850</v>
      </c>
      <c r="EG24" s="230">
        <v>11744</v>
      </c>
      <c r="EH24" s="229">
        <v>0.51990000000000003</v>
      </c>
      <c r="EI24" s="229">
        <v>0.34799999999999998</v>
      </c>
      <c r="EJ24" s="231">
        <v>22646.07</v>
      </c>
      <c r="EK24" s="231">
        <v>3055.75</v>
      </c>
      <c r="EL24" s="231">
        <v>4474.5200000000004</v>
      </c>
      <c r="EM24" s="231">
        <v>1961</v>
      </c>
      <c r="EN24" s="231">
        <v>30176.34</v>
      </c>
      <c r="EO24" s="231">
        <v>10441.870000000001</v>
      </c>
      <c r="EP24" s="231">
        <v>19734.47</v>
      </c>
      <c r="EQ24" s="229">
        <v>1.8898999999999999</v>
      </c>
      <c r="ER24" s="231">
        <v>6172</v>
      </c>
      <c r="ES24" s="231">
        <v>2437</v>
      </c>
      <c r="ET24" s="231">
        <v>26798</v>
      </c>
      <c r="EU24" s="231">
        <v>5401993</v>
      </c>
      <c r="EV24" s="231">
        <v>35406</v>
      </c>
      <c r="EW24" s="231">
        <v>31746</v>
      </c>
      <c r="EX24" s="231">
        <v>3660</v>
      </c>
      <c r="EY24" s="229">
        <v>0.1153</v>
      </c>
      <c r="EZ24" s="229">
        <v>6.2399999999999997E-2</v>
      </c>
      <c r="FA24" s="227" t="s">
        <v>555</v>
      </c>
      <c r="FB24" s="161">
        <f t="shared" si="0"/>
        <v>2600</v>
      </c>
    </row>
    <row r="25" spans="1:158" ht="17.25" thickBot="1" x14ac:dyDescent="0.3">
      <c r="A25" s="226">
        <v>46146</v>
      </c>
      <c r="B25" s="227" t="s">
        <v>175</v>
      </c>
      <c r="C25" s="227" t="s">
        <v>177</v>
      </c>
      <c r="D25" s="228">
        <v>750</v>
      </c>
      <c r="E25" s="228">
        <v>953.4</v>
      </c>
      <c r="F25" s="228">
        <v>942.35</v>
      </c>
      <c r="G25" s="228">
        <v>11.05</v>
      </c>
      <c r="H25" s="229">
        <v>1.17E-2</v>
      </c>
      <c r="I25" s="228">
        <v>950.2</v>
      </c>
      <c r="J25" s="228">
        <v>937</v>
      </c>
      <c r="K25" s="228">
        <v>13.2</v>
      </c>
      <c r="L25" s="229">
        <v>1.41E-2</v>
      </c>
      <c r="M25" s="228">
        <v>953.4</v>
      </c>
      <c r="N25" s="228">
        <v>942.35</v>
      </c>
      <c r="O25" s="228">
        <v>11.05</v>
      </c>
      <c r="P25" s="229">
        <v>1.17E-2</v>
      </c>
      <c r="Q25" s="228">
        <v>954.05</v>
      </c>
      <c r="R25" s="228">
        <v>942.2</v>
      </c>
      <c r="S25" s="228">
        <v>11.85</v>
      </c>
      <c r="T25" s="229">
        <v>1.26E-2</v>
      </c>
      <c r="U25" s="228">
        <v>958.85</v>
      </c>
      <c r="V25" s="228">
        <v>946.4</v>
      </c>
      <c r="W25" s="228">
        <v>12.45</v>
      </c>
      <c r="X25" s="229">
        <v>1.32E-2</v>
      </c>
      <c r="Y25" s="228">
        <v>3.2</v>
      </c>
      <c r="Z25" s="228">
        <v>5.35</v>
      </c>
      <c r="AA25" s="228">
        <v>-2.15</v>
      </c>
      <c r="AB25" s="229">
        <v>3.3999999999999998E-3</v>
      </c>
      <c r="AC25" s="228">
        <v>3.2</v>
      </c>
      <c r="AD25" s="228">
        <v>5.35</v>
      </c>
      <c r="AE25" s="228">
        <v>-2.15</v>
      </c>
      <c r="AF25" s="229">
        <v>3.3999999999999998E-3</v>
      </c>
      <c r="AG25" s="228">
        <v>3.85</v>
      </c>
      <c r="AH25" s="228">
        <v>5.2</v>
      </c>
      <c r="AI25" s="228">
        <v>-1.35</v>
      </c>
      <c r="AJ25" s="229">
        <v>4.1000000000000003E-3</v>
      </c>
      <c r="AK25" s="228">
        <v>8.65</v>
      </c>
      <c r="AL25" s="228">
        <v>9.4</v>
      </c>
      <c r="AM25" s="228">
        <v>-0.75</v>
      </c>
      <c r="AN25" s="229">
        <v>9.1000000000000004E-3</v>
      </c>
      <c r="AO25" s="228">
        <v>956.69</v>
      </c>
      <c r="AP25" s="228">
        <v>957</v>
      </c>
      <c r="AQ25" s="228">
        <v>0</v>
      </c>
      <c r="AR25" s="230">
        <v>8231250</v>
      </c>
      <c r="AS25" s="230">
        <v>28817250</v>
      </c>
      <c r="AT25" s="230">
        <v>-20586000</v>
      </c>
      <c r="AU25" s="229">
        <v>-0.71440000000000003</v>
      </c>
      <c r="AV25" s="230">
        <v>7547250</v>
      </c>
      <c r="AW25" s="230">
        <v>27498750</v>
      </c>
      <c r="AX25" s="230">
        <v>-19951500</v>
      </c>
      <c r="AY25" s="229">
        <v>-0.72550000000000003</v>
      </c>
      <c r="AZ25" s="230">
        <v>612000</v>
      </c>
      <c r="BA25" s="230">
        <v>1168500</v>
      </c>
      <c r="BB25" s="230">
        <v>-556500</v>
      </c>
      <c r="BC25" s="229">
        <v>-0.4763</v>
      </c>
      <c r="BD25" s="230">
        <v>72000</v>
      </c>
      <c r="BE25" s="230">
        <v>150000</v>
      </c>
      <c r="BF25" s="230">
        <v>-78000</v>
      </c>
      <c r="BG25" s="229">
        <v>-0.52</v>
      </c>
      <c r="BH25" s="230">
        <v>29009250</v>
      </c>
      <c r="BI25" s="230">
        <v>94514250</v>
      </c>
      <c r="BJ25" s="230">
        <v>-65505000</v>
      </c>
      <c r="BK25" s="229">
        <v>-0.69310000000000005</v>
      </c>
      <c r="BL25" s="230">
        <v>18241500</v>
      </c>
      <c r="BM25" s="230">
        <v>52377000</v>
      </c>
      <c r="BN25" s="230">
        <v>-34135500</v>
      </c>
      <c r="BO25" s="229">
        <v>-0.65169999999999995</v>
      </c>
      <c r="BP25" s="230">
        <v>55482000</v>
      </c>
      <c r="BQ25" s="230">
        <v>175708500</v>
      </c>
      <c r="BR25" s="230">
        <v>-120226500</v>
      </c>
      <c r="BS25" s="229">
        <v>-0.68420000000000003</v>
      </c>
      <c r="BT25" s="230">
        <v>7730714</v>
      </c>
      <c r="BU25" s="230">
        <v>29336023</v>
      </c>
      <c r="BV25" s="230">
        <v>-21605309</v>
      </c>
      <c r="BW25" s="229">
        <v>-0.73650000000000004</v>
      </c>
      <c r="BX25" s="230">
        <v>71145000</v>
      </c>
      <c r="BY25" s="230">
        <v>71488500</v>
      </c>
      <c r="BZ25" s="230">
        <v>-343500</v>
      </c>
      <c r="CA25" s="229">
        <v>-4.7999999999999996E-3</v>
      </c>
      <c r="CB25" s="230">
        <v>60417000</v>
      </c>
      <c r="CC25" s="230">
        <v>60931500</v>
      </c>
      <c r="CD25" s="230">
        <v>-514500</v>
      </c>
      <c r="CE25" s="229">
        <v>-8.3999999999999995E-3</v>
      </c>
      <c r="CF25" s="230">
        <v>10614000</v>
      </c>
      <c r="CG25" s="230">
        <v>10461750</v>
      </c>
      <c r="CH25" s="230">
        <v>152250</v>
      </c>
      <c r="CI25" s="229">
        <v>1.46E-2</v>
      </c>
      <c r="CJ25" s="230">
        <v>114000</v>
      </c>
      <c r="CK25" s="230">
        <v>95250</v>
      </c>
      <c r="CL25" s="230">
        <v>18750</v>
      </c>
      <c r="CM25" s="229">
        <v>0.19689999999999999</v>
      </c>
      <c r="CN25" s="230">
        <v>16751250</v>
      </c>
      <c r="CO25" s="230">
        <v>17623500</v>
      </c>
      <c r="CP25" s="230">
        <v>-872250</v>
      </c>
      <c r="CQ25" s="229">
        <v>-4.9500000000000002E-2</v>
      </c>
      <c r="CR25" s="230">
        <v>12618750</v>
      </c>
      <c r="CS25" s="230">
        <v>12453750</v>
      </c>
      <c r="CT25" s="230">
        <v>165000</v>
      </c>
      <c r="CU25" s="229">
        <v>1.32E-2</v>
      </c>
      <c r="CV25" s="230">
        <v>100515000</v>
      </c>
      <c r="CW25" s="230">
        <v>101565750</v>
      </c>
      <c r="CX25" s="230">
        <v>-1050750</v>
      </c>
      <c r="CY25" s="229">
        <v>-1.03E-2</v>
      </c>
      <c r="CZ25" s="228">
        <v>31.48</v>
      </c>
      <c r="DA25" s="228">
        <v>31.41</v>
      </c>
      <c r="DB25" s="228">
        <v>7.0000000000000007E-2</v>
      </c>
      <c r="DC25" s="228">
        <v>7.0000000000000007E-2</v>
      </c>
      <c r="DD25" s="228">
        <v>35.43</v>
      </c>
      <c r="DE25" s="228">
        <v>35.47</v>
      </c>
      <c r="DF25" s="228">
        <v>-3.95</v>
      </c>
      <c r="DG25" s="228">
        <v>-0.04</v>
      </c>
      <c r="DH25" s="228">
        <v>30.89</v>
      </c>
      <c r="DI25" s="228">
        <v>31.05</v>
      </c>
      <c r="DJ25" s="228">
        <v>-0.16</v>
      </c>
      <c r="DK25" s="228">
        <v>-0.16</v>
      </c>
      <c r="DL25" s="228">
        <v>32.43</v>
      </c>
      <c r="DM25" s="228">
        <v>32.07</v>
      </c>
      <c r="DN25" s="228">
        <v>0.36</v>
      </c>
      <c r="DO25" s="228">
        <v>0.36</v>
      </c>
      <c r="DP25" s="228">
        <v>0.75</v>
      </c>
      <c r="DQ25" s="228">
        <v>0.71</v>
      </c>
      <c r="DR25" s="228">
        <v>0.04</v>
      </c>
      <c r="DS25" s="229">
        <v>5.6300000000000003E-2</v>
      </c>
      <c r="DT25" s="231">
        <v>1000</v>
      </c>
      <c r="DU25" s="228">
        <v>900</v>
      </c>
      <c r="DV25" s="228">
        <v>0.63</v>
      </c>
      <c r="DW25" s="228">
        <v>0.55000000000000004</v>
      </c>
      <c r="DX25" s="228">
        <v>0.08</v>
      </c>
      <c r="DY25" s="229">
        <v>0.14549999999999999</v>
      </c>
      <c r="DZ25" s="229">
        <v>0.15079999999999999</v>
      </c>
      <c r="EA25" s="230">
        <v>10557000</v>
      </c>
      <c r="EB25" s="229">
        <v>6.9999999999999999E-4</v>
      </c>
      <c r="EC25" s="229">
        <v>0.15079999999999999</v>
      </c>
      <c r="ED25" s="228">
        <v>0.31</v>
      </c>
      <c r="EE25" s="229">
        <v>2.9999999999999997E-4</v>
      </c>
      <c r="EF25" s="230">
        <v>3494321</v>
      </c>
      <c r="EG25" s="230">
        <v>10877952</v>
      </c>
      <c r="EH25" s="229">
        <v>-0.67879999999999996</v>
      </c>
      <c r="EI25" s="229">
        <v>0.45200000000000001</v>
      </c>
      <c r="EJ25" s="231">
        <v>290410.63</v>
      </c>
      <c r="EK25" s="231">
        <v>170346.04</v>
      </c>
      <c r="EL25" s="231">
        <v>78753.8</v>
      </c>
      <c r="EM25" s="231">
        <v>38725</v>
      </c>
      <c r="EN25" s="231">
        <v>539510.47</v>
      </c>
      <c r="EO25" s="231">
        <v>1715069.68</v>
      </c>
      <c r="EP25" s="231">
        <v>-1175559.21</v>
      </c>
      <c r="EQ25" s="229">
        <v>-0.68540000000000001</v>
      </c>
      <c r="ER25" s="231">
        <v>161867</v>
      </c>
      <c r="ES25" s="231">
        <v>115159</v>
      </c>
      <c r="ET25" s="231">
        <v>678372</v>
      </c>
      <c r="EU25" s="231">
        <v>387962395</v>
      </c>
      <c r="EV25" s="231">
        <v>955398</v>
      </c>
      <c r="EW25" s="231">
        <v>957244</v>
      </c>
      <c r="EX25" s="231">
        <v>-1846</v>
      </c>
      <c r="EY25" s="229">
        <v>-1.9E-3</v>
      </c>
      <c r="EZ25" s="229">
        <v>0.2591</v>
      </c>
      <c r="FA25" s="227" t="s">
        <v>691</v>
      </c>
      <c r="FB25" s="161">
        <f t="shared" si="0"/>
        <v>10728000</v>
      </c>
    </row>
    <row r="26" spans="1:158" ht="17.25" thickBot="1" x14ac:dyDescent="0.3">
      <c r="A26" s="226">
        <v>46146</v>
      </c>
      <c r="B26" s="227" t="s">
        <v>172</v>
      </c>
      <c r="C26" s="227" t="s">
        <v>179</v>
      </c>
      <c r="D26" s="228">
        <v>3600</v>
      </c>
      <c r="E26" s="228">
        <v>208.01</v>
      </c>
      <c r="F26" s="228">
        <v>200.89</v>
      </c>
      <c r="G26" s="228">
        <v>7.12</v>
      </c>
      <c r="H26" s="229">
        <v>3.5400000000000001E-2</v>
      </c>
      <c r="I26" s="228">
        <v>206.76</v>
      </c>
      <c r="J26" s="228">
        <v>199.72</v>
      </c>
      <c r="K26" s="228">
        <v>7.04</v>
      </c>
      <c r="L26" s="229">
        <v>3.5200000000000002E-2</v>
      </c>
      <c r="M26" s="228">
        <v>208.01</v>
      </c>
      <c r="N26" s="228">
        <v>200.89</v>
      </c>
      <c r="O26" s="228">
        <v>7.12</v>
      </c>
      <c r="P26" s="229">
        <v>3.5400000000000001E-2</v>
      </c>
      <c r="Q26" s="228">
        <v>209.31</v>
      </c>
      <c r="R26" s="228">
        <v>202.08</v>
      </c>
      <c r="S26" s="228">
        <v>7.23</v>
      </c>
      <c r="T26" s="229">
        <v>3.5799999999999998E-2</v>
      </c>
      <c r="U26" s="228">
        <v>210.07</v>
      </c>
      <c r="V26" s="228">
        <v>202.61</v>
      </c>
      <c r="W26" s="228">
        <v>7.46</v>
      </c>
      <c r="X26" s="229">
        <v>3.6799999999999999E-2</v>
      </c>
      <c r="Y26" s="228">
        <v>1.25</v>
      </c>
      <c r="Z26" s="228">
        <v>1.17</v>
      </c>
      <c r="AA26" s="228">
        <v>0.08</v>
      </c>
      <c r="AB26" s="229">
        <v>6.0000000000000001E-3</v>
      </c>
      <c r="AC26" s="228">
        <v>1.25</v>
      </c>
      <c r="AD26" s="228">
        <v>1.17</v>
      </c>
      <c r="AE26" s="228">
        <v>0.08</v>
      </c>
      <c r="AF26" s="229">
        <v>6.0000000000000001E-3</v>
      </c>
      <c r="AG26" s="228">
        <v>2.5499999999999998</v>
      </c>
      <c r="AH26" s="228">
        <v>2.36</v>
      </c>
      <c r="AI26" s="228">
        <v>0.19</v>
      </c>
      <c r="AJ26" s="229">
        <v>1.23E-2</v>
      </c>
      <c r="AK26" s="228">
        <v>3.31</v>
      </c>
      <c r="AL26" s="228">
        <v>2.89</v>
      </c>
      <c r="AM26" s="228">
        <v>0.42</v>
      </c>
      <c r="AN26" s="229">
        <v>1.6E-2</v>
      </c>
      <c r="AO26" s="228">
        <v>209.11</v>
      </c>
      <c r="AP26" s="228">
        <v>210.52</v>
      </c>
      <c r="AQ26" s="228">
        <v>0</v>
      </c>
      <c r="AR26" s="230">
        <v>41630400</v>
      </c>
      <c r="AS26" s="230">
        <v>32875200</v>
      </c>
      <c r="AT26" s="230">
        <v>8755200</v>
      </c>
      <c r="AU26" s="229">
        <v>0.26629999999999998</v>
      </c>
      <c r="AV26" s="230">
        <v>39510000</v>
      </c>
      <c r="AW26" s="230">
        <v>31831200</v>
      </c>
      <c r="AX26" s="230">
        <v>7678800</v>
      </c>
      <c r="AY26" s="229">
        <v>0.2412</v>
      </c>
      <c r="AZ26" s="230">
        <v>1890000</v>
      </c>
      <c r="BA26" s="230">
        <v>921600</v>
      </c>
      <c r="BB26" s="230">
        <v>968400</v>
      </c>
      <c r="BC26" s="229">
        <v>1.0508</v>
      </c>
      <c r="BD26" s="230">
        <v>230400</v>
      </c>
      <c r="BE26" s="230">
        <v>122400</v>
      </c>
      <c r="BF26" s="230">
        <v>108000</v>
      </c>
      <c r="BG26" s="229">
        <v>0.88239999999999996</v>
      </c>
      <c r="BH26" s="230">
        <v>170928000</v>
      </c>
      <c r="BI26" s="230">
        <v>84639600</v>
      </c>
      <c r="BJ26" s="230">
        <v>86288400</v>
      </c>
      <c r="BK26" s="229">
        <v>1.0195000000000001</v>
      </c>
      <c r="BL26" s="230">
        <v>75884400</v>
      </c>
      <c r="BM26" s="230">
        <v>49284000</v>
      </c>
      <c r="BN26" s="230">
        <v>26600400</v>
      </c>
      <c r="BO26" s="229">
        <v>0.53969999999999996</v>
      </c>
      <c r="BP26" s="230">
        <v>288442800</v>
      </c>
      <c r="BQ26" s="230">
        <v>166798800</v>
      </c>
      <c r="BR26" s="230">
        <v>121644000</v>
      </c>
      <c r="BS26" s="229">
        <v>0.72929999999999995</v>
      </c>
      <c r="BT26" s="230">
        <v>42528179</v>
      </c>
      <c r="BU26" s="230">
        <v>28970483</v>
      </c>
      <c r="BV26" s="230">
        <v>13557696</v>
      </c>
      <c r="BW26" s="229">
        <v>0.46800000000000003</v>
      </c>
      <c r="BX26" s="230">
        <v>95623200</v>
      </c>
      <c r="BY26" s="230">
        <v>93974400</v>
      </c>
      <c r="BZ26" s="230">
        <v>1648800</v>
      </c>
      <c r="CA26" s="229">
        <v>1.7500000000000002E-2</v>
      </c>
      <c r="CB26" s="230">
        <v>93474000</v>
      </c>
      <c r="CC26" s="230">
        <v>91947600</v>
      </c>
      <c r="CD26" s="230">
        <v>1526400</v>
      </c>
      <c r="CE26" s="229">
        <v>1.66E-2</v>
      </c>
      <c r="CF26" s="230">
        <v>1922400</v>
      </c>
      <c r="CG26" s="230">
        <v>1879200</v>
      </c>
      <c r="CH26" s="230">
        <v>43200</v>
      </c>
      <c r="CI26" s="229">
        <v>2.3E-2</v>
      </c>
      <c r="CJ26" s="230">
        <v>226800</v>
      </c>
      <c r="CK26" s="230">
        <v>147600</v>
      </c>
      <c r="CL26" s="230">
        <v>79200</v>
      </c>
      <c r="CM26" s="229">
        <v>0.53659999999999997</v>
      </c>
      <c r="CN26" s="230">
        <v>46432800</v>
      </c>
      <c r="CO26" s="230">
        <v>42300000</v>
      </c>
      <c r="CP26" s="230">
        <v>4132800</v>
      </c>
      <c r="CQ26" s="229">
        <v>9.7699999999999995E-2</v>
      </c>
      <c r="CR26" s="230">
        <v>34257600</v>
      </c>
      <c r="CS26" s="230">
        <v>26312400</v>
      </c>
      <c r="CT26" s="230">
        <v>7945200</v>
      </c>
      <c r="CU26" s="229">
        <v>0.30199999999999999</v>
      </c>
      <c r="CV26" s="230">
        <v>176313600</v>
      </c>
      <c r="CW26" s="230">
        <v>162586800</v>
      </c>
      <c r="CX26" s="230">
        <v>13726800</v>
      </c>
      <c r="CY26" s="229">
        <v>8.4400000000000003E-2</v>
      </c>
      <c r="CZ26" s="228">
        <v>43.61</v>
      </c>
      <c r="DA26" s="228">
        <v>44.59</v>
      </c>
      <c r="DB26" s="228">
        <v>-0.98</v>
      </c>
      <c r="DC26" s="228">
        <v>-0.98</v>
      </c>
      <c r="DD26" s="228">
        <v>47.69</v>
      </c>
      <c r="DE26" s="228">
        <v>47.58</v>
      </c>
      <c r="DF26" s="228">
        <v>-4.08</v>
      </c>
      <c r="DG26" s="228">
        <v>0.11</v>
      </c>
      <c r="DH26" s="228">
        <v>43.45</v>
      </c>
      <c r="DI26" s="228">
        <v>44.64</v>
      </c>
      <c r="DJ26" s="228">
        <v>-1.19</v>
      </c>
      <c r="DK26" s="228">
        <v>-1.19</v>
      </c>
      <c r="DL26" s="228">
        <v>43.96</v>
      </c>
      <c r="DM26" s="228">
        <v>44.52</v>
      </c>
      <c r="DN26" s="228">
        <v>-0.56000000000000005</v>
      </c>
      <c r="DO26" s="228">
        <v>-0.56000000000000005</v>
      </c>
      <c r="DP26" s="228">
        <v>0.74</v>
      </c>
      <c r="DQ26" s="228">
        <v>0.62</v>
      </c>
      <c r="DR26" s="228">
        <v>0.12</v>
      </c>
      <c r="DS26" s="229">
        <v>0.19350000000000001</v>
      </c>
      <c r="DT26" s="228">
        <v>210</v>
      </c>
      <c r="DU26" s="228">
        <v>200</v>
      </c>
      <c r="DV26" s="228">
        <v>0.44</v>
      </c>
      <c r="DW26" s="228">
        <v>0.57999999999999996</v>
      </c>
      <c r="DX26" s="228">
        <v>-0.14000000000000001</v>
      </c>
      <c r="DY26" s="229">
        <v>-0.2414</v>
      </c>
      <c r="DZ26" s="229">
        <v>2.2499999999999999E-2</v>
      </c>
      <c r="EA26" s="230">
        <v>2026800</v>
      </c>
      <c r="EB26" s="229">
        <v>6.1999999999999998E-3</v>
      </c>
      <c r="EC26" s="229">
        <v>2.2499999999999999E-2</v>
      </c>
      <c r="ED26" s="228">
        <v>1.41</v>
      </c>
      <c r="EE26" s="229">
        <v>6.7000000000000002E-3</v>
      </c>
      <c r="EF26" s="230">
        <v>14000653</v>
      </c>
      <c r="EG26" s="230">
        <v>8457956</v>
      </c>
      <c r="EH26" s="229">
        <v>0.65529999999999999</v>
      </c>
      <c r="EI26" s="229">
        <v>0.32919999999999999</v>
      </c>
      <c r="EJ26" s="231">
        <v>378029.83</v>
      </c>
      <c r="EK26" s="231">
        <v>153714</v>
      </c>
      <c r="EL26" s="231">
        <v>87081.99</v>
      </c>
      <c r="EM26" s="231">
        <v>17082</v>
      </c>
      <c r="EN26" s="231">
        <v>618825.81999999995</v>
      </c>
      <c r="EO26" s="231">
        <v>341648.76</v>
      </c>
      <c r="EP26" s="231">
        <v>277177.06</v>
      </c>
      <c r="EQ26" s="229">
        <v>0.81130000000000002</v>
      </c>
      <c r="ER26" s="231">
        <v>94424</v>
      </c>
      <c r="ES26" s="231">
        <v>64818</v>
      </c>
      <c r="ET26" s="231">
        <v>198935</v>
      </c>
      <c r="EU26" s="231">
        <v>145616308</v>
      </c>
      <c r="EV26" s="231">
        <v>358178</v>
      </c>
      <c r="EW26" s="231">
        <v>321220</v>
      </c>
      <c r="EX26" s="231">
        <v>36958</v>
      </c>
      <c r="EY26" s="229">
        <v>0.11509999999999999</v>
      </c>
      <c r="EZ26" s="229">
        <v>1.2108000000000001</v>
      </c>
      <c r="FA26" s="227" t="s">
        <v>555</v>
      </c>
      <c r="FB26" s="161">
        <f t="shared" si="0"/>
        <v>2149200</v>
      </c>
    </row>
    <row r="27" spans="1:158" ht="17.25" thickBot="1" x14ac:dyDescent="0.3">
      <c r="A27" s="226">
        <v>46146</v>
      </c>
      <c r="B27" s="227" t="s">
        <v>172</v>
      </c>
      <c r="C27" s="227" t="s">
        <v>180</v>
      </c>
      <c r="D27" s="228">
        <v>2925</v>
      </c>
      <c r="E27" s="228">
        <v>266.60000000000002</v>
      </c>
      <c r="F27" s="228">
        <v>265.10000000000002</v>
      </c>
      <c r="G27" s="228">
        <v>1.5</v>
      </c>
      <c r="H27" s="229">
        <v>5.7000000000000002E-3</v>
      </c>
      <c r="I27" s="228">
        <v>265.10000000000002</v>
      </c>
      <c r="J27" s="228">
        <v>263.45999999999998</v>
      </c>
      <c r="K27" s="228">
        <v>1.64</v>
      </c>
      <c r="L27" s="229">
        <v>6.1999999999999998E-3</v>
      </c>
      <c r="M27" s="228">
        <v>266.60000000000002</v>
      </c>
      <c r="N27" s="228">
        <v>265.10000000000002</v>
      </c>
      <c r="O27" s="228">
        <v>1.5</v>
      </c>
      <c r="P27" s="229">
        <v>5.7000000000000002E-3</v>
      </c>
      <c r="Q27" s="228">
        <v>268.39999999999998</v>
      </c>
      <c r="R27" s="228">
        <v>266.68</v>
      </c>
      <c r="S27" s="228">
        <v>1.72</v>
      </c>
      <c r="T27" s="229">
        <v>6.4000000000000003E-3</v>
      </c>
      <c r="U27" s="228">
        <v>270</v>
      </c>
      <c r="V27" s="228">
        <v>268</v>
      </c>
      <c r="W27" s="228">
        <v>2</v>
      </c>
      <c r="X27" s="229">
        <v>7.4999999999999997E-3</v>
      </c>
      <c r="Y27" s="228">
        <v>1.5</v>
      </c>
      <c r="Z27" s="228">
        <v>1.64</v>
      </c>
      <c r="AA27" s="228">
        <v>-0.14000000000000001</v>
      </c>
      <c r="AB27" s="229">
        <v>5.7000000000000002E-3</v>
      </c>
      <c r="AC27" s="228">
        <v>1.5</v>
      </c>
      <c r="AD27" s="228">
        <v>1.64</v>
      </c>
      <c r="AE27" s="228">
        <v>-0.14000000000000001</v>
      </c>
      <c r="AF27" s="229">
        <v>5.7000000000000002E-3</v>
      </c>
      <c r="AG27" s="228">
        <v>3.3</v>
      </c>
      <c r="AH27" s="228">
        <v>3.22</v>
      </c>
      <c r="AI27" s="228">
        <v>0.08</v>
      </c>
      <c r="AJ27" s="229">
        <v>1.24E-2</v>
      </c>
      <c r="AK27" s="228">
        <v>4.9000000000000004</v>
      </c>
      <c r="AL27" s="228">
        <v>4.54</v>
      </c>
      <c r="AM27" s="228">
        <v>0.36</v>
      </c>
      <c r="AN27" s="229">
        <v>1.8499999999999999E-2</v>
      </c>
      <c r="AO27" s="228">
        <v>269.27</v>
      </c>
      <c r="AP27" s="228">
        <v>271.39</v>
      </c>
      <c r="AQ27" s="228">
        <v>0</v>
      </c>
      <c r="AR27" s="230">
        <v>12650625</v>
      </c>
      <c r="AS27" s="230">
        <v>17073225</v>
      </c>
      <c r="AT27" s="230">
        <v>-4422600</v>
      </c>
      <c r="AU27" s="229">
        <v>-0.25900000000000001</v>
      </c>
      <c r="AV27" s="230">
        <v>11694150</v>
      </c>
      <c r="AW27" s="230">
        <v>15718950</v>
      </c>
      <c r="AX27" s="230">
        <v>-4024800</v>
      </c>
      <c r="AY27" s="229">
        <v>-0.25600000000000001</v>
      </c>
      <c r="AZ27" s="230">
        <v>933075</v>
      </c>
      <c r="BA27" s="230">
        <v>1304550</v>
      </c>
      <c r="BB27" s="230">
        <v>-371475</v>
      </c>
      <c r="BC27" s="229">
        <v>-0.2848</v>
      </c>
      <c r="BD27" s="230">
        <v>23400</v>
      </c>
      <c r="BE27" s="230">
        <v>49725</v>
      </c>
      <c r="BF27" s="230">
        <v>-26325</v>
      </c>
      <c r="BG27" s="229">
        <v>-0.52939999999999998</v>
      </c>
      <c r="BH27" s="230">
        <v>25248600</v>
      </c>
      <c r="BI27" s="230">
        <v>22332375</v>
      </c>
      <c r="BJ27" s="230">
        <v>2916225</v>
      </c>
      <c r="BK27" s="229">
        <v>0.13059999999999999</v>
      </c>
      <c r="BL27" s="230">
        <v>12021750</v>
      </c>
      <c r="BM27" s="230">
        <v>13174200</v>
      </c>
      <c r="BN27" s="230">
        <v>-1152450</v>
      </c>
      <c r="BO27" s="229">
        <v>-8.7499999999999994E-2</v>
      </c>
      <c r="BP27" s="230">
        <v>49920975</v>
      </c>
      <c r="BQ27" s="230">
        <v>52579800</v>
      </c>
      <c r="BR27" s="230">
        <v>-2658825</v>
      </c>
      <c r="BS27" s="229">
        <v>-5.0599999999999999E-2</v>
      </c>
      <c r="BT27" s="230">
        <v>6539669</v>
      </c>
      <c r="BU27" s="230">
        <v>12634826</v>
      </c>
      <c r="BV27" s="230">
        <v>-6095157</v>
      </c>
      <c r="BW27" s="229">
        <v>-0.4824</v>
      </c>
      <c r="BX27" s="230">
        <v>113849775</v>
      </c>
      <c r="BY27" s="230">
        <v>112744125</v>
      </c>
      <c r="BZ27" s="230">
        <v>1105650</v>
      </c>
      <c r="CA27" s="229">
        <v>9.7999999999999997E-3</v>
      </c>
      <c r="CB27" s="230">
        <v>104533650</v>
      </c>
      <c r="CC27" s="230">
        <v>103928175</v>
      </c>
      <c r="CD27" s="230">
        <v>605475</v>
      </c>
      <c r="CE27" s="229">
        <v>5.7999999999999996E-3</v>
      </c>
      <c r="CF27" s="230">
        <v>9231300</v>
      </c>
      <c r="CG27" s="230">
        <v>8742825</v>
      </c>
      <c r="CH27" s="230">
        <v>488475</v>
      </c>
      <c r="CI27" s="229">
        <v>5.5899999999999998E-2</v>
      </c>
      <c r="CJ27" s="230">
        <v>84825</v>
      </c>
      <c r="CK27" s="230">
        <v>73125</v>
      </c>
      <c r="CL27" s="230">
        <v>11700</v>
      </c>
      <c r="CM27" s="229">
        <v>0.16</v>
      </c>
      <c r="CN27" s="230">
        <v>31677750</v>
      </c>
      <c r="CO27" s="230">
        <v>29840850</v>
      </c>
      <c r="CP27" s="230">
        <v>1836900</v>
      </c>
      <c r="CQ27" s="229">
        <v>6.1600000000000002E-2</v>
      </c>
      <c r="CR27" s="230">
        <v>25520625</v>
      </c>
      <c r="CS27" s="230">
        <v>25055550</v>
      </c>
      <c r="CT27" s="230">
        <v>465075</v>
      </c>
      <c r="CU27" s="229">
        <v>1.8599999999999998E-2</v>
      </c>
      <c r="CV27" s="230">
        <v>171048150</v>
      </c>
      <c r="CW27" s="230">
        <v>167640525</v>
      </c>
      <c r="CX27" s="230">
        <v>3407625</v>
      </c>
      <c r="CY27" s="229">
        <v>2.0299999999999999E-2</v>
      </c>
      <c r="CZ27" s="228">
        <v>35.93</v>
      </c>
      <c r="DA27" s="228">
        <v>35.54</v>
      </c>
      <c r="DB27" s="228">
        <v>0.39</v>
      </c>
      <c r="DC27" s="228">
        <v>0.39</v>
      </c>
      <c r="DD27" s="228">
        <v>36.46</v>
      </c>
      <c r="DE27" s="228">
        <v>36.54</v>
      </c>
      <c r="DF27" s="228">
        <v>-0.53</v>
      </c>
      <c r="DG27" s="228">
        <v>-0.08</v>
      </c>
      <c r="DH27" s="228">
        <v>36.18</v>
      </c>
      <c r="DI27" s="228">
        <v>35.619999999999997</v>
      </c>
      <c r="DJ27" s="228">
        <v>0.56000000000000005</v>
      </c>
      <c r="DK27" s="228">
        <v>0.56000000000000005</v>
      </c>
      <c r="DL27" s="228">
        <v>35.42</v>
      </c>
      <c r="DM27" s="228">
        <v>35.39</v>
      </c>
      <c r="DN27" s="228">
        <v>0.03</v>
      </c>
      <c r="DO27" s="228">
        <v>0.03</v>
      </c>
      <c r="DP27" s="228">
        <v>0.81</v>
      </c>
      <c r="DQ27" s="228">
        <v>0.84</v>
      </c>
      <c r="DR27" s="228">
        <v>-0.03</v>
      </c>
      <c r="DS27" s="229">
        <v>-3.5700000000000003E-2</v>
      </c>
      <c r="DT27" s="228">
        <v>300</v>
      </c>
      <c r="DU27" s="228">
        <v>300</v>
      </c>
      <c r="DV27" s="228">
        <v>0.48</v>
      </c>
      <c r="DW27" s="228">
        <v>0.59</v>
      </c>
      <c r="DX27" s="228">
        <v>-0.11</v>
      </c>
      <c r="DY27" s="229">
        <v>-0.18640000000000001</v>
      </c>
      <c r="DZ27" s="229">
        <v>8.1799999999999998E-2</v>
      </c>
      <c r="EA27" s="230">
        <v>8815950</v>
      </c>
      <c r="EB27" s="229">
        <v>6.7999999999999996E-3</v>
      </c>
      <c r="EC27" s="229">
        <v>8.1799999999999998E-2</v>
      </c>
      <c r="ED27" s="228">
        <v>2.12</v>
      </c>
      <c r="EE27" s="229">
        <v>7.9000000000000008E-3</v>
      </c>
      <c r="EF27" s="230">
        <v>2480973</v>
      </c>
      <c r="EG27" s="230">
        <v>6289438</v>
      </c>
      <c r="EH27" s="229">
        <v>-0.60550000000000004</v>
      </c>
      <c r="EI27" s="229">
        <v>0.37940000000000002</v>
      </c>
      <c r="EJ27" s="231">
        <v>72629.53</v>
      </c>
      <c r="EK27" s="231">
        <v>32605.3</v>
      </c>
      <c r="EL27" s="231">
        <v>34084.370000000003</v>
      </c>
      <c r="EM27" s="231">
        <v>12892</v>
      </c>
      <c r="EN27" s="231">
        <v>139319.20000000001</v>
      </c>
      <c r="EO27" s="231">
        <v>143665.09</v>
      </c>
      <c r="EP27" s="231">
        <v>-4345.8900000000003</v>
      </c>
      <c r="EQ27" s="229">
        <v>-3.0300000000000001E-2</v>
      </c>
      <c r="ER27" s="231">
        <v>89703</v>
      </c>
      <c r="ES27" s="231">
        <v>70425</v>
      </c>
      <c r="ET27" s="231">
        <v>303693</v>
      </c>
      <c r="EU27" s="231">
        <v>279476623</v>
      </c>
      <c r="EV27" s="231">
        <v>463821</v>
      </c>
      <c r="EW27" s="231">
        <v>452528</v>
      </c>
      <c r="EX27" s="231">
        <v>11293</v>
      </c>
      <c r="EY27" s="229">
        <v>2.5000000000000001E-2</v>
      </c>
      <c r="EZ27" s="229">
        <v>0.61199999999999999</v>
      </c>
      <c r="FA27" s="227" t="s">
        <v>555</v>
      </c>
      <c r="FB27" s="161">
        <f t="shared" si="0"/>
        <v>9316125</v>
      </c>
    </row>
    <row r="28" spans="1:158" ht="17.25" thickBot="1" x14ac:dyDescent="0.3">
      <c r="A28" s="226">
        <v>46146</v>
      </c>
      <c r="B28" s="227" t="s">
        <v>172</v>
      </c>
      <c r="C28" s="227" t="s">
        <v>601</v>
      </c>
      <c r="D28" s="228">
        <v>5200</v>
      </c>
      <c r="E28" s="228">
        <v>139.51</v>
      </c>
      <c r="F28" s="228">
        <v>140.51</v>
      </c>
      <c r="G28" s="228">
        <v>-1</v>
      </c>
      <c r="H28" s="229">
        <v>-7.1000000000000004E-3</v>
      </c>
      <c r="I28" s="228">
        <v>138.66</v>
      </c>
      <c r="J28" s="228">
        <v>139.87</v>
      </c>
      <c r="K28" s="228">
        <v>-1.21</v>
      </c>
      <c r="L28" s="229">
        <v>-8.6999999999999994E-3</v>
      </c>
      <c r="M28" s="228">
        <v>139.51</v>
      </c>
      <c r="N28" s="228">
        <v>140.51</v>
      </c>
      <c r="O28" s="228">
        <v>-1</v>
      </c>
      <c r="P28" s="229">
        <v>-7.1000000000000004E-3</v>
      </c>
      <c r="Q28" s="228">
        <v>140.43</v>
      </c>
      <c r="R28" s="228">
        <v>141.43</v>
      </c>
      <c r="S28" s="228">
        <v>-1</v>
      </c>
      <c r="T28" s="229">
        <v>-7.1000000000000004E-3</v>
      </c>
      <c r="U28" s="228">
        <v>141.22999999999999</v>
      </c>
      <c r="V28" s="228">
        <v>142.16999999999999</v>
      </c>
      <c r="W28" s="228">
        <v>-0.94</v>
      </c>
      <c r="X28" s="229">
        <v>-6.6E-3</v>
      </c>
      <c r="Y28" s="228">
        <v>0.85</v>
      </c>
      <c r="Z28" s="228">
        <v>0.64</v>
      </c>
      <c r="AA28" s="228">
        <v>0.21</v>
      </c>
      <c r="AB28" s="229">
        <v>6.1000000000000004E-3</v>
      </c>
      <c r="AC28" s="228">
        <v>0.85</v>
      </c>
      <c r="AD28" s="228">
        <v>0.64</v>
      </c>
      <c r="AE28" s="228">
        <v>0.21</v>
      </c>
      <c r="AF28" s="229">
        <v>6.1000000000000004E-3</v>
      </c>
      <c r="AG28" s="228">
        <v>1.77</v>
      </c>
      <c r="AH28" s="228">
        <v>1.56</v>
      </c>
      <c r="AI28" s="228">
        <v>0.21</v>
      </c>
      <c r="AJ28" s="229">
        <v>1.2800000000000001E-2</v>
      </c>
      <c r="AK28" s="228">
        <v>2.57</v>
      </c>
      <c r="AL28" s="228">
        <v>2.2999999999999998</v>
      </c>
      <c r="AM28" s="228">
        <v>0.27</v>
      </c>
      <c r="AN28" s="229">
        <v>1.8499999999999999E-2</v>
      </c>
      <c r="AO28" s="228">
        <v>140.94</v>
      </c>
      <c r="AP28" s="228">
        <v>142.44</v>
      </c>
      <c r="AQ28" s="228">
        <v>0</v>
      </c>
      <c r="AR28" s="230">
        <v>9178000</v>
      </c>
      <c r="AS28" s="230">
        <v>9828000</v>
      </c>
      <c r="AT28" s="230">
        <v>-650000</v>
      </c>
      <c r="AU28" s="229">
        <v>-6.6100000000000006E-2</v>
      </c>
      <c r="AV28" s="230">
        <v>8715200</v>
      </c>
      <c r="AW28" s="230">
        <v>9214400</v>
      </c>
      <c r="AX28" s="230">
        <v>-499200</v>
      </c>
      <c r="AY28" s="229">
        <v>-5.4199999999999998E-2</v>
      </c>
      <c r="AZ28" s="230">
        <v>384800</v>
      </c>
      <c r="BA28" s="230">
        <v>499200</v>
      </c>
      <c r="BB28" s="230">
        <v>-114400</v>
      </c>
      <c r="BC28" s="229">
        <v>-0.22919999999999999</v>
      </c>
      <c r="BD28" s="230">
        <v>78000</v>
      </c>
      <c r="BE28" s="230">
        <v>114400</v>
      </c>
      <c r="BF28" s="230">
        <v>-36400</v>
      </c>
      <c r="BG28" s="229">
        <v>-0.31819999999999998</v>
      </c>
      <c r="BH28" s="230">
        <v>16489200</v>
      </c>
      <c r="BI28" s="230">
        <v>11783200</v>
      </c>
      <c r="BJ28" s="230">
        <v>4706000</v>
      </c>
      <c r="BK28" s="229">
        <v>0.39939999999999998</v>
      </c>
      <c r="BL28" s="230">
        <v>7555600</v>
      </c>
      <c r="BM28" s="230">
        <v>9729200</v>
      </c>
      <c r="BN28" s="230">
        <v>-2173600</v>
      </c>
      <c r="BO28" s="229">
        <v>-0.22339999999999999</v>
      </c>
      <c r="BP28" s="230">
        <v>33222800</v>
      </c>
      <c r="BQ28" s="230">
        <v>31340400</v>
      </c>
      <c r="BR28" s="230">
        <v>1882400</v>
      </c>
      <c r="BS28" s="229">
        <v>6.0100000000000001E-2</v>
      </c>
      <c r="BT28" s="230">
        <v>12111851</v>
      </c>
      <c r="BU28" s="230">
        <v>10860654</v>
      </c>
      <c r="BV28" s="230">
        <v>1251197</v>
      </c>
      <c r="BW28" s="229">
        <v>0.1152</v>
      </c>
      <c r="BX28" s="230">
        <v>55551600</v>
      </c>
      <c r="BY28" s="230">
        <v>53310400</v>
      </c>
      <c r="BZ28" s="230">
        <v>2241200</v>
      </c>
      <c r="CA28" s="229">
        <v>4.2000000000000003E-2</v>
      </c>
      <c r="CB28" s="230">
        <v>53726400</v>
      </c>
      <c r="CC28" s="230">
        <v>51656800</v>
      </c>
      <c r="CD28" s="230">
        <v>2069600</v>
      </c>
      <c r="CE28" s="229">
        <v>4.0099999999999997E-2</v>
      </c>
      <c r="CF28" s="230">
        <v>1664000</v>
      </c>
      <c r="CG28" s="230">
        <v>1523600</v>
      </c>
      <c r="CH28" s="230">
        <v>140400</v>
      </c>
      <c r="CI28" s="229">
        <v>9.2200000000000004E-2</v>
      </c>
      <c r="CJ28" s="230">
        <v>161200</v>
      </c>
      <c r="CK28" s="230">
        <v>130000</v>
      </c>
      <c r="CL28" s="230">
        <v>31200</v>
      </c>
      <c r="CM28" s="229">
        <v>0.24</v>
      </c>
      <c r="CN28" s="230">
        <v>17196400</v>
      </c>
      <c r="CO28" s="230">
        <v>14778400</v>
      </c>
      <c r="CP28" s="230">
        <v>2418000</v>
      </c>
      <c r="CQ28" s="229">
        <v>0.1636</v>
      </c>
      <c r="CR28" s="230">
        <v>14274000</v>
      </c>
      <c r="CS28" s="230">
        <v>13208000</v>
      </c>
      <c r="CT28" s="230">
        <v>1066000</v>
      </c>
      <c r="CU28" s="229">
        <v>8.0699999999999994E-2</v>
      </c>
      <c r="CV28" s="230">
        <v>87022000</v>
      </c>
      <c r="CW28" s="230">
        <v>81296800</v>
      </c>
      <c r="CX28" s="230">
        <v>5725200</v>
      </c>
      <c r="CY28" s="229">
        <v>7.0400000000000004E-2</v>
      </c>
      <c r="CZ28" s="228">
        <v>42.41</v>
      </c>
      <c r="DA28" s="228">
        <v>40.450000000000003</v>
      </c>
      <c r="DB28" s="228">
        <v>1.96</v>
      </c>
      <c r="DC28" s="228">
        <v>1.96</v>
      </c>
      <c r="DD28" s="228">
        <v>42.43</v>
      </c>
      <c r="DE28" s="228">
        <v>42.53</v>
      </c>
      <c r="DF28" s="228">
        <v>-0.02</v>
      </c>
      <c r="DG28" s="228">
        <v>-0.1</v>
      </c>
      <c r="DH28" s="228">
        <v>42.42</v>
      </c>
      <c r="DI28" s="228">
        <v>40.79</v>
      </c>
      <c r="DJ28" s="228">
        <v>1.63</v>
      </c>
      <c r="DK28" s="228">
        <v>1.63</v>
      </c>
      <c r="DL28" s="228">
        <v>42.4</v>
      </c>
      <c r="DM28" s="228">
        <v>40.04</v>
      </c>
      <c r="DN28" s="228">
        <v>2.36</v>
      </c>
      <c r="DO28" s="228">
        <v>2.36</v>
      </c>
      <c r="DP28" s="228">
        <v>0.83</v>
      </c>
      <c r="DQ28" s="228">
        <v>0.89</v>
      </c>
      <c r="DR28" s="228">
        <v>-0.06</v>
      </c>
      <c r="DS28" s="229">
        <v>-6.7400000000000002E-2</v>
      </c>
      <c r="DT28" s="228">
        <v>150</v>
      </c>
      <c r="DU28" s="228">
        <v>140</v>
      </c>
      <c r="DV28" s="228">
        <v>0.46</v>
      </c>
      <c r="DW28" s="228">
        <v>0.83</v>
      </c>
      <c r="DX28" s="228">
        <v>-0.37</v>
      </c>
      <c r="DY28" s="229">
        <v>-0.44579999999999997</v>
      </c>
      <c r="DZ28" s="229">
        <v>3.2899999999999999E-2</v>
      </c>
      <c r="EA28" s="230">
        <v>1653600</v>
      </c>
      <c r="EB28" s="229">
        <v>6.6E-3</v>
      </c>
      <c r="EC28" s="229">
        <v>3.2899999999999999E-2</v>
      </c>
      <c r="ED28" s="228">
        <v>1.5</v>
      </c>
      <c r="EE28" s="229">
        <v>1.06E-2</v>
      </c>
      <c r="EF28" s="230">
        <v>6365086</v>
      </c>
      <c r="EG28" s="230">
        <v>4804628</v>
      </c>
      <c r="EH28" s="229">
        <v>0.32479999999999998</v>
      </c>
      <c r="EI28" s="229">
        <v>0.52549999999999997</v>
      </c>
      <c r="EJ28" s="231">
        <v>24977.82</v>
      </c>
      <c r="EK28" s="231">
        <v>10518.22</v>
      </c>
      <c r="EL28" s="231">
        <v>12941.99</v>
      </c>
      <c r="EM28" s="231">
        <v>3896</v>
      </c>
      <c r="EN28" s="231">
        <v>48438.03</v>
      </c>
      <c r="EO28" s="231">
        <v>45656.37</v>
      </c>
      <c r="EP28" s="231">
        <v>2781.66</v>
      </c>
      <c r="EQ28" s="229">
        <v>6.0900000000000003E-2</v>
      </c>
      <c r="ER28" s="231">
        <v>25947</v>
      </c>
      <c r="ES28" s="231">
        <v>20440</v>
      </c>
      <c r="ET28" s="231">
        <v>77518</v>
      </c>
      <c r="EU28" s="231">
        <v>181770921</v>
      </c>
      <c r="EV28" s="231">
        <v>123905</v>
      </c>
      <c r="EW28" s="231">
        <v>116328</v>
      </c>
      <c r="EX28" s="231">
        <v>7577</v>
      </c>
      <c r="EY28" s="229">
        <v>6.5100000000000005E-2</v>
      </c>
      <c r="EZ28" s="229">
        <v>0.47870000000000001</v>
      </c>
      <c r="FA28" s="227" t="s">
        <v>566</v>
      </c>
      <c r="FB28" s="161">
        <f t="shared" si="0"/>
        <v>1825200</v>
      </c>
    </row>
    <row r="29" spans="1:158" ht="17.25" thickBot="1" x14ac:dyDescent="0.3">
      <c r="A29" s="226">
        <v>46146</v>
      </c>
      <c r="B29" s="227" t="s">
        <v>181</v>
      </c>
      <c r="C29" s="227" t="s">
        <v>182</v>
      </c>
      <c r="D29" s="228">
        <v>30</v>
      </c>
      <c r="E29" s="231">
        <v>55153.8</v>
      </c>
      <c r="F29" s="231">
        <v>55195.199999999997</v>
      </c>
      <c r="G29" s="228">
        <v>-41.4</v>
      </c>
      <c r="H29" s="229">
        <v>-8.0000000000000004E-4</v>
      </c>
      <c r="I29" s="231">
        <v>54878.5</v>
      </c>
      <c r="J29" s="231">
        <v>54863.35</v>
      </c>
      <c r="K29" s="228">
        <v>15.15</v>
      </c>
      <c r="L29" s="229">
        <v>2.9999999999999997E-4</v>
      </c>
      <c r="M29" s="231">
        <v>55153.8</v>
      </c>
      <c r="N29" s="231">
        <v>55195.199999999997</v>
      </c>
      <c r="O29" s="228">
        <v>-41.4</v>
      </c>
      <c r="P29" s="229">
        <v>-8.0000000000000004E-4</v>
      </c>
      <c r="Q29" s="231">
        <v>55369.2</v>
      </c>
      <c r="R29" s="231">
        <v>55376.800000000003</v>
      </c>
      <c r="S29" s="228">
        <v>-7.6</v>
      </c>
      <c r="T29" s="229">
        <v>-1E-4</v>
      </c>
      <c r="U29" s="231">
        <v>55675.6</v>
      </c>
      <c r="V29" s="231">
        <v>55705.2</v>
      </c>
      <c r="W29" s="228">
        <v>-29.6</v>
      </c>
      <c r="X29" s="229">
        <v>-5.0000000000000001E-4</v>
      </c>
      <c r="Y29" s="228">
        <v>275.3</v>
      </c>
      <c r="Z29" s="228">
        <v>331.85</v>
      </c>
      <c r="AA29" s="228">
        <v>-56.55</v>
      </c>
      <c r="AB29" s="229">
        <v>5.0000000000000001E-3</v>
      </c>
      <c r="AC29" s="228">
        <v>275.3</v>
      </c>
      <c r="AD29" s="228">
        <v>331.85</v>
      </c>
      <c r="AE29" s="228">
        <v>-56.55</v>
      </c>
      <c r="AF29" s="229">
        <v>5.0000000000000001E-3</v>
      </c>
      <c r="AG29" s="228">
        <v>490.7</v>
      </c>
      <c r="AH29" s="228">
        <v>513.45000000000005</v>
      </c>
      <c r="AI29" s="228">
        <v>-22.75</v>
      </c>
      <c r="AJ29" s="229">
        <v>8.8999999999999999E-3</v>
      </c>
      <c r="AK29" s="228">
        <v>797.1</v>
      </c>
      <c r="AL29" s="228">
        <v>841.85</v>
      </c>
      <c r="AM29" s="228">
        <v>-44.75</v>
      </c>
      <c r="AN29" s="229">
        <v>1.4500000000000001E-2</v>
      </c>
      <c r="AO29" s="231">
        <v>55413.24</v>
      </c>
      <c r="AP29" s="231">
        <v>55626.1</v>
      </c>
      <c r="AQ29" s="228">
        <v>0</v>
      </c>
      <c r="AR29" s="230">
        <v>1003920</v>
      </c>
      <c r="AS29" s="230">
        <v>1068270</v>
      </c>
      <c r="AT29" s="230">
        <v>-64350</v>
      </c>
      <c r="AU29" s="229">
        <v>-6.0199999999999997E-2</v>
      </c>
      <c r="AV29" s="230">
        <v>934380</v>
      </c>
      <c r="AW29" s="230">
        <v>953280</v>
      </c>
      <c r="AX29" s="230">
        <v>-18900</v>
      </c>
      <c r="AY29" s="229">
        <v>-1.9800000000000002E-2</v>
      </c>
      <c r="AZ29" s="230">
        <v>53250</v>
      </c>
      <c r="BA29" s="230">
        <v>89370</v>
      </c>
      <c r="BB29" s="230">
        <v>-36120</v>
      </c>
      <c r="BC29" s="229">
        <v>-0.4042</v>
      </c>
      <c r="BD29" s="230">
        <v>16290</v>
      </c>
      <c r="BE29" s="230">
        <v>25620</v>
      </c>
      <c r="BF29" s="230">
        <v>-9330</v>
      </c>
      <c r="BG29" s="229">
        <v>-0.36420000000000002</v>
      </c>
      <c r="BH29" s="230">
        <v>28921890</v>
      </c>
      <c r="BI29" s="230">
        <v>25215570</v>
      </c>
      <c r="BJ29" s="230">
        <v>3706320</v>
      </c>
      <c r="BK29" s="229">
        <v>0.14699999999999999</v>
      </c>
      <c r="BL29" s="230">
        <v>21578280</v>
      </c>
      <c r="BM29" s="230">
        <v>23758590</v>
      </c>
      <c r="BN29" s="230">
        <v>-2180310</v>
      </c>
      <c r="BO29" s="229">
        <v>-9.1800000000000007E-2</v>
      </c>
      <c r="BP29" s="230">
        <v>51504090</v>
      </c>
      <c r="BQ29" s="230">
        <v>50042430</v>
      </c>
      <c r="BR29" s="230">
        <v>1461660</v>
      </c>
      <c r="BS29" s="229">
        <v>2.92E-2</v>
      </c>
      <c r="BT29" s="228">
        <v>0</v>
      </c>
      <c r="BU29" s="228">
        <v>0</v>
      </c>
      <c r="BV29" s="228">
        <v>0</v>
      </c>
      <c r="BW29" s="229">
        <v>0</v>
      </c>
      <c r="BX29" s="230">
        <v>2339820</v>
      </c>
      <c r="BY29" s="230">
        <v>2233410</v>
      </c>
      <c r="BZ29" s="230">
        <v>106410</v>
      </c>
      <c r="CA29" s="229">
        <v>4.7600000000000003E-2</v>
      </c>
      <c r="CB29" s="230">
        <v>2102490</v>
      </c>
      <c r="CC29" s="230">
        <v>2006640</v>
      </c>
      <c r="CD29" s="230">
        <v>95850</v>
      </c>
      <c r="CE29" s="229">
        <v>4.7800000000000002E-2</v>
      </c>
      <c r="CF29" s="230">
        <v>219930</v>
      </c>
      <c r="CG29" s="230">
        <v>214110</v>
      </c>
      <c r="CH29" s="230">
        <v>5820</v>
      </c>
      <c r="CI29" s="229">
        <v>2.7199999999999998E-2</v>
      </c>
      <c r="CJ29" s="230">
        <v>17400</v>
      </c>
      <c r="CK29" s="230">
        <v>12660</v>
      </c>
      <c r="CL29" s="230">
        <v>4740</v>
      </c>
      <c r="CM29" s="229">
        <v>0.37440000000000001</v>
      </c>
      <c r="CN29" s="230">
        <v>13339140</v>
      </c>
      <c r="CO29" s="230">
        <v>12047130</v>
      </c>
      <c r="CP29" s="230">
        <v>1292010</v>
      </c>
      <c r="CQ29" s="229">
        <v>0.1072</v>
      </c>
      <c r="CR29" s="230">
        <v>11570880</v>
      </c>
      <c r="CS29" s="230">
        <v>10848960</v>
      </c>
      <c r="CT29" s="230">
        <v>721920</v>
      </c>
      <c r="CU29" s="229">
        <v>6.6500000000000004E-2</v>
      </c>
      <c r="CV29" s="230">
        <v>27249840</v>
      </c>
      <c r="CW29" s="230">
        <v>25129500</v>
      </c>
      <c r="CX29" s="230">
        <v>2120340</v>
      </c>
      <c r="CY29" s="229">
        <v>8.4400000000000003E-2</v>
      </c>
      <c r="CZ29" s="228">
        <v>20.84</v>
      </c>
      <c r="DA29" s="228">
        <v>20.64</v>
      </c>
      <c r="DB29" s="228">
        <v>0.2</v>
      </c>
      <c r="DC29" s="228">
        <v>0.2</v>
      </c>
      <c r="DD29" s="228">
        <v>21.17</v>
      </c>
      <c r="DE29" s="228">
        <v>21.23</v>
      </c>
      <c r="DF29" s="228">
        <v>-0.33</v>
      </c>
      <c r="DG29" s="228">
        <v>-0.06</v>
      </c>
      <c r="DH29" s="228">
        <v>20.059999999999999</v>
      </c>
      <c r="DI29" s="228">
        <v>19.440000000000001</v>
      </c>
      <c r="DJ29" s="228">
        <v>0.62</v>
      </c>
      <c r="DK29" s="228">
        <v>0.62</v>
      </c>
      <c r="DL29" s="228">
        <v>21.89</v>
      </c>
      <c r="DM29" s="228">
        <v>21.91</v>
      </c>
      <c r="DN29" s="228">
        <v>-0.02</v>
      </c>
      <c r="DO29" s="228">
        <v>-0.02</v>
      </c>
      <c r="DP29" s="228">
        <v>0.87</v>
      </c>
      <c r="DQ29" s="228">
        <v>0.9</v>
      </c>
      <c r="DR29" s="228">
        <v>-0.03</v>
      </c>
      <c r="DS29" s="229">
        <v>-3.3300000000000003E-2</v>
      </c>
      <c r="DT29" s="231">
        <v>60000</v>
      </c>
      <c r="DU29" s="231">
        <v>60000</v>
      </c>
      <c r="DV29" s="228">
        <v>0.75</v>
      </c>
      <c r="DW29" s="228">
        <v>0.94</v>
      </c>
      <c r="DX29" s="228">
        <v>-0.19</v>
      </c>
      <c r="DY29" s="229">
        <v>-0.2021</v>
      </c>
      <c r="DZ29" s="229">
        <v>0.1014</v>
      </c>
      <c r="EA29" s="230">
        <v>226770</v>
      </c>
      <c r="EB29" s="229">
        <v>3.8999999999999998E-3</v>
      </c>
      <c r="EC29" s="229">
        <v>0.1014</v>
      </c>
      <c r="ED29" s="228">
        <v>212.86</v>
      </c>
      <c r="EE29" s="229">
        <v>3.8E-3</v>
      </c>
      <c r="EF29" s="228">
        <v>0</v>
      </c>
      <c r="EG29" s="228">
        <v>0</v>
      </c>
      <c r="EH29" s="229">
        <v>0</v>
      </c>
      <c r="EI29" s="229">
        <v>0</v>
      </c>
      <c r="EJ29" s="231">
        <v>16783628.41</v>
      </c>
      <c r="EK29" s="231">
        <v>11695688.23</v>
      </c>
      <c r="EL29" s="231">
        <v>556503.64</v>
      </c>
      <c r="EM29" s="228">
        <v>0</v>
      </c>
      <c r="EN29" s="231">
        <v>29035820.280000001</v>
      </c>
      <c r="EO29" s="231">
        <v>28009612.640000001</v>
      </c>
      <c r="EP29" s="231">
        <v>1026207.64</v>
      </c>
      <c r="EQ29" s="229">
        <v>3.6600000000000001E-2</v>
      </c>
      <c r="ER29" s="231">
        <v>7770524</v>
      </c>
      <c r="ES29" s="231">
        <v>6293276</v>
      </c>
      <c r="ET29" s="231">
        <v>1291064</v>
      </c>
      <c r="EU29" s="228">
        <v>0</v>
      </c>
      <c r="EV29" s="231">
        <v>15354865</v>
      </c>
      <c r="EW29" s="231">
        <v>14168562</v>
      </c>
      <c r="EX29" s="231">
        <v>1186303</v>
      </c>
      <c r="EY29" s="229">
        <v>8.3699999999999997E-2</v>
      </c>
      <c r="EZ29" s="229">
        <v>0</v>
      </c>
      <c r="FA29" s="227" t="s">
        <v>566</v>
      </c>
      <c r="FB29" s="161">
        <f t="shared" si="0"/>
        <v>237330</v>
      </c>
    </row>
    <row r="30" spans="1:158" ht="17.25" thickBot="1" x14ac:dyDescent="0.3">
      <c r="A30" s="226">
        <v>46146</v>
      </c>
      <c r="B30" s="227" t="s">
        <v>184</v>
      </c>
      <c r="C30" s="227" t="s">
        <v>668</v>
      </c>
      <c r="D30" s="228">
        <v>350</v>
      </c>
      <c r="E30" s="231">
        <v>1377.2</v>
      </c>
      <c r="F30" s="231">
        <v>1368.6</v>
      </c>
      <c r="G30" s="228">
        <v>8.6</v>
      </c>
      <c r="H30" s="229">
        <v>6.3E-3</v>
      </c>
      <c r="I30" s="231">
        <v>1372.4</v>
      </c>
      <c r="J30" s="231">
        <v>1364.1</v>
      </c>
      <c r="K30" s="228">
        <v>8.3000000000000007</v>
      </c>
      <c r="L30" s="229">
        <v>6.1000000000000004E-3</v>
      </c>
      <c r="M30" s="231">
        <v>1377.2</v>
      </c>
      <c r="N30" s="231">
        <v>1368.6</v>
      </c>
      <c r="O30" s="228">
        <v>8.6</v>
      </c>
      <c r="P30" s="229">
        <v>6.3E-3</v>
      </c>
      <c r="Q30" s="231">
        <v>1368.2</v>
      </c>
      <c r="R30" s="231">
        <v>1358.1</v>
      </c>
      <c r="S30" s="228">
        <v>10.1</v>
      </c>
      <c r="T30" s="229">
        <v>7.4000000000000003E-3</v>
      </c>
      <c r="U30" s="231">
        <v>1355</v>
      </c>
      <c r="V30" s="231">
        <v>1357.8</v>
      </c>
      <c r="W30" s="228">
        <v>-2.8</v>
      </c>
      <c r="X30" s="229">
        <v>-2.0999999999999999E-3</v>
      </c>
      <c r="Y30" s="228">
        <v>4.8</v>
      </c>
      <c r="Z30" s="228">
        <v>4.5</v>
      </c>
      <c r="AA30" s="228">
        <v>0.3</v>
      </c>
      <c r="AB30" s="229">
        <v>3.5000000000000001E-3</v>
      </c>
      <c r="AC30" s="228">
        <v>4.8</v>
      </c>
      <c r="AD30" s="228">
        <v>4.5</v>
      </c>
      <c r="AE30" s="228">
        <v>0.3</v>
      </c>
      <c r="AF30" s="229">
        <v>3.5000000000000001E-3</v>
      </c>
      <c r="AG30" s="228">
        <v>-4.2</v>
      </c>
      <c r="AH30" s="228">
        <v>-6</v>
      </c>
      <c r="AI30" s="228">
        <v>1.8</v>
      </c>
      <c r="AJ30" s="229">
        <v>-3.0999999999999999E-3</v>
      </c>
      <c r="AK30" s="228">
        <v>-17.399999999999999</v>
      </c>
      <c r="AL30" s="228">
        <v>-6.3</v>
      </c>
      <c r="AM30" s="228">
        <v>-11.1</v>
      </c>
      <c r="AN30" s="229">
        <v>-1.2699999999999999E-2</v>
      </c>
      <c r="AO30" s="231">
        <v>1374.34</v>
      </c>
      <c r="AP30" s="231">
        <v>1364.69</v>
      </c>
      <c r="AQ30" s="228">
        <v>0</v>
      </c>
      <c r="AR30" s="230">
        <v>1135050</v>
      </c>
      <c r="AS30" s="230">
        <v>1014650</v>
      </c>
      <c r="AT30" s="230">
        <v>120400</v>
      </c>
      <c r="AU30" s="229">
        <v>0.1187</v>
      </c>
      <c r="AV30" s="230">
        <v>1063300</v>
      </c>
      <c r="AW30" s="230">
        <v>920850</v>
      </c>
      <c r="AX30" s="230">
        <v>142450</v>
      </c>
      <c r="AY30" s="229">
        <v>0.1547</v>
      </c>
      <c r="AZ30" s="230">
        <v>70000</v>
      </c>
      <c r="BA30" s="230">
        <v>89950</v>
      </c>
      <c r="BB30" s="230">
        <v>-19950</v>
      </c>
      <c r="BC30" s="229">
        <v>-0.2218</v>
      </c>
      <c r="BD30" s="230">
        <v>1750</v>
      </c>
      <c r="BE30" s="230">
        <v>3850</v>
      </c>
      <c r="BF30" s="230">
        <v>-2100</v>
      </c>
      <c r="BG30" s="229">
        <v>-0.54549999999999998</v>
      </c>
      <c r="BH30" s="230">
        <v>2811550</v>
      </c>
      <c r="BI30" s="230">
        <v>1550150</v>
      </c>
      <c r="BJ30" s="230">
        <v>1261400</v>
      </c>
      <c r="BK30" s="229">
        <v>0.81369999999999998</v>
      </c>
      <c r="BL30" s="230">
        <v>866600</v>
      </c>
      <c r="BM30" s="230">
        <v>1119650</v>
      </c>
      <c r="BN30" s="230">
        <v>-253050</v>
      </c>
      <c r="BO30" s="229">
        <v>-0.22600000000000001</v>
      </c>
      <c r="BP30" s="230">
        <v>4813200</v>
      </c>
      <c r="BQ30" s="230">
        <v>3684450</v>
      </c>
      <c r="BR30" s="230">
        <v>1128750</v>
      </c>
      <c r="BS30" s="229">
        <v>0.30640000000000001</v>
      </c>
      <c r="BT30" s="230">
        <v>1088037</v>
      </c>
      <c r="BU30" s="230">
        <v>1435135</v>
      </c>
      <c r="BV30" s="230">
        <v>-347098</v>
      </c>
      <c r="BW30" s="229">
        <v>-0.2419</v>
      </c>
      <c r="BX30" s="230">
        <v>3347100</v>
      </c>
      <c r="BY30" s="230">
        <v>3493100</v>
      </c>
      <c r="BZ30" s="230">
        <v>-146000</v>
      </c>
      <c r="CA30" s="229">
        <v>-4.1799999999999997E-2</v>
      </c>
      <c r="CB30" s="230">
        <v>3098200</v>
      </c>
      <c r="CC30" s="230">
        <v>3250100</v>
      </c>
      <c r="CD30" s="230">
        <v>-151900</v>
      </c>
      <c r="CE30" s="229">
        <v>-4.6699999999999998E-2</v>
      </c>
      <c r="CF30" s="230">
        <v>232750</v>
      </c>
      <c r="CG30" s="230">
        <v>228550</v>
      </c>
      <c r="CH30" s="230">
        <v>4200</v>
      </c>
      <c r="CI30" s="229">
        <v>1.84E-2</v>
      </c>
      <c r="CJ30" s="230">
        <v>16150</v>
      </c>
      <c r="CK30" s="230">
        <v>14450</v>
      </c>
      <c r="CL30" s="230">
        <v>1700</v>
      </c>
      <c r="CM30" s="229">
        <v>0.1176</v>
      </c>
      <c r="CN30" s="230">
        <v>2024750</v>
      </c>
      <c r="CO30" s="230">
        <v>1788150</v>
      </c>
      <c r="CP30" s="230">
        <v>236600</v>
      </c>
      <c r="CQ30" s="229">
        <v>0.1323</v>
      </c>
      <c r="CR30" s="230">
        <v>1095150</v>
      </c>
      <c r="CS30" s="230">
        <v>1010100</v>
      </c>
      <c r="CT30" s="230">
        <v>85050</v>
      </c>
      <c r="CU30" s="229">
        <v>8.4199999999999997E-2</v>
      </c>
      <c r="CV30" s="230">
        <v>6467000</v>
      </c>
      <c r="CW30" s="230">
        <v>6291350</v>
      </c>
      <c r="CX30" s="230">
        <v>175650</v>
      </c>
      <c r="CY30" s="229">
        <v>2.7900000000000001E-2</v>
      </c>
      <c r="CZ30" s="228">
        <v>43.8</v>
      </c>
      <c r="DA30" s="228">
        <v>44.08</v>
      </c>
      <c r="DB30" s="228">
        <v>-0.28000000000000003</v>
      </c>
      <c r="DC30" s="228">
        <v>-0.28000000000000003</v>
      </c>
      <c r="DD30" s="228">
        <v>52.47</v>
      </c>
      <c r="DE30" s="228">
        <v>52.59</v>
      </c>
      <c r="DF30" s="228">
        <v>-8.67</v>
      </c>
      <c r="DG30" s="228">
        <v>-0.12</v>
      </c>
      <c r="DH30" s="228">
        <v>43.63</v>
      </c>
      <c r="DI30" s="228">
        <v>42.69</v>
      </c>
      <c r="DJ30" s="228">
        <v>0.94</v>
      </c>
      <c r="DK30" s="228">
        <v>0.94</v>
      </c>
      <c r="DL30" s="228">
        <v>44.32</v>
      </c>
      <c r="DM30" s="228">
        <v>46.01</v>
      </c>
      <c r="DN30" s="228">
        <v>-1.69</v>
      </c>
      <c r="DO30" s="228">
        <v>-1.69</v>
      </c>
      <c r="DP30" s="228">
        <v>0.54</v>
      </c>
      <c r="DQ30" s="228">
        <v>0.56000000000000005</v>
      </c>
      <c r="DR30" s="228">
        <v>-0.02</v>
      </c>
      <c r="DS30" s="229">
        <v>-3.5700000000000003E-2</v>
      </c>
      <c r="DT30" s="231">
        <v>1400</v>
      </c>
      <c r="DU30" s="231">
        <v>1400</v>
      </c>
      <c r="DV30" s="228">
        <v>0.31</v>
      </c>
      <c r="DW30" s="228">
        <v>0.72</v>
      </c>
      <c r="DX30" s="228">
        <v>-0.41</v>
      </c>
      <c r="DY30" s="229">
        <v>-0.56940000000000002</v>
      </c>
      <c r="DZ30" s="229">
        <v>7.4399999999999994E-2</v>
      </c>
      <c r="EA30" s="230">
        <v>243000</v>
      </c>
      <c r="EB30" s="229">
        <v>-6.4999999999999997E-3</v>
      </c>
      <c r="EC30" s="229">
        <v>7.4399999999999994E-2</v>
      </c>
      <c r="ED30" s="228">
        <v>-9.65</v>
      </c>
      <c r="EE30" s="229">
        <v>-7.0000000000000001E-3</v>
      </c>
      <c r="EF30" s="230">
        <v>264770</v>
      </c>
      <c r="EG30" s="230">
        <v>558724</v>
      </c>
      <c r="EH30" s="229">
        <v>-0.52610000000000001</v>
      </c>
      <c r="EI30" s="229">
        <v>0.24329999999999999</v>
      </c>
      <c r="EJ30" s="231">
        <v>41858.300000000003</v>
      </c>
      <c r="EK30" s="231">
        <v>11838.26</v>
      </c>
      <c r="EL30" s="231">
        <v>15597.67</v>
      </c>
      <c r="EM30" s="231">
        <v>5588</v>
      </c>
      <c r="EN30" s="231">
        <v>69294.23</v>
      </c>
      <c r="EO30" s="231">
        <v>51134.77</v>
      </c>
      <c r="EP30" s="231">
        <v>18159.46</v>
      </c>
      <c r="EQ30" s="229">
        <v>0.35510000000000003</v>
      </c>
      <c r="ER30" s="231">
        <v>29513</v>
      </c>
      <c r="ES30" s="231">
        <v>14966</v>
      </c>
      <c r="ET30" s="231">
        <v>46072</v>
      </c>
      <c r="EU30" s="231">
        <v>13786716</v>
      </c>
      <c r="EV30" s="231">
        <v>90551</v>
      </c>
      <c r="EW30" s="231">
        <v>87710</v>
      </c>
      <c r="EX30" s="231">
        <v>2841</v>
      </c>
      <c r="EY30" s="229">
        <v>3.2399999999999998E-2</v>
      </c>
      <c r="EZ30" s="229">
        <v>0.46910000000000002</v>
      </c>
      <c r="FA30" s="227" t="s">
        <v>691</v>
      </c>
      <c r="FB30" s="161">
        <f t="shared" si="0"/>
        <v>248900</v>
      </c>
    </row>
    <row r="31" spans="1:158" ht="17.25" thickBot="1" x14ac:dyDescent="0.3">
      <c r="A31" s="226">
        <v>46146</v>
      </c>
      <c r="B31" s="227" t="s">
        <v>184</v>
      </c>
      <c r="C31" s="227" t="s">
        <v>185</v>
      </c>
      <c r="D31" s="228">
        <v>1425</v>
      </c>
      <c r="E31" s="228">
        <v>435.75</v>
      </c>
      <c r="F31" s="228">
        <v>433.95</v>
      </c>
      <c r="G31" s="228">
        <v>1.8</v>
      </c>
      <c r="H31" s="229">
        <v>4.1000000000000003E-3</v>
      </c>
      <c r="I31" s="228">
        <v>433.55</v>
      </c>
      <c r="J31" s="228">
        <v>431.3</v>
      </c>
      <c r="K31" s="228">
        <v>2.25</v>
      </c>
      <c r="L31" s="229">
        <v>5.1999999999999998E-3</v>
      </c>
      <c r="M31" s="228">
        <v>435.75</v>
      </c>
      <c r="N31" s="228">
        <v>433.95</v>
      </c>
      <c r="O31" s="228">
        <v>1.8</v>
      </c>
      <c r="P31" s="229">
        <v>4.1000000000000003E-3</v>
      </c>
      <c r="Q31" s="228">
        <v>438.8</v>
      </c>
      <c r="R31" s="228">
        <v>436.6</v>
      </c>
      <c r="S31" s="228">
        <v>2.2000000000000002</v>
      </c>
      <c r="T31" s="229">
        <v>5.0000000000000001E-3</v>
      </c>
      <c r="U31" s="228">
        <v>440.75</v>
      </c>
      <c r="V31" s="228">
        <v>438.6</v>
      </c>
      <c r="W31" s="228">
        <v>2.15</v>
      </c>
      <c r="X31" s="229">
        <v>4.8999999999999998E-3</v>
      </c>
      <c r="Y31" s="228">
        <v>2.2000000000000002</v>
      </c>
      <c r="Z31" s="228">
        <v>2.65</v>
      </c>
      <c r="AA31" s="228">
        <v>-0.45</v>
      </c>
      <c r="AB31" s="229">
        <v>5.1000000000000004E-3</v>
      </c>
      <c r="AC31" s="228">
        <v>2.2000000000000002</v>
      </c>
      <c r="AD31" s="228">
        <v>2.65</v>
      </c>
      <c r="AE31" s="228">
        <v>-0.45</v>
      </c>
      <c r="AF31" s="229">
        <v>5.1000000000000004E-3</v>
      </c>
      <c r="AG31" s="228">
        <v>5.25</v>
      </c>
      <c r="AH31" s="228">
        <v>5.3</v>
      </c>
      <c r="AI31" s="228">
        <v>-0.05</v>
      </c>
      <c r="AJ31" s="229">
        <v>1.21E-2</v>
      </c>
      <c r="AK31" s="228">
        <v>7.2</v>
      </c>
      <c r="AL31" s="228">
        <v>7.3</v>
      </c>
      <c r="AM31" s="228">
        <v>-0.1</v>
      </c>
      <c r="AN31" s="229">
        <v>1.66E-2</v>
      </c>
      <c r="AO31" s="228">
        <v>436.9</v>
      </c>
      <c r="AP31" s="228">
        <v>439.89</v>
      </c>
      <c r="AQ31" s="228">
        <v>0</v>
      </c>
      <c r="AR31" s="230">
        <v>11733450</v>
      </c>
      <c r="AS31" s="230">
        <v>14319825</v>
      </c>
      <c r="AT31" s="230">
        <v>-2586375</v>
      </c>
      <c r="AU31" s="229">
        <v>-0.18060000000000001</v>
      </c>
      <c r="AV31" s="230">
        <v>10627650</v>
      </c>
      <c r="AW31" s="230">
        <v>12638325</v>
      </c>
      <c r="AX31" s="230">
        <v>-2010675</v>
      </c>
      <c r="AY31" s="229">
        <v>-0.15909999999999999</v>
      </c>
      <c r="AZ31" s="230">
        <v>1018875</v>
      </c>
      <c r="BA31" s="230">
        <v>1419300</v>
      </c>
      <c r="BB31" s="230">
        <v>-400425</v>
      </c>
      <c r="BC31" s="229">
        <v>-0.28210000000000002</v>
      </c>
      <c r="BD31" s="230">
        <v>86925</v>
      </c>
      <c r="BE31" s="230">
        <v>262200</v>
      </c>
      <c r="BF31" s="230">
        <v>-175275</v>
      </c>
      <c r="BG31" s="229">
        <v>-0.66849999999999998</v>
      </c>
      <c r="BH31" s="230">
        <v>33467550</v>
      </c>
      <c r="BI31" s="230">
        <v>35952750</v>
      </c>
      <c r="BJ31" s="230">
        <v>-2485200</v>
      </c>
      <c r="BK31" s="229">
        <v>-6.9099999999999995E-2</v>
      </c>
      <c r="BL31" s="230">
        <v>14573475</v>
      </c>
      <c r="BM31" s="230">
        <v>16236450</v>
      </c>
      <c r="BN31" s="230">
        <v>-1662975</v>
      </c>
      <c r="BO31" s="229">
        <v>-0.1024</v>
      </c>
      <c r="BP31" s="230">
        <v>59774475</v>
      </c>
      <c r="BQ31" s="230">
        <v>66509025</v>
      </c>
      <c r="BR31" s="230">
        <v>-6734550</v>
      </c>
      <c r="BS31" s="229">
        <v>-0.1013</v>
      </c>
      <c r="BT31" s="230">
        <v>11400449</v>
      </c>
      <c r="BU31" s="230">
        <v>16832898</v>
      </c>
      <c r="BV31" s="230">
        <v>-5432449</v>
      </c>
      <c r="BW31" s="229">
        <v>-0.32269999999999999</v>
      </c>
      <c r="BX31" s="230">
        <v>115098675</v>
      </c>
      <c r="BY31" s="230">
        <v>113458500</v>
      </c>
      <c r="BZ31" s="230">
        <v>1640175</v>
      </c>
      <c r="CA31" s="229">
        <v>1.4500000000000001E-2</v>
      </c>
      <c r="CB31" s="230">
        <v>101176425</v>
      </c>
      <c r="CC31" s="230">
        <v>100097700</v>
      </c>
      <c r="CD31" s="230">
        <v>1078725</v>
      </c>
      <c r="CE31" s="229">
        <v>1.0800000000000001E-2</v>
      </c>
      <c r="CF31" s="230">
        <v>13718475</v>
      </c>
      <c r="CG31" s="230">
        <v>13189800</v>
      </c>
      <c r="CH31" s="230">
        <v>528675</v>
      </c>
      <c r="CI31" s="229">
        <v>4.0099999999999997E-2</v>
      </c>
      <c r="CJ31" s="230">
        <v>203775</v>
      </c>
      <c r="CK31" s="230">
        <v>171000</v>
      </c>
      <c r="CL31" s="230">
        <v>32775</v>
      </c>
      <c r="CM31" s="229">
        <v>0.19170000000000001</v>
      </c>
      <c r="CN31" s="230">
        <v>37753950</v>
      </c>
      <c r="CO31" s="230">
        <v>33574425</v>
      </c>
      <c r="CP31" s="230">
        <v>4179525</v>
      </c>
      <c r="CQ31" s="229">
        <v>0.1245</v>
      </c>
      <c r="CR31" s="230">
        <v>23754750</v>
      </c>
      <c r="CS31" s="230">
        <v>21986325</v>
      </c>
      <c r="CT31" s="230">
        <v>1768425</v>
      </c>
      <c r="CU31" s="229">
        <v>8.0399999999999999E-2</v>
      </c>
      <c r="CV31" s="230">
        <v>176607375</v>
      </c>
      <c r="CW31" s="230">
        <v>169019250</v>
      </c>
      <c r="CX31" s="230">
        <v>7588125</v>
      </c>
      <c r="CY31" s="229">
        <v>4.4900000000000002E-2</v>
      </c>
      <c r="CZ31" s="228">
        <v>34.32</v>
      </c>
      <c r="DA31" s="228">
        <v>33.840000000000003</v>
      </c>
      <c r="DB31" s="228">
        <v>0.48</v>
      </c>
      <c r="DC31" s="228">
        <v>0.48</v>
      </c>
      <c r="DD31" s="228">
        <v>36.6</v>
      </c>
      <c r="DE31" s="228">
        <v>36.69</v>
      </c>
      <c r="DF31" s="228">
        <v>-2.2799999999999998</v>
      </c>
      <c r="DG31" s="228">
        <v>-0.09</v>
      </c>
      <c r="DH31" s="228">
        <v>34.409999999999997</v>
      </c>
      <c r="DI31" s="228">
        <v>34.03</v>
      </c>
      <c r="DJ31" s="228">
        <v>0.38</v>
      </c>
      <c r="DK31" s="228">
        <v>0.38</v>
      </c>
      <c r="DL31" s="228">
        <v>34.130000000000003</v>
      </c>
      <c r="DM31" s="228">
        <v>33.409999999999997</v>
      </c>
      <c r="DN31" s="228">
        <v>0.72</v>
      </c>
      <c r="DO31" s="228">
        <v>0.72</v>
      </c>
      <c r="DP31" s="228">
        <v>0.63</v>
      </c>
      <c r="DQ31" s="228">
        <v>0.65</v>
      </c>
      <c r="DR31" s="228">
        <v>-0.02</v>
      </c>
      <c r="DS31" s="229">
        <v>-3.0800000000000001E-2</v>
      </c>
      <c r="DT31" s="228">
        <v>450</v>
      </c>
      <c r="DU31" s="228">
        <v>430</v>
      </c>
      <c r="DV31" s="228">
        <v>0.44</v>
      </c>
      <c r="DW31" s="228">
        <v>0.45</v>
      </c>
      <c r="DX31" s="228">
        <v>-0.01</v>
      </c>
      <c r="DY31" s="229">
        <v>-2.2200000000000001E-2</v>
      </c>
      <c r="DZ31" s="229">
        <v>0.121</v>
      </c>
      <c r="EA31" s="230">
        <v>13360800</v>
      </c>
      <c r="EB31" s="229">
        <v>7.0000000000000001E-3</v>
      </c>
      <c r="EC31" s="229">
        <v>0.121</v>
      </c>
      <c r="ED31" s="228">
        <v>2.99</v>
      </c>
      <c r="EE31" s="229">
        <v>6.7999999999999996E-3</v>
      </c>
      <c r="EF31" s="230">
        <v>5310093</v>
      </c>
      <c r="EG31" s="230">
        <v>8873566</v>
      </c>
      <c r="EH31" s="229">
        <v>-0.40160000000000001</v>
      </c>
      <c r="EI31" s="229">
        <v>0.46579999999999999</v>
      </c>
      <c r="EJ31" s="231">
        <v>156287.65</v>
      </c>
      <c r="EK31" s="231">
        <v>62352.66</v>
      </c>
      <c r="EL31" s="231">
        <v>51298.9</v>
      </c>
      <c r="EM31" s="231">
        <v>23380</v>
      </c>
      <c r="EN31" s="231">
        <v>269939.21000000002</v>
      </c>
      <c r="EO31" s="231">
        <v>299071.12</v>
      </c>
      <c r="EP31" s="231">
        <v>-29131.91</v>
      </c>
      <c r="EQ31" s="229">
        <v>-9.74E-2</v>
      </c>
      <c r="ER31" s="231">
        <v>175107</v>
      </c>
      <c r="ES31" s="231">
        <v>101076</v>
      </c>
      <c r="ET31" s="231">
        <v>501971</v>
      </c>
      <c r="EU31" s="231">
        <v>535778534</v>
      </c>
      <c r="EV31" s="231">
        <v>778154</v>
      </c>
      <c r="EW31" s="231">
        <v>742233</v>
      </c>
      <c r="EX31" s="231">
        <v>35921</v>
      </c>
      <c r="EY31" s="229">
        <v>4.8399999999999999E-2</v>
      </c>
      <c r="EZ31" s="229">
        <v>0.3296</v>
      </c>
      <c r="FA31" s="227" t="s">
        <v>555</v>
      </c>
      <c r="FB31" s="161">
        <f t="shared" si="0"/>
        <v>13922250</v>
      </c>
    </row>
    <row r="32" spans="1:158" ht="17.25" thickBot="1" x14ac:dyDescent="0.3">
      <c r="A32" s="226">
        <v>46146</v>
      </c>
      <c r="B32" s="227" t="s">
        <v>162</v>
      </c>
      <c r="C32" s="227" t="s">
        <v>187</v>
      </c>
      <c r="D32" s="228">
        <v>500</v>
      </c>
      <c r="E32" s="231">
        <v>1847.4</v>
      </c>
      <c r="F32" s="231">
        <v>1891.5</v>
      </c>
      <c r="G32" s="228">
        <v>-44.1</v>
      </c>
      <c r="H32" s="229">
        <v>-2.3300000000000001E-2</v>
      </c>
      <c r="I32" s="231">
        <v>1845.8</v>
      </c>
      <c r="J32" s="231">
        <v>1881.6</v>
      </c>
      <c r="K32" s="228">
        <v>-35.799999999999997</v>
      </c>
      <c r="L32" s="229">
        <v>-1.9E-2</v>
      </c>
      <c r="M32" s="231">
        <v>1847.4</v>
      </c>
      <c r="N32" s="231">
        <v>1891.5</v>
      </c>
      <c r="O32" s="228">
        <v>-44.1</v>
      </c>
      <c r="P32" s="229">
        <v>-2.3300000000000001E-2</v>
      </c>
      <c r="Q32" s="231">
        <v>1851.8</v>
      </c>
      <c r="R32" s="231">
        <v>1897.4</v>
      </c>
      <c r="S32" s="228">
        <v>-45.6</v>
      </c>
      <c r="T32" s="229">
        <v>-2.4E-2</v>
      </c>
      <c r="U32" s="231">
        <v>1872.6</v>
      </c>
      <c r="V32" s="231">
        <v>1904.5</v>
      </c>
      <c r="W32" s="228">
        <v>-31.9</v>
      </c>
      <c r="X32" s="229">
        <v>-1.67E-2</v>
      </c>
      <c r="Y32" s="228">
        <v>1.6</v>
      </c>
      <c r="Z32" s="228">
        <v>9.9</v>
      </c>
      <c r="AA32" s="228">
        <v>-8.3000000000000007</v>
      </c>
      <c r="AB32" s="229">
        <v>8.9999999999999998E-4</v>
      </c>
      <c r="AC32" s="228">
        <v>1.6</v>
      </c>
      <c r="AD32" s="228">
        <v>9.9</v>
      </c>
      <c r="AE32" s="228">
        <v>-8.3000000000000007</v>
      </c>
      <c r="AF32" s="229">
        <v>8.9999999999999998E-4</v>
      </c>
      <c r="AG32" s="228">
        <v>6</v>
      </c>
      <c r="AH32" s="228">
        <v>15.8</v>
      </c>
      <c r="AI32" s="228">
        <v>-9.8000000000000007</v>
      </c>
      <c r="AJ32" s="229">
        <v>3.3E-3</v>
      </c>
      <c r="AK32" s="228">
        <v>26.8</v>
      </c>
      <c r="AL32" s="228">
        <v>22.9</v>
      </c>
      <c r="AM32" s="228">
        <v>3.9</v>
      </c>
      <c r="AN32" s="229">
        <v>1.4500000000000001E-2</v>
      </c>
      <c r="AO32" s="231">
        <v>1867.41</v>
      </c>
      <c r="AP32" s="231">
        <v>1868.75</v>
      </c>
      <c r="AQ32" s="228">
        <v>0</v>
      </c>
      <c r="AR32" s="230">
        <v>1843000</v>
      </c>
      <c r="AS32" s="230">
        <v>1835000</v>
      </c>
      <c r="AT32" s="230">
        <v>8000</v>
      </c>
      <c r="AU32" s="229">
        <v>4.4000000000000003E-3</v>
      </c>
      <c r="AV32" s="230">
        <v>1796000</v>
      </c>
      <c r="AW32" s="230">
        <v>1781000</v>
      </c>
      <c r="AX32" s="230">
        <v>15000</v>
      </c>
      <c r="AY32" s="229">
        <v>8.3999999999999995E-3</v>
      </c>
      <c r="AZ32" s="230">
        <v>42500</v>
      </c>
      <c r="BA32" s="230">
        <v>50000</v>
      </c>
      <c r="BB32" s="230">
        <v>-7500</v>
      </c>
      <c r="BC32" s="229">
        <v>-0.15</v>
      </c>
      <c r="BD32" s="230">
        <v>4500</v>
      </c>
      <c r="BE32" s="230">
        <v>4000</v>
      </c>
      <c r="BF32" s="228">
        <v>500</v>
      </c>
      <c r="BG32" s="229">
        <v>0.125</v>
      </c>
      <c r="BH32" s="230">
        <v>4147500</v>
      </c>
      <c r="BI32" s="230">
        <v>2866000</v>
      </c>
      <c r="BJ32" s="230">
        <v>1281500</v>
      </c>
      <c r="BK32" s="229">
        <v>0.4471</v>
      </c>
      <c r="BL32" s="230">
        <v>2898500</v>
      </c>
      <c r="BM32" s="230">
        <v>2394000</v>
      </c>
      <c r="BN32" s="230">
        <v>504500</v>
      </c>
      <c r="BO32" s="229">
        <v>0.2107</v>
      </c>
      <c r="BP32" s="230">
        <v>8889000</v>
      </c>
      <c r="BQ32" s="230">
        <v>7095000</v>
      </c>
      <c r="BR32" s="230">
        <v>1794000</v>
      </c>
      <c r="BS32" s="229">
        <v>0.25290000000000001</v>
      </c>
      <c r="BT32" s="230">
        <v>1068221</v>
      </c>
      <c r="BU32" s="230">
        <v>2105457</v>
      </c>
      <c r="BV32" s="230">
        <v>-1037236</v>
      </c>
      <c r="BW32" s="229">
        <v>-0.49259999999999998</v>
      </c>
      <c r="BX32" s="230">
        <v>7519000</v>
      </c>
      <c r="BY32" s="230">
        <v>7517000</v>
      </c>
      <c r="BZ32" s="230">
        <v>2000</v>
      </c>
      <c r="CA32" s="229">
        <v>2.9999999999999997E-4</v>
      </c>
      <c r="CB32" s="230">
        <v>7436000</v>
      </c>
      <c r="CC32" s="230">
        <v>7447000</v>
      </c>
      <c r="CD32" s="230">
        <v>-11000</v>
      </c>
      <c r="CE32" s="229">
        <v>-1.5E-3</v>
      </c>
      <c r="CF32" s="230">
        <v>76500</v>
      </c>
      <c r="CG32" s="230">
        <v>67000</v>
      </c>
      <c r="CH32" s="230">
        <v>9500</v>
      </c>
      <c r="CI32" s="229">
        <v>0.14180000000000001</v>
      </c>
      <c r="CJ32" s="230">
        <v>6500</v>
      </c>
      <c r="CK32" s="230">
        <v>3000</v>
      </c>
      <c r="CL32" s="230">
        <v>3500</v>
      </c>
      <c r="CM32" s="229">
        <v>1.1667000000000001</v>
      </c>
      <c r="CN32" s="230">
        <v>2401500</v>
      </c>
      <c r="CO32" s="230">
        <v>1761000</v>
      </c>
      <c r="CP32" s="230">
        <v>640500</v>
      </c>
      <c r="CQ32" s="229">
        <v>0.36370000000000002</v>
      </c>
      <c r="CR32" s="230">
        <v>1550500</v>
      </c>
      <c r="CS32" s="230">
        <v>1378000</v>
      </c>
      <c r="CT32" s="230">
        <v>172500</v>
      </c>
      <c r="CU32" s="229">
        <v>0.12520000000000001</v>
      </c>
      <c r="CV32" s="230">
        <v>11471000</v>
      </c>
      <c r="CW32" s="230">
        <v>10656000</v>
      </c>
      <c r="CX32" s="230">
        <v>815000</v>
      </c>
      <c r="CY32" s="229">
        <v>7.6499999999999999E-2</v>
      </c>
      <c r="CZ32" s="228">
        <v>40.97</v>
      </c>
      <c r="DA32" s="228">
        <v>38.03</v>
      </c>
      <c r="DB32" s="228">
        <v>2.94</v>
      </c>
      <c r="DC32" s="228">
        <v>2.94</v>
      </c>
      <c r="DD32" s="228">
        <v>39.29</v>
      </c>
      <c r="DE32" s="228">
        <v>39.26</v>
      </c>
      <c r="DF32" s="228">
        <v>1.68</v>
      </c>
      <c r="DG32" s="228">
        <v>0.03</v>
      </c>
      <c r="DH32" s="228">
        <v>40.869999999999997</v>
      </c>
      <c r="DI32" s="228">
        <v>38.11</v>
      </c>
      <c r="DJ32" s="228">
        <v>2.76</v>
      </c>
      <c r="DK32" s="228">
        <v>2.76</v>
      </c>
      <c r="DL32" s="228">
        <v>41.1</v>
      </c>
      <c r="DM32" s="228">
        <v>37.93</v>
      </c>
      <c r="DN32" s="228">
        <v>3.17</v>
      </c>
      <c r="DO32" s="228">
        <v>3.17</v>
      </c>
      <c r="DP32" s="228">
        <v>0.65</v>
      </c>
      <c r="DQ32" s="228">
        <v>0.78</v>
      </c>
      <c r="DR32" s="228">
        <v>-0.13</v>
      </c>
      <c r="DS32" s="229">
        <v>-0.16669999999999999</v>
      </c>
      <c r="DT32" s="231">
        <v>2000</v>
      </c>
      <c r="DU32" s="231">
        <v>1800</v>
      </c>
      <c r="DV32" s="228">
        <v>0.7</v>
      </c>
      <c r="DW32" s="228">
        <v>0.84</v>
      </c>
      <c r="DX32" s="228">
        <v>-0.14000000000000001</v>
      </c>
      <c r="DY32" s="229">
        <v>-0.16669999999999999</v>
      </c>
      <c r="DZ32" s="229">
        <v>1.0999999999999999E-2</v>
      </c>
      <c r="EA32" s="230">
        <v>70000</v>
      </c>
      <c r="EB32" s="229">
        <v>2.3999999999999998E-3</v>
      </c>
      <c r="EC32" s="229">
        <v>1.0999999999999999E-2</v>
      </c>
      <c r="ED32" s="228">
        <v>1.34</v>
      </c>
      <c r="EE32" s="229">
        <v>6.9999999999999999E-4</v>
      </c>
      <c r="EF32" s="230">
        <v>501064</v>
      </c>
      <c r="EG32" s="230">
        <v>1167653</v>
      </c>
      <c r="EH32" s="229">
        <v>-0.57089999999999996</v>
      </c>
      <c r="EI32" s="229">
        <v>0.46910000000000002</v>
      </c>
      <c r="EJ32" s="231">
        <v>82531.649999999994</v>
      </c>
      <c r="EK32" s="231">
        <v>54720.54</v>
      </c>
      <c r="EL32" s="231">
        <v>34417.269999999997</v>
      </c>
      <c r="EM32" s="231">
        <v>8146</v>
      </c>
      <c r="EN32" s="231">
        <v>171669.46</v>
      </c>
      <c r="EO32" s="231">
        <v>136905.20000000001</v>
      </c>
      <c r="EP32" s="231">
        <v>34764.26</v>
      </c>
      <c r="EQ32" s="229">
        <v>0.25390000000000001</v>
      </c>
      <c r="ER32" s="231">
        <v>46279</v>
      </c>
      <c r="ES32" s="231">
        <v>27960</v>
      </c>
      <c r="ET32" s="231">
        <v>138911</v>
      </c>
      <c r="EU32" s="231">
        <v>40107751</v>
      </c>
      <c r="EV32" s="231">
        <v>213150</v>
      </c>
      <c r="EW32" s="231">
        <v>201012</v>
      </c>
      <c r="EX32" s="231">
        <v>12138</v>
      </c>
      <c r="EY32" s="229">
        <v>6.0400000000000002E-2</v>
      </c>
      <c r="EZ32" s="229">
        <v>0.28599999999999998</v>
      </c>
      <c r="FA32" s="227" t="s">
        <v>566</v>
      </c>
      <c r="FB32" s="161">
        <f t="shared" si="0"/>
        <v>83000</v>
      </c>
    </row>
    <row r="33" spans="1:158" ht="17.25" thickBot="1" x14ac:dyDescent="0.3">
      <c r="A33" s="226">
        <v>46146</v>
      </c>
      <c r="B33" s="227" t="s">
        <v>188</v>
      </c>
      <c r="C33" s="227" t="s">
        <v>189</v>
      </c>
      <c r="D33" s="228">
        <v>475</v>
      </c>
      <c r="E33" s="231">
        <v>1837.4</v>
      </c>
      <c r="F33" s="231">
        <v>1896.4</v>
      </c>
      <c r="G33" s="228">
        <v>-59</v>
      </c>
      <c r="H33" s="229">
        <v>-3.1099999999999999E-2</v>
      </c>
      <c r="I33" s="231">
        <v>1827.1</v>
      </c>
      <c r="J33" s="231">
        <v>1886.8</v>
      </c>
      <c r="K33" s="228">
        <v>-59.7</v>
      </c>
      <c r="L33" s="229">
        <v>-3.1600000000000003E-2</v>
      </c>
      <c r="M33" s="231">
        <v>1837.4</v>
      </c>
      <c r="N33" s="231">
        <v>1896.4</v>
      </c>
      <c r="O33" s="228">
        <v>-59</v>
      </c>
      <c r="P33" s="229">
        <v>-3.1099999999999999E-2</v>
      </c>
      <c r="Q33" s="231">
        <v>1849</v>
      </c>
      <c r="R33" s="231">
        <v>1908.1</v>
      </c>
      <c r="S33" s="228">
        <v>-59.1</v>
      </c>
      <c r="T33" s="229">
        <v>-3.1E-2</v>
      </c>
      <c r="U33" s="231">
        <v>1856.3</v>
      </c>
      <c r="V33" s="231">
        <v>1916.1</v>
      </c>
      <c r="W33" s="228">
        <v>-59.8</v>
      </c>
      <c r="X33" s="229">
        <v>-3.1199999999999999E-2</v>
      </c>
      <c r="Y33" s="228">
        <v>10.3</v>
      </c>
      <c r="Z33" s="228">
        <v>9.6</v>
      </c>
      <c r="AA33" s="228">
        <v>0.7</v>
      </c>
      <c r="AB33" s="229">
        <v>5.5999999999999999E-3</v>
      </c>
      <c r="AC33" s="228">
        <v>10.3</v>
      </c>
      <c r="AD33" s="228">
        <v>9.6</v>
      </c>
      <c r="AE33" s="228">
        <v>0.7</v>
      </c>
      <c r="AF33" s="229">
        <v>5.5999999999999999E-3</v>
      </c>
      <c r="AG33" s="228">
        <v>21.9</v>
      </c>
      <c r="AH33" s="228">
        <v>21.3</v>
      </c>
      <c r="AI33" s="228">
        <v>0.6</v>
      </c>
      <c r="AJ33" s="229">
        <v>1.2E-2</v>
      </c>
      <c r="AK33" s="228">
        <v>29.2</v>
      </c>
      <c r="AL33" s="228">
        <v>29.3</v>
      </c>
      <c r="AM33" s="228">
        <v>-0.1</v>
      </c>
      <c r="AN33" s="229">
        <v>1.6E-2</v>
      </c>
      <c r="AO33" s="231">
        <v>1860.83</v>
      </c>
      <c r="AP33" s="231">
        <v>1869.43</v>
      </c>
      <c r="AQ33" s="228">
        <v>0</v>
      </c>
      <c r="AR33" s="230">
        <v>7514025</v>
      </c>
      <c r="AS33" s="230">
        <v>7372950</v>
      </c>
      <c r="AT33" s="230">
        <v>141075</v>
      </c>
      <c r="AU33" s="229">
        <v>1.9099999999999999E-2</v>
      </c>
      <c r="AV33" s="230">
        <v>6508450</v>
      </c>
      <c r="AW33" s="230">
        <v>7017175</v>
      </c>
      <c r="AX33" s="230">
        <v>-508725</v>
      </c>
      <c r="AY33" s="229">
        <v>-7.2499999999999995E-2</v>
      </c>
      <c r="AZ33" s="230">
        <v>924825</v>
      </c>
      <c r="BA33" s="230">
        <v>314450</v>
      </c>
      <c r="BB33" s="230">
        <v>610375</v>
      </c>
      <c r="BC33" s="229">
        <v>1.9411</v>
      </c>
      <c r="BD33" s="230">
        <v>80750</v>
      </c>
      <c r="BE33" s="230">
        <v>41325</v>
      </c>
      <c r="BF33" s="230">
        <v>39425</v>
      </c>
      <c r="BG33" s="229">
        <v>0.95399999999999996</v>
      </c>
      <c r="BH33" s="230">
        <v>22990000</v>
      </c>
      <c r="BI33" s="230">
        <v>18131225</v>
      </c>
      <c r="BJ33" s="230">
        <v>4858775</v>
      </c>
      <c r="BK33" s="229">
        <v>0.26800000000000002</v>
      </c>
      <c r="BL33" s="230">
        <v>13168900</v>
      </c>
      <c r="BM33" s="230">
        <v>8962775</v>
      </c>
      <c r="BN33" s="230">
        <v>4206125</v>
      </c>
      <c r="BO33" s="229">
        <v>0.46929999999999999</v>
      </c>
      <c r="BP33" s="230">
        <v>43672925</v>
      </c>
      <c r="BQ33" s="230">
        <v>34466950</v>
      </c>
      <c r="BR33" s="230">
        <v>9205975</v>
      </c>
      <c r="BS33" s="229">
        <v>0.2671</v>
      </c>
      <c r="BT33" s="230">
        <v>10938061</v>
      </c>
      <c r="BU33" s="230">
        <v>13462177</v>
      </c>
      <c r="BV33" s="230">
        <v>-2524116</v>
      </c>
      <c r="BW33" s="229">
        <v>-0.1875</v>
      </c>
      <c r="BX33" s="230">
        <v>60068975</v>
      </c>
      <c r="BY33" s="230">
        <v>57803225</v>
      </c>
      <c r="BZ33" s="230">
        <v>2265750</v>
      </c>
      <c r="CA33" s="229">
        <v>3.9199999999999999E-2</v>
      </c>
      <c r="CB33" s="230">
        <v>49968100</v>
      </c>
      <c r="CC33" s="230">
        <v>48462825</v>
      </c>
      <c r="CD33" s="230">
        <v>1505275</v>
      </c>
      <c r="CE33" s="229">
        <v>3.1099999999999999E-2</v>
      </c>
      <c r="CF33" s="230">
        <v>9981650</v>
      </c>
      <c r="CG33" s="230">
        <v>9291950</v>
      </c>
      <c r="CH33" s="230">
        <v>689700</v>
      </c>
      <c r="CI33" s="229">
        <v>7.4200000000000002E-2</v>
      </c>
      <c r="CJ33" s="230">
        <v>119225</v>
      </c>
      <c r="CK33" s="230">
        <v>48450</v>
      </c>
      <c r="CL33" s="230">
        <v>70775</v>
      </c>
      <c r="CM33" s="229">
        <v>1.4608000000000001</v>
      </c>
      <c r="CN33" s="230">
        <v>10427200</v>
      </c>
      <c r="CO33" s="230">
        <v>6701300</v>
      </c>
      <c r="CP33" s="230">
        <v>3725900</v>
      </c>
      <c r="CQ33" s="229">
        <v>0.55600000000000005</v>
      </c>
      <c r="CR33" s="230">
        <v>6569250</v>
      </c>
      <c r="CS33" s="230">
        <v>5547525</v>
      </c>
      <c r="CT33" s="230">
        <v>1021725</v>
      </c>
      <c r="CU33" s="229">
        <v>0.1842</v>
      </c>
      <c r="CV33" s="230">
        <v>77065425</v>
      </c>
      <c r="CW33" s="230">
        <v>70052050</v>
      </c>
      <c r="CX33" s="230">
        <v>7013375</v>
      </c>
      <c r="CY33" s="229">
        <v>0.10009999999999999</v>
      </c>
      <c r="CZ33" s="228">
        <v>25.09</v>
      </c>
      <c r="DA33" s="228">
        <v>22.35</v>
      </c>
      <c r="DB33" s="228">
        <v>2.74</v>
      </c>
      <c r="DC33" s="228">
        <v>2.74</v>
      </c>
      <c r="DD33" s="228">
        <v>24.46</v>
      </c>
      <c r="DE33" s="228">
        <v>24.13</v>
      </c>
      <c r="DF33" s="228">
        <v>0.63</v>
      </c>
      <c r="DG33" s="228">
        <v>0.33</v>
      </c>
      <c r="DH33" s="228">
        <v>25.25</v>
      </c>
      <c r="DI33" s="228">
        <v>22.03</v>
      </c>
      <c r="DJ33" s="228">
        <v>3.22</v>
      </c>
      <c r="DK33" s="228">
        <v>3.22</v>
      </c>
      <c r="DL33" s="228">
        <v>24.79</v>
      </c>
      <c r="DM33" s="228">
        <v>23</v>
      </c>
      <c r="DN33" s="228">
        <v>1.79</v>
      </c>
      <c r="DO33" s="228">
        <v>1.79</v>
      </c>
      <c r="DP33" s="228">
        <v>0.63</v>
      </c>
      <c r="DQ33" s="228">
        <v>0.83</v>
      </c>
      <c r="DR33" s="228">
        <v>-0.2</v>
      </c>
      <c r="DS33" s="229">
        <v>-0.24099999999999999</v>
      </c>
      <c r="DT33" s="231">
        <v>1900</v>
      </c>
      <c r="DU33" s="231">
        <v>1860</v>
      </c>
      <c r="DV33" s="228">
        <v>0.56999999999999995</v>
      </c>
      <c r="DW33" s="228">
        <v>0.49</v>
      </c>
      <c r="DX33" s="228">
        <v>0.08</v>
      </c>
      <c r="DY33" s="229">
        <v>0.1633</v>
      </c>
      <c r="DZ33" s="229">
        <v>0.16819999999999999</v>
      </c>
      <c r="EA33" s="230">
        <v>9340400</v>
      </c>
      <c r="EB33" s="229">
        <v>6.3E-3</v>
      </c>
      <c r="EC33" s="229">
        <v>0.16819999999999999</v>
      </c>
      <c r="ED33" s="228">
        <v>8.6</v>
      </c>
      <c r="EE33" s="229">
        <v>4.5999999999999999E-3</v>
      </c>
      <c r="EF33" s="230">
        <v>6908345</v>
      </c>
      <c r="EG33" s="230">
        <v>7325727</v>
      </c>
      <c r="EH33" s="229">
        <v>-5.7000000000000002E-2</v>
      </c>
      <c r="EI33" s="229">
        <v>0.63160000000000005</v>
      </c>
      <c r="EJ33" s="231">
        <v>448423.1</v>
      </c>
      <c r="EK33" s="231">
        <v>243432.08</v>
      </c>
      <c r="EL33" s="231">
        <v>139919.45000000001</v>
      </c>
      <c r="EM33" s="231">
        <v>30236</v>
      </c>
      <c r="EN33" s="231">
        <v>831774.63</v>
      </c>
      <c r="EO33" s="231">
        <v>663474.84</v>
      </c>
      <c r="EP33" s="231">
        <v>168299.79</v>
      </c>
      <c r="EQ33" s="229">
        <v>0.25369999999999998</v>
      </c>
      <c r="ER33" s="231">
        <v>200740</v>
      </c>
      <c r="ES33" s="231">
        <v>120560</v>
      </c>
      <c r="ET33" s="231">
        <v>1104888</v>
      </c>
      <c r="EU33" s="231">
        <v>342859930</v>
      </c>
      <c r="EV33" s="231">
        <v>1426188</v>
      </c>
      <c r="EW33" s="231">
        <v>1329000</v>
      </c>
      <c r="EX33" s="231">
        <v>97188</v>
      </c>
      <c r="EY33" s="229">
        <v>7.3099999999999998E-2</v>
      </c>
      <c r="EZ33" s="229">
        <v>0.2248</v>
      </c>
      <c r="FA33" s="227" t="s">
        <v>566</v>
      </c>
      <c r="FB33" s="161">
        <f t="shared" si="0"/>
        <v>10100875</v>
      </c>
    </row>
    <row r="34" spans="1:158" ht="17.25" thickBot="1" x14ac:dyDescent="0.3">
      <c r="A34" s="226">
        <v>46146</v>
      </c>
      <c r="B34" s="227" t="s">
        <v>184</v>
      </c>
      <c r="C34" s="227" t="s">
        <v>190</v>
      </c>
      <c r="D34" s="228">
        <v>2625</v>
      </c>
      <c r="E34" s="228">
        <v>379.75</v>
      </c>
      <c r="F34" s="228">
        <v>354.52</v>
      </c>
      <c r="G34" s="228">
        <v>25.23</v>
      </c>
      <c r="H34" s="229">
        <v>7.1199999999999999E-2</v>
      </c>
      <c r="I34" s="228">
        <v>377.05</v>
      </c>
      <c r="J34" s="228">
        <v>352.41</v>
      </c>
      <c r="K34" s="228">
        <v>24.64</v>
      </c>
      <c r="L34" s="229">
        <v>6.9900000000000004E-2</v>
      </c>
      <c r="M34" s="228">
        <v>379.75</v>
      </c>
      <c r="N34" s="228">
        <v>354.52</v>
      </c>
      <c r="O34" s="228">
        <v>25.23</v>
      </c>
      <c r="P34" s="229">
        <v>7.1199999999999999E-2</v>
      </c>
      <c r="Q34" s="228">
        <v>382.15</v>
      </c>
      <c r="R34" s="228">
        <v>356.28</v>
      </c>
      <c r="S34" s="228">
        <v>25.87</v>
      </c>
      <c r="T34" s="229">
        <v>7.2599999999999998E-2</v>
      </c>
      <c r="U34" s="228">
        <v>383.5</v>
      </c>
      <c r="V34" s="228">
        <v>358.01</v>
      </c>
      <c r="W34" s="228">
        <v>25.49</v>
      </c>
      <c r="X34" s="229">
        <v>7.1199999999999999E-2</v>
      </c>
      <c r="Y34" s="228">
        <v>2.7</v>
      </c>
      <c r="Z34" s="228">
        <v>2.11</v>
      </c>
      <c r="AA34" s="228">
        <v>0.59</v>
      </c>
      <c r="AB34" s="229">
        <v>7.1999999999999998E-3</v>
      </c>
      <c r="AC34" s="228">
        <v>2.7</v>
      </c>
      <c r="AD34" s="228">
        <v>2.11</v>
      </c>
      <c r="AE34" s="228">
        <v>0.59</v>
      </c>
      <c r="AF34" s="229">
        <v>7.1999999999999998E-3</v>
      </c>
      <c r="AG34" s="228">
        <v>5.0999999999999996</v>
      </c>
      <c r="AH34" s="228">
        <v>3.87</v>
      </c>
      <c r="AI34" s="228">
        <v>1.23</v>
      </c>
      <c r="AJ34" s="229">
        <v>1.35E-2</v>
      </c>
      <c r="AK34" s="228">
        <v>6.45</v>
      </c>
      <c r="AL34" s="228">
        <v>5.6</v>
      </c>
      <c r="AM34" s="228">
        <v>0.85</v>
      </c>
      <c r="AN34" s="229">
        <v>1.7100000000000001E-2</v>
      </c>
      <c r="AO34" s="228">
        <v>381.94</v>
      </c>
      <c r="AP34" s="228">
        <v>384.53</v>
      </c>
      <c r="AQ34" s="228">
        <v>0</v>
      </c>
      <c r="AR34" s="230">
        <v>110449500</v>
      </c>
      <c r="AS34" s="230">
        <v>26916750</v>
      </c>
      <c r="AT34" s="230">
        <v>83532750</v>
      </c>
      <c r="AU34" s="229">
        <v>3.1034000000000002</v>
      </c>
      <c r="AV34" s="230">
        <v>105123375</v>
      </c>
      <c r="AW34" s="230">
        <v>25958625</v>
      </c>
      <c r="AX34" s="230">
        <v>79164750</v>
      </c>
      <c r="AY34" s="229">
        <v>3.0497000000000001</v>
      </c>
      <c r="AZ34" s="230">
        <v>4499250</v>
      </c>
      <c r="BA34" s="230">
        <v>829500</v>
      </c>
      <c r="BB34" s="230">
        <v>3669750</v>
      </c>
      <c r="BC34" s="229">
        <v>4.4241000000000001</v>
      </c>
      <c r="BD34" s="230">
        <v>826875</v>
      </c>
      <c r="BE34" s="230">
        <v>128625</v>
      </c>
      <c r="BF34" s="230">
        <v>698250</v>
      </c>
      <c r="BG34" s="229">
        <v>5.4286000000000003</v>
      </c>
      <c r="BH34" s="230">
        <v>329122500</v>
      </c>
      <c r="BI34" s="230">
        <v>38096625</v>
      </c>
      <c r="BJ34" s="230">
        <v>291025875</v>
      </c>
      <c r="BK34" s="229">
        <v>7.6391999999999998</v>
      </c>
      <c r="BL34" s="230">
        <v>217210875</v>
      </c>
      <c r="BM34" s="230">
        <v>20569500</v>
      </c>
      <c r="BN34" s="230">
        <v>196641375</v>
      </c>
      <c r="BO34" s="229">
        <v>9.5599000000000007</v>
      </c>
      <c r="BP34" s="230">
        <v>656782875</v>
      </c>
      <c r="BQ34" s="230">
        <v>85582875</v>
      </c>
      <c r="BR34" s="230">
        <v>571200000</v>
      </c>
      <c r="BS34" s="229">
        <v>6.6741999999999999</v>
      </c>
      <c r="BT34" s="230">
        <v>110151283</v>
      </c>
      <c r="BU34" s="230">
        <v>18096627</v>
      </c>
      <c r="BV34" s="230">
        <v>92054656</v>
      </c>
      <c r="BW34" s="229">
        <v>5.0868000000000002</v>
      </c>
      <c r="BX34" s="230">
        <v>138022500</v>
      </c>
      <c r="BY34" s="230">
        <v>123214875</v>
      </c>
      <c r="BZ34" s="230">
        <v>14807625</v>
      </c>
      <c r="CA34" s="229">
        <v>0.1202</v>
      </c>
      <c r="CB34" s="230">
        <v>133481250</v>
      </c>
      <c r="CC34" s="230">
        <v>119763000</v>
      </c>
      <c r="CD34" s="230">
        <v>13718250</v>
      </c>
      <c r="CE34" s="229">
        <v>0.1145</v>
      </c>
      <c r="CF34" s="230">
        <v>4273500</v>
      </c>
      <c r="CG34" s="230">
        <v>3357375</v>
      </c>
      <c r="CH34" s="230">
        <v>916125</v>
      </c>
      <c r="CI34" s="229">
        <v>0.27289999999999998</v>
      </c>
      <c r="CJ34" s="230">
        <v>267750</v>
      </c>
      <c r="CK34" s="230">
        <v>94500</v>
      </c>
      <c r="CL34" s="230">
        <v>173250</v>
      </c>
      <c r="CM34" s="229">
        <v>1.8332999999999999</v>
      </c>
      <c r="CN34" s="230">
        <v>50869875</v>
      </c>
      <c r="CO34" s="230">
        <v>24436125</v>
      </c>
      <c r="CP34" s="230">
        <v>26433750</v>
      </c>
      <c r="CQ34" s="229">
        <v>1.0817000000000001</v>
      </c>
      <c r="CR34" s="230">
        <v>41847750</v>
      </c>
      <c r="CS34" s="230">
        <v>22848000</v>
      </c>
      <c r="CT34" s="230">
        <v>18999750</v>
      </c>
      <c r="CU34" s="229">
        <v>0.83160000000000001</v>
      </c>
      <c r="CV34" s="230">
        <v>230740125</v>
      </c>
      <c r="CW34" s="230">
        <v>170499000</v>
      </c>
      <c r="CX34" s="230">
        <v>60241125</v>
      </c>
      <c r="CY34" s="229">
        <v>0.3533</v>
      </c>
      <c r="CZ34" s="228">
        <v>41.16</v>
      </c>
      <c r="DA34" s="228">
        <v>44</v>
      </c>
      <c r="DB34" s="228">
        <v>-2.84</v>
      </c>
      <c r="DC34" s="228">
        <v>-2.84</v>
      </c>
      <c r="DD34" s="228">
        <v>47.83</v>
      </c>
      <c r="DE34" s="228">
        <v>47.03</v>
      </c>
      <c r="DF34" s="228">
        <v>-6.67</v>
      </c>
      <c r="DG34" s="228">
        <v>0.8</v>
      </c>
      <c r="DH34" s="228">
        <v>39.93</v>
      </c>
      <c r="DI34" s="228">
        <v>43.2</v>
      </c>
      <c r="DJ34" s="228">
        <v>-3.27</v>
      </c>
      <c r="DK34" s="228">
        <v>-3.27</v>
      </c>
      <c r="DL34" s="228">
        <v>43.03</v>
      </c>
      <c r="DM34" s="228">
        <v>45.49</v>
      </c>
      <c r="DN34" s="228">
        <v>-2.46</v>
      </c>
      <c r="DO34" s="228">
        <v>-2.46</v>
      </c>
      <c r="DP34" s="228">
        <v>0.82</v>
      </c>
      <c r="DQ34" s="228">
        <v>0.94</v>
      </c>
      <c r="DR34" s="228">
        <v>-0.12</v>
      </c>
      <c r="DS34" s="229">
        <v>-0.12770000000000001</v>
      </c>
      <c r="DT34" s="228">
        <v>400</v>
      </c>
      <c r="DU34" s="228">
        <v>300</v>
      </c>
      <c r="DV34" s="228">
        <v>0.66</v>
      </c>
      <c r="DW34" s="228">
        <v>0.54</v>
      </c>
      <c r="DX34" s="228">
        <v>0.12</v>
      </c>
      <c r="DY34" s="229">
        <v>0.22220000000000001</v>
      </c>
      <c r="DZ34" s="229">
        <v>3.2899999999999999E-2</v>
      </c>
      <c r="EA34" s="230">
        <v>3451875</v>
      </c>
      <c r="EB34" s="229">
        <v>6.3E-3</v>
      </c>
      <c r="EC34" s="229">
        <v>3.2899999999999999E-2</v>
      </c>
      <c r="ED34" s="228">
        <v>2.59</v>
      </c>
      <c r="EE34" s="229">
        <v>6.7999999999999996E-3</v>
      </c>
      <c r="EF34" s="230">
        <v>28199012</v>
      </c>
      <c r="EG34" s="230">
        <v>7489249</v>
      </c>
      <c r="EH34" s="229">
        <v>2.7652999999999999</v>
      </c>
      <c r="EI34" s="229">
        <v>0.25600000000000001</v>
      </c>
      <c r="EJ34" s="231">
        <v>1335123.83</v>
      </c>
      <c r="EK34" s="231">
        <v>795518.47</v>
      </c>
      <c r="EL34" s="231">
        <v>421993.66</v>
      </c>
      <c r="EM34" s="231">
        <v>15614</v>
      </c>
      <c r="EN34" s="231">
        <v>2552635.96</v>
      </c>
      <c r="EO34" s="231">
        <v>305997.94</v>
      </c>
      <c r="EP34" s="231">
        <v>2246638.02</v>
      </c>
      <c r="EQ34" s="229">
        <v>7.3419999999999996</v>
      </c>
      <c r="ER34" s="231">
        <v>193607</v>
      </c>
      <c r="ES34" s="231">
        <v>142335</v>
      </c>
      <c r="ET34" s="231">
        <v>524253</v>
      </c>
      <c r="EU34" s="231">
        <v>192361942</v>
      </c>
      <c r="EV34" s="231">
        <v>860195</v>
      </c>
      <c r="EW34" s="231">
        <v>594577</v>
      </c>
      <c r="EX34" s="231">
        <v>265618</v>
      </c>
      <c r="EY34" s="229">
        <v>0.44669999999999999</v>
      </c>
      <c r="EZ34" s="229">
        <v>1.1995</v>
      </c>
      <c r="FA34" s="227" t="s">
        <v>555</v>
      </c>
      <c r="FB34" s="161">
        <f t="shared" si="0"/>
        <v>4541250</v>
      </c>
    </row>
    <row r="35" spans="1:158" ht="17.25" thickBot="1" x14ac:dyDescent="0.3">
      <c r="A35" s="226">
        <v>46146</v>
      </c>
      <c r="B35" s="227" t="s">
        <v>170</v>
      </c>
      <c r="C35" s="227" t="s">
        <v>191</v>
      </c>
      <c r="D35" s="228">
        <v>2500</v>
      </c>
      <c r="E35" s="228">
        <v>362.7</v>
      </c>
      <c r="F35" s="228">
        <v>361.1</v>
      </c>
      <c r="G35" s="228">
        <v>1.6</v>
      </c>
      <c r="H35" s="229">
        <v>4.4000000000000003E-3</v>
      </c>
      <c r="I35" s="228">
        <v>360.6</v>
      </c>
      <c r="J35" s="228">
        <v>359.65</v>
      </c>
      <c r="K35" s="228">
        <v>0.95</v>
      </c>
      <c r="L35" s="229">
        <v>2.5999999999999999E-3</v>
      </c>
      <c r="M35" s="228">
        <v>362.7</v>
      </c>
      <c r="N35" s="228">
        <v>361.1</v>
      </c>
      <c r="O35" s="228">
        <v>1.6</v>
      </c>
      <c r="P35" s="229">
        <v>4.4000000000000003E-3</v>
      </c>
      <c r="Q35" s="228">
        <v>365.55</v>
      </c>
      <c r="R35" s="228">
        <v>364.1</v>
      </c>
      <c r="S35" s="228">
        <v>1.45</v>
      </c>
      <c r="T35" s="229">
        <v>4.0000000000000001E-3</v>
      </c>
      <c r="U35" s="228">
        <v>366</v>
      </c>
      <c r="V35" s="228">
        <v>365.2</v>
      </c>
      <c r="W35" s="228">
        <v>0.8</v>
      </c>
      <c r="X35" s="229">
        <v>2.2000000000000001E-3</v>
      </c>
      <c r="Y35" s="228">
        <v>2.1</v>
      </c>
      <c r="Z35" s="228">
        <v>1.45</v>
      </c>
      <c r="AA35" s="228">
        <v>0.65</v>
      </c>
      <c r="AB35" s="229">
        <v>5.7999999999999996E-3</v>
      </c>
      <c r="AC35" s="228">
        <v>2.1</v>
      </c>
      <c r="AD35" s="228">
        <v>1.45</v>
      </c>
      <c r="AE35" s="228">
        <v>0.65</v>
      </c>
      <c r="AF35" s="229">
        <v>5.7999999999999996E-3</v>
      </c>
      <c r="AG35" s="228">
        <v>4.95</v>
      </c>
      <c r="AH35" s="228">
        <v>4.45</v>
      </c>
      <c r="AI35" s="228">
        <v>0.5</v>
      </c>
      <c r="AJ35" s="229">
        <v>1.37E-2</v>
      </c>
      <c r="AK35" s="228">
        <v>5.4</v>
      </c>
      <c r="AL35" s="228">
        <v>5.55</v>
      </c>
      <c r="AM35" s="228">
        <v>-0.15</v>
      </c>
      <c r="AN35" s="229">
        <v>1.4999999999999999E-2</v>
      </c>
      <c r="AO35" s="228">
        <v>365.02</v>
      </c>
      <c r="AP35" s="228">
        <v>367.99</v>
      </c>
      <c r="AQ35" s="228">
        <v>0</v>
      </c>
      <c r="AR35" s="230">
        <v>4247500</v>
      </c>
      <c r="AS35" s="230">
        <v>3965000</v>
      </c>
      <c r="AT35" s="230">
        <v>282500</v>
      </c>
      <c r="AU35" s="229">
        <v>7.1199999999999999E-2</v>
      </c>
      <c r="AV35" s="230">
        <v>4070000</v>
      </c>
      <c r="AW35" s="230">
        <v>3750000</v>
      </c>
      <c r="AX35" s="230">
        <v>320000</v>
      </c>
      <c r="AY35" s="229">
        <v>8.5300000000000001E-2</v>
      </c>
      <c r="AZ35" s="230">
        <v>160000</v>
      </c>
      <c r="BA35" s="230">
        <v>202500</v>
      </c>
      <c r="BB35" s="230">
        <v>-42500</v>
      </c>
      <c r="BC35" s="229">
        <v>-0.2099</v>
      </c>
      <c r="BD35" s="230">
        <v>17500</v>
      </c>
      <c r="BE35" s="230">
        <v>12500</v>
      </c>
      <c r="BF35" s="230">
        <v>5000</v>
      </c>
      <c r="BG35" s="229">
        <v>0.4</v>
      </c>
      <c r="BH35" s="230">
        <v>13192500</v>
      </c>
      <c r="BI35" s="230">
        <v>14305000</v>
      </c>
      <c r="BJ35" s="230">
        <v>-1112500</v>
      </c>
      <c r="BK35" s="229">
        <v>-7.7799999999999994E-2</v>
      </c>
      <c r="BL35" s="230">
        <v>4910000</v>
      </c>
      <c r="BM35" s="230">
        <v>4297500</v>
      </c>
      <c r="BN35" s="230">
        <v>612500</v>
      </c>
      <c r="BO35" s="229">
        <v>0.14249999999999999</v>
      </c>
      <c r="BP35" s="230">
        <v>22350000</v>
      </c>
      <c r="BQ35" s="230">
        <v>22567500</v>
      </c>
      <c r="BR35" s="230">
        <v>-217500</v>
      </c>
      <c r="BS35" s="229">
        <v>-9.5999999999999992E-3</v>
      </c>
      <c r="BT35" s="230">
        <v>2680341</v>
      </c>
      <c r="BU35" s="230">
        <v>2072398</v>
      </c>
      <c r="BV35" s="230">
        <v>607943</v>
      </c>
      <c r="BW35" s="229">
        <v>0.29339999999999999</v>
      </c>
      <c r="BX35" s="230">
        <v>31415000</v>
      </c>
      <c r="BY35" s="230">
        <v>31302500</v>
      </c>
      <c r="BZ35" s="230">
        <v>112500</v>
      </c>
      <c r="CA35" s="229">
        <v>3.5999999999999999E-3</v>
      </c>
      <c r="CB35" s="230">
        <v>30682500</v>
      </c>
      <c r="CC35" s="230">
        <v>30562500</v>
      </c>
      <c r="CD35" s="230">
        <v>120000</v>
      </c>
      <c r="CE35" s="229">
        <v>3.8999999999999998E-3</v>
      </c>
      <c r="CF35" s="230">
        <v>702500</v>
      </c>
      <c r="CG35" s="230">
        <v>720000</v>
      </c>
      <c r="CH35" s="230">
        <v>-17500</v>
      </c>
      <c r="CI35" s="229">
        <v>-2.4299999999999999E-2</v>
      </c>
      <c r="CJ35" s="230">
        <v>30000</v>
      </c>
      <c r="CK35" s="230">
        <v>20000</v>
      </c>
      <c r="CL35" s="230">
        <v>10000</v>
      </c>
      <c r="CM35" s="229">
        <v>0.5</v>
      </c>
      <c r="CN35" s="230">
        <v>23382500</v>
      </c>
      <c r="CO35" s="230">
        <v>23175000</v>
      </c>
      <c r="CP35" s="230">
        <v>207500</v>
      </c>
      <c r="CQ35" s="229">
        <v>8.9999999999999993E-3</v>
      </c>
      <c r="CR35" s="230">
        <v>10977500</v>
      </c>
      <c r="CS35" s="230">
        <v>10867500</v>
      </c>
      <c r="CT35" s="230">
        <v>110000</v>
      </c>
      <c r="CU35" s="229">
        <v>1.01E-2</v>
      </c>
      <c r="CV35" s="230">
        <v>65775000</v>
      </c>
      <c r="CW35" s="230">
        <v>65345000</v>
      </c>
      <c r="CX35" s="230">
        <v>430000</v>
      </c>
      <c r="CY35" s="229">
        <v>6.6E-3</v>
      </c>
      <c r="CZ35" s="228">
        <v>37.15</v>
      </c>
      <c r="DA35" s="228">
        <v>36.65</v>
      </c>
      <c r="DB35" s="228">
        <v>0.5</v>
      </c>
      <c r="DC35" s="228">
        <v>0.5</v>
      </c>
      <c r="DD35" s="228">
        <v>35.93</v>
      </c>
      <c r="DE35" s="228">
        <v>36.01</v>
      </c>
      <c r="DF35" s="228">
        <v>1.22</v>
      </c>
      <c r="DG35" s="228">
        <v>-0.08</v>
      </c>
      <c r="DH35" s="228">
        <v>37.18</v>
      </c>
      <c r="DI35" s="228">
        <v>36.89</v>
      </c>
      <c r="DJ35" s="228">
        <v>0.28999999999999998</v>
      </c>
      <c r="DK35" s="228">
        <v>0.28999999999999998</v>
      </c>
      <c r="DL35" s="228">
        <v>37.08</v>
      </c>
      <c r="DM35" s="228">
        <v>35.82</v>
      </c>
      <c r="DN35" s="228">
        <v>1.26</v>
      </c>
      <c r="DO35" s="228">
        <v>1.26</v>
      </c>
      <c r="DP35" s="228">
        <v>0.47</v>
      </c>
      <c r="DQ35" s="228">
        <v>0.47</v>
      </c>
      <c r="DR35" s="228">
        <v>0</v>
      </c>
      <c r="DS35" s="229">
        <v>0</v>
      </c>
      <c r="DT35" s="228">
        <v>400</v>
      </c>
      <c r="DU35" s="228">
        <v>350</v>
      </c>
      <c r="DV35" s="228">
        <v>0.37</v>
      </c>
      <c r="DW35" s="228">
        <v>0.3</v>
      </c>
      <c r="DX35" s="228">
        <v>7.0000000000000007E-2</v>
      </c>
      <c r="DY35" s="229">
        <v>0.23330000000000001</v>
      </c>
      <c r="DZ35" s="229">
        <v>2.3300000000000001E-2</v>
      </c>
      <c r="EA35" s="230">
        <v>740000</v>
      </c>
      <c r="EB35" s="229">
        <v>7.9000000000000008E-3</v>
      </c>
      <c r="EC35" s="229">
        <v>2.3300000000000001E-2</v>
      </c>
      <c r="ED35" s="228">
        <v>2.97</v>
      </c>
      <c r="EE35" s="229">
        <v>8.0999999999999996E-3</v>
      </c>
      <c r="EF35" s="230">
        <v>1304512</v>
      </c>
      <c r="EG35" s="230">
        <v>936198</v>
      </c>
      <c r="EH35" s="229">
        <v>0.39340000000000003</v>
      </c>
      <c r="EI35" s="229">
        <v>0.48670000000000002</v>
      </c>
      <c r="EJ35" s="231">
        <v>51572.34</v>
      </c>
      <c r="EK35" s="231">
        <v>17804.22</v>
      </c>
      <c r="EL35" s="231">
        <v>15509.78</v>
      </c>
      <c r="EM35" s="231">
        <v>5696</v>
      </c>
      <c r="EN35" s="231">
        <v>84886.34</v>
      </c>
      <c r="EO35" s="231">
        <v>85925.8</v>
      </c>
      <c r="EP35" s="231">
        <v>-1039.46</v>
      </c>
      <c r="EQ35" s="229">
        <v>-1.21E-2</v>
      </c>
      <c r="ER35" s="231">
        <v>90479</v>
      </c>
      <c r="ES35" s="231">
        <v>38893</v>
      </c>
      <c r="ET35" s="231">
        <v>113963</v>
      </c>
      <c r="EU35" s="231">
        <v>108004143</v>
      </c>
      <c r="EV35" s="231">
        <v>243336</v>
      </c>
      <c r="EW35" s="231">
        <v>241272</v>
      </c>
      <c r="EX35" s="231">
        <v>2064</v>
      </c>
      <c r="EY35" s="229">
        <v>8.6E-3</v>
      </c>
      <c r="EZ35" s="229">
        <v>0.60899999999999999</v>
      </c>
      <c r="FA35" s="227" t="s">
        <v>555</v>
      </c>
      <c r="FB35" s="161">
        <f t="shared" si="0"/>
        <v>732500</v>
      </c>
    </row>
    <row r="36" spans="1:158" ht="17.25" thickBot="1" x14ac:dyDescent="0.3">
      <c r="A36" s="226">
        <v>46146</v>
      </c>
      <c r="B36" s="227" t="s">
        <v>184</v>
      </c>
      <c r="C36" s="227" t="s">
        <v>675</v>
      </c>
      <c r="D36" s="228">
        <v>325</v>
      </c>
      <c r="E36" s="231">
        <v>1801.4</v>
      </c>
      <c r="F36" s="231">
        <v>1766.4</v>
      </c>
      <c r="G36" s="228">
        <v>35</v>
      </c>
      <c r="H36" s="229">
        <v>1.9800000000000002E-2</v>
      </c>
      <c r="I36" s="231">
        <v>1802.2</v>
      </c>
      <c r="J36" s="231">
        <v>1781</v>
      </c>
      <c r="K36" s="228">
        <v>21.2</v>
      </c>
      <c r="L36" s="229">
        <v>1.1900000000000001E-2</v>
      </c>
      <c r="M36" s="231">
        <v>1801.4</v>
      </c>
      <c r="N36" s="231">
        <v>1766.4</v>
      </c>
      <c r="O36" s="228">
        <v>35</v>
      </c>
      <c r="P36" s="229">
        <v>1.9800000000000002E-2</v>
      </c>
      <c r="Q36" s="231">
        <v>1777.6</v>
      </c>
      <c r="R36" s="231">
        <v>1745.6</v>
      </c>
      <c r="S36" s="228">
        <v>32</v>
      </c>
      <c r="T36" s="229">
        <v>1.83E-2</v>
      </c>
      <c r="U36" s="228">
        <v>0</v>
      </c>
      <c r="V36" s="228">
        <v>0</v>
      </c>
      <c r="W36" s="228">
        <v>0</v>
      </c>
      <c r="X36" s="229">
        <v>0</v>
      </c>
      <c r="Y36" s="228">
        <v>-0.8</v>
      </c>
      <c r="Z36" s="228">
        <v>-14.6</v>
      </c>
      <c r="AA36" s="228">
        <v>13.8</v>
      </c>
      <c r="AB36" s="229">
        <v>-4.0000000000000002E-4</v>
      </c>
      <c r="AC36" s="228">
        <v>-0.8</v>
      </c>
      <c r="AD36" s="228">
        <v>-14.6</v>
      </c>
      <c r="AE36" s="228">
        <v>13.8</v>
      </c>
      <c r="AF36" s="229">
        <v>-4.0000000000000002E-4</v>
      </c>
      <c r="AG36" s="228">
        <v>-24.6</v>
      </c>
      <c r="AH36" s="228">
        <v>-35.4</v>
      </c>
      <c r="AI36" s="228">
        <v>10.8</v>
      </c>
      <c r="AJ36" s="229">
        <v>-1.3599999999999999E-2</v>
      </c>
      <c r="AK36" s="228">
        <v>0</v>
      </c>
      <c r="AL36" s="228">
        <v>0</v>
      </c>
      <c r="AM36" s="228">
        <v>0</v>
      </c>
      <c r="AN36" s="229">
        <v>0</v>
      </c>
      <c r="AO36" s="231">
        <v>1797.43</v>
      </c>
      <c r="AP36" s="231">
        <v>1771.55</v>
      </c>
      <c r="AQ36" s="228">
        <v>0</v>
      </c>
      <c r="AR36" s="230">
        <v>658775</v>
      </c>
      <c r="AS36" s="230">
        <v>1276275</v>
      </c>
      <c r="AT36" s="230">
        <v>-617500</v>
      </c>
      <c r="AU36" s="229">
        <v>-0.48380000000000001</v>
      </c>
      <c r="AV36" s="230">
        <v>635050</v>
      </c>
      <c r="AW36" s="230">
        <v>1213550</v>
      </c>
      <c r="AX36" s="230">
        <v>-578500</v>
      </c>
      <c r="AY36" s="229">
        <v>-0.47670000000000001</v>
      </c>
      <c r="AZ36" s="230">
        <v>23725</v>
      </c>
      <c r="BA36" s="230">
        <v>62725</v>
      </c>
      <c r="BB36" s="230">
        <v>-39000</v>
      </c>
      <c r="BC36" s="229">
        <v>-0.62180000000000002</v>
      </c>
      <c r="BD36" s="228">
        <v>0</v>
      </c>
      <c r="BE36" s="228">
        <v>0</v>
      </c>
      <c r="BF36" s="228">
        <v>0</v>
      </c>
      <c r="BG36" s="229">
        <v>0</v>
      </c>
      <c r="BH36" s="230">
        <v>789425</v>
      </c>
      <c r="BI36" s="230">
        <v>1118650</v>
      </c>
      <c r="BJ36" s="230">
        <v>-329225</v>
      </c>
      <c r="BK36" s="229">
        <v>-0.29430000000000001</v>
      </c>
      <c r="BL36" s="230">
        <v>390000</v>
      </c>
      <c r="BM36" s="230">
        <v>707525</v>
      </c>
      <c r="BN36" s="230">
        <v>-317525</v>
      </c>
      <c r="BO36" s="229">
        <v>-0.44879999999999998</v>
      </c>
      <c r="BP36" s="230">
        <v>1838200</v>
      </c>
      <c r="BQ36" s="230">
        <v>3102450</v>
      </c>
      <c r="BR36" s="230">
        <v>-1264250</v>
      </c>
      <c r="BS36" s="229">
        <v>-0.40749999999999997</v>
      </c>
      <c r="BT36" s="230">
        <v>320775</v>
      </c>
      <c r="BU36" s="230">
        <v>767984</v>
      </c>
      <c r="BV36" s="230">
        <v>-447209</v>
      </c>
      <c r="BW36" s="229">
        <v>-0.58230000000000004</v>
      </c>
      <c r="BX36" s="230">
        <v>2828475</v>
      </c>
      <c r="BY36" s="230">
        <v>2964325</v>
      </c>
      <c r="BZ36" s="230">
        <v>-135850</v>
      </c>
      <c r="CA36" s="229">
        <v>-4.58E-2</v>
      </c>
      <c r="CB36" s="230">
        <v>2757300</v>
      </c>
      <c r="CC36" s="230">
        <v>2899325</v>
      </c>
      <c r="CD36" s="230">
        <v>-142025</v>
      </c>
      <c r="CE36" s="229">
        <v>-4.9000000000000002E-2</v>
      </c>
      <c r="CF36" s="230">
        <v>71175</v>
      </c>
      <c r="CG36" s="230">
        <v>65000</v>
      </c>
      <c r="CH36" s="230">
        <v>6175</v>
      </c>
      <c r="CI36" s="229">
        <v>9.5000000000000001E-2</v>
      </c>
      <c r="CJ36" s="228">
        <v>0</v>
      </c>
      <c r="CK36" s="228">
        <v>0</v>
      </c>
      <c r="CL36" s="228">
        <v>0</v>
      </c>
      <c r="CM36" s="229">
        <v>0</v>
      </c>
      <c r="CN36" s="230">
        <v>970450</v>
      </c>
      <c r="CO36" s="230">
        <v>927225</v>
      </c>
      <c r="CP36" s="230">
        <v>43225</v>
      </c>
      <c r="CQ36" s="229">
        <v>4.6600000000000003E-2</v>
      </c>
      <c r="CR36" s="230">
        <v>674700</v>
      </c>
      <c r="CS36" s="230">
        <v>611650</v>
      </c>
      <c r="CT36" s="230">
        <v>63050</v>
      </c>
      <c r="CU36" s="229">
        <v>0.1031</v>
      </c>
      <c r="CV36" s="230">
        <v>4473625</v>
      </c>
      <c r="CW36" s="230">
        <v>4503200</v>
      </c>
      <c r="CX36" s="230">
        <v>-29575</v>
      </c>
      <c r="CY36" s="229">
        <v>-6.6E-3</v>
      </c>
      <c r="CZ36" s="228">
        <v>49.58</v>
      </c>
      <c r="DA36" s="228">
        <v>47.71</v>
      </c>
      <c r="DB36" s="228">
        <v>1.87</v>
      </c>
      <c r="DC36" s="228">
        <v>1.87</v>
      </c>
      <c r="DD36" s="228">
        <v>43.03</v>
      </c>
      <c r="DE36" s="228">
        <v>43.05</v>
      </c>
      <c r="DF36" s="228">
        <v>6.55</v>
      </c>
      <c r="DG36" s="228">
        <v>-0.02</v>
      </c>
      <c r="DH36" s="228">
        <v>48.66</v>
      </c>
      <c r="DI36" s="228">
        <v>47.37</v>
      </c>
      <c r="DJ36" s="228">
        <v>1.29</v>
      </c>
      <c r="DK36" s="228">
        <v>1.29</v>
      </c>
      <c r="DL36" s="228">
        <v>51.42</v>
      </c>
      <c r="DM36" s="228">
        <v>48.25</v>
      </c>
      <c r="DN36" s="228">
        <v>3.17</v>
      </c>
      <c r="DO36" s="228">
        <v>3.17</v>
      </c>
      <c r="DP36" s="228">
        <v>0.7</v>
      </c>
      <c r="DQ36" s="228">
        <v>0.66</v>
      </c>
      <c r="DR36" s="228">
        <v>0.04</v>
      </c>
      <c r="DS36" s="229">
        <v>6.0600000000000001E-2</v>
      </c>
      <c r="DT36" s="231">
        <v>1900</v>
      </c>
      <c r="DU36" s="231">
        <v>1800</v>
      </c>
      <c r="DV36" s="228">
        <v>0.49</v>
      </c>
      <c r="DW36" s="228">
        <v>0.63</v>
      </c>
      <c r="DX36" s="228">
        <v>-0.14000000000000001</v>
      </c>
      <c r="DY36" s="229">
        <v>-0.22220000000000001</v>
      </c>
      <c r="DZ36" s="229">
        <v>2.52E-2</v>
      </c>
      <c r="EA36" s="230">
        <v>65000</v>
      </c>
      <c r="EB36" s="229">
        <v>-1.32E-2</v>
      </c>
      <c r="EC36" s="229">
        <v>2.52E-2</v>
      </c>
      <c r="ED36" s="228">
        <v>-25.88</v>
      </c>
      <c r="EE36" s="229">
        <v>-1.44E-2</v>
      </c>
      <c r="EF36" s="230">
        <v>120387</v>
      </c>
      <c r="EG36" s="230">
        <v>366252</v>
      </c>
      <c r="EH36" s="229">
        <v>-0.67130000000000001</v>
      </c>
      <c r="EI36" s="229">
        <v>0.37530000000000002</v>
      </c>
      <c r="EJ36" s="231">
        <v>15506.87</v>
      </c>
      <c r="EK36" s="231">
        <v>6688.82</v>
      </c>
      <c r="EL36" s="231">
        <v>11834.85</v>
      </c>
      <c r="EM36" s="231">
        <v>5332</v>
      </c>
      <c r="EN36" s="231">
        <v>34030.54</v>
      </c>
      <c r="EO36" s="231">
        <v>57645.88</v>
      </c>
      <c r="EP36" s="231">
        <v>-23615.34</v>
      </c>
      <c r="EQ36" s="229">
        <v>-0.40970000000000001</v>
      </c>
      <c r="ER36" s="231">
        <v>18801</v>
      </c>
      <c r="ES36" s="231">
        <v>11676</v>
      </c>
      <c r="ET36" s="231">
        <v>50935</v>
      </c>
      <c r="EU36" s="231">
        <v>15745076</v>
      </c>
      <c r="EV36" s="231">
        <v>81412</v>
      </c>
      <c r="EW36" s="231">
        <v>81037</v>
      </c>
      <c r="EX36" s="228">
        <v>375</v>
      </c>
      <c r="EY36" s="229">
        <v>4.5999999999999999E-3</v>
      </c>
      <c r="EZ36" s="229">
        <v>0.28410000000000002</v>
      </c>
      <c r="FA36" s="227" t="s">
        <v>691</v>
      </c>
      <c r="FB36" s="161">
        <f t="shared" si="0"/>
        <v>71175</v>
      </c>
    </row>
    <row r="37" spans="1:158" ht="17.25" thickBot="1" x14ac:dyDescent="0.3">
      <c r="A37" s="226">
        <v>46146</v>
      </c>
      <c r="B37" s="227" t="s">
        <v>162</v>
      </c>
      <c r="C37" s="227" t="s">
        <v>192</v>
      </c>
      <c r="D37" s="228">
        <v>25</v>
      </c>
      <c r="E37" s="231">
        <v>35930</v>
      </c>
      <c r="F37" s="231">
        <v>36230</v>
      </c>
      <c r="G37" s="228">
        <v>-300</v>
      </c>
      <c r="H37" s="229">
        <v>-8.3000000000000001E-3</v>
      </c>
      <c r="I37" s="231">
        <v>35850</v>
      </c>
      <c r="J37" s="231">
        <v>35995</v>
      </c>
      <c r="K37" s="228">
        <v>-145</v>
      </c>
      <c r="L37" s="229">
        <v>-4.0000000000000001E-3</v>
      </c>
      <c r="M37" s="231">
        <v>35930</v>
      </c>
      <c r="N37" s="231">
        <v>36230</v>
      </c>
      <c r="O37" s="228">
        <v>-300</v>
      </c>
      <c r="P37" s="229">
        <v>-8.3000000000000001E-3</v>
      </c>
      <c r="Q37" s="231">
        <v>36150</v>
      </c>
      <c r="R37" s="231">
        <v>36480</v>
      </c>
      <c r="S37" s="228">
        <v>-330</v>
      </c>
      <c r="T37" s="229">
        <v>-8.9999999999999993E-3</v>
      </c>
      <c r="U37" s="231">
        <v>35505</v>
      </c>
      <c r="V37" s="231">
        <v>36175</v>
      </c>
      <c r="W37" s="228">
        <v>-670</v>
      </c>
      <c r="X37" s="229">
        <v>-1.8499999999999999E-2</v>
      </c>
      <c r="Y37" s="228">
        <v>80</v>
      </c>
      <c r="Z37" s="228">
        <v>235</v>
      </c>
      <c r="AA37" s="228">
        <v>-155</v>
      </c>
      <c r="AB37" s="229">
        <v>2.2000000000000001E-3</v>
      </c>
      <c r="AC37" s="228">
        <v>80</v>
      </c>
      <c r="AD37" s="228">
        <v>235</v>
      </c>
      <c r="AE37" s="228">
        <v>-155</v>
      </c>
      <c r="AF37" s="229">
        <v>2.2000000000000001E-3</v>
      </c>
      <c r="AG37" s="228">
        <v>300</v>
      </c>
      <c r="AH37" s="228">
        <v>485</v>
      </c>
      <c r="AI37" s="228">
        <v>-185</v>
      </c>
      <c r="AJ37" s="229">
        <v>8.3999999999999995E-3</v>
      </c>
      <c r="AK37" s="228">
        <v>-345</v>
      </c>
      <c r="AL37" s="228">
        <v>180</v>
      </c>
      <c r="AM37" s="228">
        <v>-525</v>
      </c>
      <c r="AN37" s="229">
        <v>-9.5999999999999992E-3</v>
      </c>
      <c r="AO37" s="231">
        <v>35999.29</v>
      </c>
      <c r="AP37" s="231">
        <v>36122.400000000001</v>
      </c>
      <c r="AQ37" s="228">
        <v>0</v>
      </c>
      <c r="AR37" s="230">
        <v>33875</v>
      </c>
      <c r="AS37" s="230">
        <v>25075</v>
      </c>
      <c r="AT37" s="230">
        <v>8800</v>
      </c>
      <c r="AU37" s="229">
        <v>0.35089999999999999</v>
      </c>
      <c r="AV37" s="230">
        <v>32475</v>
      </c>
      <c r="AW37" s="230">
        <v>24500</v>
      </c>
      <c r="AX37" s="230">
        <v>7975</v>
      </c>
      <c r="AY37" s="229">
        <v>0.32550000000000001</v>
      </c>
      <c r="AZ37" s="230">
        <v>1250</v>
      </c>
      <c r="BA37" s="228">
        <v>550</v>
      </c>
      <c r="BB37" s="228">
        <v>700</v>
      </c>
      <c r="BC37" s="229">
        <v>1.2726999999999999</v>
      </c>
      <c r="BD37" s="228">
        <v>150</v>
      </c>
      <c r="BE37" s="228">
        <v>25</v>
      </c>
      <c r="BF37" s="228">
        <v>125</v>
      </c>
      <c r="BG37" s="229">
        <v>5</v>
      </c>
      <c r="BH37" s="230">
        <v>34100</v>
      </c>
      <c r="BI37" s="230">
        <v>31875</v>
      </c>
      <c r="BJ37" s="230">
        <v>2225</v>
      </c>
      <c r="BK37" s="229">
        <v>6.9800000000000001E-2</v>
      </c>
      <c r="BL37" s="230">
        <v>24000</v>
      </c>
      <c r="BM37" s="230">
        <v>37100</v>
      </c>
      <c r="BN37" s="230">
        <v>-13100</v>
      </c>
      <c r="BO37" s="229">
        <v>-0.35310000000000002</v>
      </c>
      <c r="BP37" s="230">
        <v>91975</v>
      </c>
      <c r="BQ37" s="230">
        <v>94050</v>
      </c>
      <c r="BR37" s="230">
        <v>-2075</v>
      </c>
      <c r="BS37" s="229">
        <v>-2.2100000000000002E-2</v>
      </c>
      <c r="BT37" s="230">
        <v>23118</v>
      </c>
      <c r="BU37" s="230">
        <v>34405</v>
      </c>
      <c r="BV37" s="230">
        <v>-11287</v>
      </c>
      <c r="BW37" s="229">
        <v>-0.3281</v>
      </c>
      <c r="BX37" s="230">
        <v>247925</v>
      </c>
      <c r="BY37" s="230">
        <v>247750</v>
      </c>
      <c r="BZ37" s="228">
        <v>175</v>
      </c>
      <c r="CA37" s="229">
        <v>6.9999999999999999E-4</v>
      </c>
      <c r="CB37" s="230">
        <v>245175</v>
      </c>
      <c r="CC37" s="230">
        <v>245625</v>
      </c>
      <c r="CD37" s="228">
        <v>-450</v>
      </c>
      <c r="CE37" s="229">
        <v>-1.8E-3</v>
      </c>
      <c r="CF37" s="230">
        <v>2300</v>
      </c>
      <c r="CG37" s="230">
        <v>1750</v>
      </c>
      <c r="CH37" s="228">
        <v>550</v>
      </c>
      <c r="CI37" s="229">
        <v>0.31430000000000002</v>
      </c>
      <c r="CJ37" s="228">
        <v>450</v>
      </c>
      <c r="CK37" s="228">
        <v>375</v>
      </c>
      <c r="CL37" s="228">
        <v>75</v>
      </c>
      <c r="CM37" s="229">
        <v>0.2</v>
      </c>
      <c r="CN37" s="230">
        <v>43375</v>
      </c>
      <c r="CO37" s="230">
        <v>32775</v>
      </c>
      <c r="CP37" s="230">
        <v>10600</v>
      </c>
      <c r="CQ37" s="229">
        <v>0.32340000000000002</v>
      </c>
      <c r="CR37" s="230">
        <v>34375</v>
      </c>
      <c r="CS37" s="230">
        <v>26275</v>
      </c>
      <c r="CT37" s="230">
        <v>8100</v>
      </c>
      <c r="CU37" s="229">
        <v>0.30830000000000002</v>
      </c>
      <c r="CV37" s="230">
        <v>325675</v>
      </c>
      <c r="CW37" s="230">
        <v>306800</v>
      </c>
      <c r="CX37" s="230">
        <v>18875</v>
      </c>
      <c r="CY37" s="229">
        <v>6.1499999999999999E-2</v>
      </c>
      <c r="CZ37" s="228">
        <v>35.15</v>
      </c>
      <c r="DA37" s="228">
        <v>33.950000000000003</v>
      </c>
      <c r="DB37" s="228">
        <v>1.2</v>
      </c>
      <c r="DC37" s="228">
        <v>1.2</v>
      </c>
      <c r="DD37" s="228">
        <v>34.590000000000003</v>
      </c>
      <c r="DE37" s="228">
        <v>34.659999999999997</v>
      </c>
      <c r="DF37" s="228">
        <v>0.56000000000000005</v>
      </c>
      <c r="DG37" s="228">
        <v>-7.0000000000000007E-2</v>
      </c>
      <c r="DH37" s="228">
        <v>35.54</v>
      </c>
      <c r="DI37" s="228">
        <v>34.44</v>
      </c>
      <c r="DJ37" s="228">
        <v>1.1000000000000001</v>
      </c>
      <c r="DK37" s="228">
        <v>1.1000000000000001</v>
      </c>
      <c r="DL37" s="228">
        <v>34.590000000000003</v>
      </c>
      <c r="DM37" s="228">
        <v>33.54</v>
      </c>
      <c r="DN37" s="228">
        <v>1.05</v>
      </c>
      <c r="DO37" s="228">
        <v>1.05</v>
      </c>
      <c r="DP37" s="228">
        <v>0.79</v>
      </c>
      <c r="DQ37" s="228">
        <v>0.8</v>
      </c>
      <c r="DR37" s="228">
        <v>-0.01</v>
      </c>
      <c r="DS37" s="229">
        <v>-1.2500000000000001E-2</v>
      </c>
      <c r="DT37" s="231">
        <v>40000</v>
      </c>
      <c r="DU37" s="231">
        <v>35750</v>
      </c>
      <c r="DV37" s="228">
        <v>0.7</v>
      </c>
      <c r="DW37" s="228">
        <v>1.1599999999999999</v>
      </c>
      <c r="DX37" s="228">
        <v>-0.46</v>
      </c>
      <c r="DY37" s="229">
        <v>-0.39660000000000001</v>
      </c>
      <c r="DZ37" s="229">
        <v>1.11E-2</v>
      </c>
      <c r="EA37" s="230">
        <v>2125</v>
      </c>
      <c r="EB37" s="229">
        <v>6.1000000000000004E-3</v>
      </c>
      <c r="EC37" s="229">
        <v>1.11E-2</v>
      </c>
      <c r="ED37" s="228">
        <v>123.11</v>
      </c>
      <c r="EE37" s="229">
        <v>3.3999999999999998E-3</v>
      </c>
      <c r="EF37" s="230">
        <v>7084</v>
      </c>
      <c r="EG37" s="230">
        <v>15453</v>
      </c>
      <c r="EH37" s="229">
        <v>-0.54159999999999997</v>
      </c>
      <c r="EI37" s="229">
        <v>0.30640000000000001</v>
      </c>
      <c r="EJ37" s="231">
        <v>13174.34</v>
      </c>
      <c r="EK37" s="231">
        <v>8695.7199999999993</v>
      </c>
      <c r="EL37" s="231">
        <v>12196.22</v>
      </c>
      <c r="EM37" s="231">
        <v>3332</v>
      </c>
      <c r="EN37" s="231">
        <v>34066.28</v>
      </c>
      <c r="EO37" s="231">
        <v>34736.15</v>
      </c>
      <c r="EP37" s="228">
        <v>-669.87</v>
      </c>
      <c r="EQ37" s="229">
        <v>-1.9300000000000001E-2</v>
      </c>
      <c r="ER37" s="231">
        <v>16729</v>
      </c>
      <c r="ES37" s="231">
        <v>12192</v>
      </c>
      <c r="ET37" s="231">
        <v>89083</v>
      </c>
      <c r="EU37" s="231">
        <v>868841</v>
      </c>
      <c r="EV37" s="231">
        <v>118004</v>
      </c>
      <c r="EW37" s="231">
        <v>111882</v>
      </c>
      <c r="EX37" s="231">
        <v>6122</v>
      </c>
      <c r="EY37" s="229">
        <v>5.4699999999999999E-2</v>
      </c>
      <c r="EZ37" s="229">
        <v>0.37480000000000002</v>
      </c>
      <c r="FA37" s="227" t="s">
        <v>566</v>
      </c>
      <c r="FB37" s="161">
        <f t="shared" si="0"/>
        <v>2750</v>
      </c>
    </row>
    <row r="38" spans="1:158" ht="17.25" thickBot="1" x14ac:dyDescent="0.3">
      <c r="A38" s="226">
        <v>46146</v>
      </c>
      <c r="B38" s="227" t="s">
        <v>193</v>
      </c>
      <c r="C38" s="227" t="s">
        <v>194</v>
      </c>
      <c r="D38" s="228">
        <v>1975</v>
      </c>
      <c r="E38" s="228">
        <v>303.55</v>
      </c>
      <c r="F38" s="228">
        <v>302.3</v>
      </c>
      <c r="G38" s="228">
        <v>1.25</v>
      </c>
      <c r="H38" s="229">
        <v>4.1000000000000003E-3</v>
      </c>
      <c r="I38" s="228">
        <v>301.7</v>
      </c>
      <c r="J38" s="228">
        <v>300.45</v>
      </c>
      <c r="K38" s="228">
        <v>1.25</v>
      </c>
      <c r="L38" s="229">
        <v>4.1999999999999997E-3</v>
      </c>
      <c r="M38" s="228">
        <v>303.55</v>
      </c>
      <c r="N38" s="228">
        <v>302.3</v>
      </c>
      <c r="O38" s="228">
        <v>1.25</v>
      </c>
      <c r="P38" s="229">
        <v>4.1000000000000003E-3</v>
      </c>
      <c r="Q38" s="228">
        <v>305.3</v>
      </c>
      <c r="R38" s="228">
        <v>304.2</v>
      </c>
      <c r="S38" s="228">
        <v>1.1000000000000001</v>
      </c>
      <c r="T38" s="229">
        <v>3.5999999999999999E-3</v>
      </c>
      <c r="U38" s="228">
        <v>306.2</v>
      </c>
      <c r="V38" s="228">
        <v>304.75</v>
      </c>
      <c r="W38" s="228">
        <v>1.45</v>
      </c>
      <c r="X38" s="229">
        <v>4.7999999999999996E-3</v>
      </c>
      <c r="Y38" s="228">
        <v>1.85</v>
      </c>
      <c r="Z38" s="228">
        <v>1.85</v>
      </c>
      <c r="AA38" s="228">
        <v>0</v>
      </c>
      <c r="AB38" s="229">
        <v>6.1000000000000004E-3</v>
      </c>
      <c r="AC38" s="228">
        <v>1.85</v>
      </c>
      <c r="AD38" s="228">
        <v>1.85</v>
      </c>
      <c r="AE38" s="228">
        <v>0</v>
      </c>
      <c r="AF38" s="229">
        <v>6.1000000000000004E-3</v>
      </c>
      <c r="AG38" s="228">
        <v>3.6</v>
      </c>
      <c r="AH38" s="228">
        <v>3.75</v>
      </c>
      <c r="AI38" s="228">
        <v>-0.15</v>
      </c>
      <c r="AJ38" s="229">
        <v>1.1900000000000001E-2</v>
      </c>
      <c r="AK38" s="228">
        <v>4.5</v>
      </c>
      <c r="AL38" s="228">
        <v>4.3</v>
      </c>
      <c r="AM38" s="228">
        <v>0.2</v>
      </c>
      <c r="AN38" s="229">
        <v>1.49E-2</v>
      </c>
      <c r="AO38" s="228">
        <v>304.58999999999997</v>
      </c>
      <c r="AP38" s="228">
        <v>306.76</v>
      </c>
      <c r="AQ38" s="228">
        <v>0</v>
      </c>
      <c r="AR38" s="230">
        <v>4880225</v>
      </c>
      <c r="AS38" s="230">
        <v>9892775</v>
      </c>
      <c r="AT38" s="230">
        <v>-5012550</v>
      </c>
      <c r="AU38" s="229">
        <v>-0.50670000000000004</v>
      </c>
      <c r="AV38" s="230">
        <v>4698525</v>
      </c>
      <c r="AW38" s="230">
        <v>9389150</v>
      </c>
      <c r="AX38" s="230">
        <v>-4690625</v>
      </c>
      <c r="AY38" s="229">
        <v>-0.49959999999999999</v>
      </c>
      <c r="AZ38" s="230">
        <v>161950</v>
      </c>
      <c r="BA38" s="230">
        <v>475975</v>
      </c>
      <c r="BB38" s="230">
        <v>-314025</v>
      </c>
      <c r="BC38" s="229">
        <v>-0.65980000000000005</v>
      </c>
      <c r="BD38" s="230">
        <v>19750</v>
      </c>
      <c r="BE38" s="230">
        <v>27650</v>
      </c>
      <c r="BF38" s="230">
        <v>-7900</v>
      </c>
      <c r="BG38" s="229">
        <v>-0.28570000000000001</v>
      </c>
      <c r="BH38" s="230">
        <v>13159425</v>
      </c>
      <c r="BI38" s="230">
        <v>15098875</v>
      </c>
      <c r="BJ38" s="230">
        <v>-1939450</v>
      </c>
      <c r="BK38" s="229">
        <v>-0.12839999999999999</v>
      </c>
      <c r="BL38" s="230">
        <v>9845375</v>
      </c>
      <c r="BM38" s="230">
        <v>10248275</v>
      </c>
      <c r="BN38" s="230">
        <v>-402900</v>
      </c>
      <c r="BO38" s="229">
        <v>-3.9300000000000002E-2</v>
      </c>
      <c r="BP38" s="230">
        <v>27885025</v>
      </c>
      <c r="BQ38" s="230">
        <v>35239925</v>
      </c>
      <c r="BR38" s="230">
        <v>-7354900</v>
      </c>
      <c r="BS38" s="229">
        <v>-0.2087</v>
      </c>
      <c r="BT38" s="230">
        <v>9487235</v>
      </c>
      <c r="BU38" s="230">
        <v>13927772</v>
      </c>
      <c r="BV38" s="230">
        <v>-4440537</v>
      </c>
      <c r="BW38" s="229">
        <v>-0.31879999999999997</v>
      </c>
      <c r="BX38" s="230">
        <v>54590975</v>
      </c>
      <c r="BY38" s="230">
        <v>53635075</v>
      </c>
      <c r="BZ38" s="230">
        <v>955900</v>
      </c>
      <c r="CA38" s="229">
        <v>1.78E-2</v>
      </c>
      <c r="CB38" s="230">
        <v>49653475</v>
      </c>
      <c r="CC38" s="230">
        <v>48743000</v>
      </c>
      <c r="CD38" s="230">
        <v>910475</v>
      </c>
      <c r="CE38" s="229">
        <v>1.8700000000000001E-2</v>
      </c>
      <c r="CF38" s="230">
        <v>4890100</v>
      </c>
      <c r="CG38" s="230">
        <v>4852575</v>
      </c>
      <c r="CH38" s="230">
        <v>37525</v>
      </c>
      <c r="CI38" s="229">
        <v>7.7000000000000002E-3</v>
      </c>
      <c r="CJ38" s="230">
        <v>47400</v>
      </c>
      <c r="CK38" s="230">
        <v>39500</v>
      </c>
      <c r="CL38" s="230">
        <v>7900</v>
      </c>
      <c r="CM38" s="229">
        <v>0.2</v>
      </c>
      <c r="CN38" s="230">
        <v>18792125</v>
      </c>
      <c r="CO38" s="230">
        <v>16670975</v>
      </c>
      <c r="CP38" s="230">
        <v>2121150</v>
      </c>
      <c r="CQ38" s="229">
        <v>0.12720000000000001</v>
      </c>
      <c r="CR38" s="230">
        <v>11994175</v>
      </c>
      <c r="CS38" s="230">
        <v>9833525</v>
      </c>
      <c r="CT38" s="230">
        <v>2160650</v>
      </c>
      <c r="CU38" s="229">
        <v>0.21970000000000001</v>
      </c>
      <c r="CV38" s="230">
        <v>85377275</v>
      </c>
      <c r="CW38" s="230">
        <v>80139575</v>
      </c>
      <c r="CX38" s="230">
        <v>5237700</v>
      </c>
      <c r="CY38" s="229">
        <v>6.54E-2</v>
      </c>
      <c r="CZ38" s="228">
        <v>43.52</v>
      </c>
      <c r="DA38" s="228">
        <v>44.93</v>
      </c>
      <c r="DB38" s="228">
        <v>-1.41</v>
      </c>
      <c r="DC38" s="228">
        <v>-1.41</v>
      </c>
      <c r="DD38" s="228">
        <v>36.729999999999997</v>
      </c>
      <c r="DE38" s="228">
        <v>36.82</v>
      </c>
      <c r="DF38" s="228">
        <v>6.79</v>
      </c>
      <c r="DG38" s="228">
        <v>-0.09</v>
      </c>
      <c r="DH38" s="228">
        <v>43.7</v>
      </c>
      <c r="DI38" s="228">
        <v>44.96</v>
      </c>
      <c r="DJ38" s="228">
        <v>-1.26</v>
      </c>
      <c r="DK38" s="228">
        <v>-1.26</v>
      </c>
      <c r="DL38" s="228">
        <v>43.28</v>
      </c>
      <c r="DM38" s="228">
        <v>44.89</v>
      </c>
      <c r="DN38" s="228">
        <v>-1.61</v>
      </c>
      <c r="DO38" s="228">
        <v>-1.61</v>
      </c>
      <c r="DP38" s="228">
        <v>0.64</v>
      </c>
      <c r="DQ38" s="228">
        <v>0.59</v>
      </c>
      <c r="DR38" s="228">
        <v>0.05</v>
      </c>
      <c r="DS38" s="229">
        <v>8.4699999999999998E-2</v>
      </c>
      <c r="DT38" s="228">
        <v>350</v>
      </c>
      <c r="DU38" s="228">
        <v>300</v>
      </c>
      <c r="DV38" s="228">
        <v>0.75</v>
      </c>
      <c r="DW38" s="228">
        <v>0.68</v>
      </c>
      <c r="DX38" s="228">
        <v>7.0000000000000007E-2</v>
      </c>
      <c r="DY38" s="229">
        <v>0.10290000000000001</v>
      </c>
      <c r="DZ38" s="229">
        <v>9.0399999999999994E-2</v>
      </c>
      <c r="EA38" s="230">
        <v>4892075</v>
      </c>
      <c r="EB38" s="229">
        <v>5.7999999999999996E-3</v>
      </c>
      <c r="EC38" s="229">
        <v>9.0399999999999994E-2</v>
      </c>
      <c r="ED38" s="228">
        <v>2.17</v>
      </c>
      <c r="EE38" s="229">
        <v>7.1000000000000004E-3</v>
      </c>
      <c r="EF38" s="230">
        <v>5347931</v>
      </c>
      <c r="EG38" s="230">
        <v>7777229</v>
      </c>
      <c r="EH38" s="229">
        <v>-0.31240000000000001</v>
      </c>
      <c r="EI38" s="229">
        <v>0.56369999999999998</v>
      </c>
      <c r="EJ38" s="231">
        <v>43159.360000000001</v>
      </c>
      <c r="EK38" s="231">
        <v>29645.26</v>
      </c>
      <c r="EL38" s="231">
        <v>14868.44</v>
      </c>
      <c r="EM38" s="231">
        <v>8798</v>
      </c>
      <c r="EN38" s="231">
        <v>87673.06</v>
      </c>
      <c r="EO38" s="231">
        <v>110056.67</v>
      </c>
      <c r="EP38" s="231">
        <v>-22383.61</v>
      </c>
      <c r="EQ38" s="229">
        <v>-0.2034</v>
      </c>
      <c r="ER38" s="231">
        <v>61753</v>
      </c>
      <c r="ES38" s="231">
        <v>35215</v>
      </c>
      <c r="ET38" s="231">
        <v>165798</v>
      </c>
      <c r="EU38" s="231">
        <v>306020745</v>
      </c>
      <c r="EV38" s="231">
        <v>262765</v>
      </c>
      <c r="EW38" s="231">
        <v>246265</v>
      </c>
      <c r="EX38" s="231">
        <v>16500</v>
      </c>
      <c r="EY38" s="229">
        <v>6.7000000000000004E-2</v>
      </c>
      <c r="EZ38" s="229">
        <v>0.27900000000000003</v>
      </c>
      <c r="FA38" s="227" t="s">
        <v>555</v>
      </c>
      <c r="FB38" s="161">
        <f t="shared" si="0"/>
        <v>4937500</v>
      </c>
    </row>
    <row r="39" spans="1:158" ht="17.25" thickBot="1" x14ac:dyDescent="0.3">
      <c r="A39" s="226">
        <v>46146</v>
      </c>
      <c r="B39" s="227" t="s">
        <v>168</v>
      </c>
      <c r="C39" s="227" t="s">
        <v>195</v>
      </c>
      <c r="D39" s="228">
        <v>125</v>
      </c>
      <c r="E39" s="231">
        <v>5807</v>
      </c>
      <c r="F39" s="231">
        <v>5746.5</v>
      </c>
      <c r="G39" s="228">
        <v>60.5</v>
      </c>
      <c r="H39" s="229">
        <v>1.0500000000000001E-2</v>
      </c>
      <c r="I39" s="231">
        <v>5792.5</v>
      </c>
      <c r="J39" s="231">
        <v>5726</v>
      </c>
      <c r="K39" s="228">
        <v>66.5</v>
      </c>
      <c r="L39" s="229">
        <v>1.1599999999999999E-2</v>
      </c>
      <c r="M39" s="231">
        <v>5807</v>
      </c>
      <c r="N39" s="231">
        <v>5746.5</v>
      </c>
      <c r="O39" s="228">
        <v>60.5</v>
      </c>
      <c r="P39" s="229">
        <v>1.0500000000000001E-2</v>
      </c>
      <c r="Q39" s="231">
        <v>5842.5</v>
      </c>
      <c r="R39" s="231">
        <v>5787.5</v>
      </c>
      <c r="S39" s="228">
        <v>55</v>
      </c>
      <c r="T39" s="229">
        <v>9.4999999999999998E-3</v>
      </c>
      <c r="U39" s="231">
        <v>5819.5</v>
      </c>
      <c r="V39" s="231">
        <v>5819.5</v>
      </c>
      <c r="W39" s="228">
        <v>0</v>
      </c>
      <c r="X39" s="229">
        <v>0</v>
      </c>
      <c r="Y39" s="228">
        <v>14.5</v>
      </c>
      <c r="Z39" s="228">
        <v>20.5</v>
      </c>
      <c r="AA39" s="228">
        <v>-6</v>
      </c>
      <c r="AB39" s="229">
        <v>2.5000000000000001E-3</v>
      </c>
      <c r="AC39" s="228">
        <v>14.5</v>
      </c>
      <c r="AD39" s="228">
        <v>20.5</v>
      </c>
      <c r="AE39" s="228">
        <v>-6</v>
      </c>
      <c r="AF39" s="229">
        <v>2.5000000000000001E-3</v>
      </c>
      <c r="AG39" s="228">
        <v>50</v>
      </c>
      <c r="AH39" s="228">
        <v>61.5</v>
      </c>
      <c r="AI39" s="228">
        <v>-11.5</v>
      </c>
      <c r="AJ39" s="229">
        <v>8.6E-3</v>
      </c>
      <c r="AK39" s="228">
        <v>27</v>
      </c>
      <c r="AL39" s="228">
        <v>93.5</v>
      </c>
      <c r="AM39" s="228">
        <v>-66.5</v>
      </c>
      <c r="AN39" s="229">
        <v>4.7000000000000002E-3</v>
      </c>
      <c r="AO39" s="231">
        <v>5799.87</v>
      </c>
      <c r="AP39" s="231">
        <v>5827.64</v>
      </c>
      <c r="AQ39" s="228">
        <v>0</v>
      </c>
      <c r="AR39" s="230">
        <v>459125</v>
      </c>
      <c r="AS39" s="230">
        <v>391750</v>
      </c>
      <c r="AT39" s="230">
        <v>67375</v>
      </c>
      <c r="AU39" s="229">
        <v>0.17199999999999999</v>
      </c>
      <c r="AV39" s="230">
        <v>455000</v>
      </c>
      <c r="AW39" s="230">
        <v>387250</v>
      </c>
      <c r="AX39" s="230">
        <v>67750</v>
      </c>
      <c r="AY39" s="229">
        <v>0.17499999999999999</v>
      </c>
      <c r="AZ39" s="230">
        <v>4125</v>
      </c>
      <c r="BA39" s="230">
        <v>4375</v>
      </c>
      <c r="BB39" s="228">
        <v>-250</v>
      </c>
      <c r="BC39" s="229">
        <v>-5.7099999999999998E-2</v>
      </c>
      <c r="BD39" s="228">
        <v>0</v>
      </c>
      <c r="BE39" s="228">
        <v>125</v>
      </c>
      <c r="BF39" s="228">
        <v>-125</v>
      </c>
      <c r="BG39" s="229">
        <v>-1</v>
      </c>
      <c r="BH39" s="230">
        <v>1120625</v>
      </c>
      <c r="BI39" s="230">
        <v>676500</v>
      </c>
      <c r="BJ39" s="230">
        <v>444125</v>
      </c>
      <c r="BK39" s="229">
        <v>0.65649999999999997</v>
      </c>
      <c r="BL39" s="230">
        <v>446625</v>
      </c>
      <c r="BM39" s="230">
        <v>359500</v>
      </c>
      <c r="BN39" s="230">
        <v>87125</v>
      </c>
      <c r="BO39" s="229">
        <v>0.2424</v>
      </c>
      <c r="BP39" s="230">
        <v>2026375</v>
      </c>
      <c r="BQ39" s="230">
        <v>1427750</v>
      </c>
      <c r="BR39" s="230">
        <v>598625</v>
      </c>
      <c r="BS39" s="229">
        <v>0.41930000000000001</v>
      </c>
      <c r="BT39" s="230">
        <v>332082</v>
      </c>
      <c r="BU39" s="230">
        <v>286505</v>
      </c>
      <c r="BV39" s="230">
        <v>45577</v>
      </c>
      <c r="BW39" s="229">
        <v>0.15909999999999999</v>
      </c>
      <c r="BX39" s="230">
        <v>2752375</v>
      </c>
      <c r="BY39" s="230">
        <v>2758250</v>
      </c>
      <c r="BZ39" s="230">
        <v>-5875</v>
      </c>
      <c r="CA39" s="229">
        <v>-2.0999999999999999E-3</v>
      </c>
      <c r="CB39" s="230">
        <v>2416875</v>
      </c>
      <c r="CC39" s="230">
        <v>2422875</v>
      </c>
      <c r="CD39" s="230">
        <v>-6000</v>
      </c>
      <c r="CE39" s="229">
        <v>-2.5000000000000001E-3</v>
      </c>
      <c r="CF39" s="230">
        <v>335250</v>
      </c>
      <c r="CG39" s="230">
        <v>335125</v>
      </c>
      <c r="CH39" s="228">
        <v>125</v>
      </c>
      <c r="CI39" s="229">
        <v>4.0000000000000002E-4</v>
      </c>
      <c r="CJ39" s="228">
        <v>250</v>
      </c>
      <c r="CK39" s="228">
        <v>250</v>
      </c>
      <c r="CL39" s="228">
        <v>0</v>
      </c>
      <c r="CM39" s="229">
        <v>0</v>
      </c>
      <c r="CN39" s="230">
        <v>648125</v>
      </c>
      <c r="CO39" s="230">
        <v>536875</v>
      </c>
      <c r="CP39" s="230">
        <v>111250</v>
      </c>
      <c r="CQ39" s="229">
        <v>0.2072</v>
      </c>
      <c r="CR39" s="230">
        <v>471750</v>
      </c>
      <c r="CS39" s="230">
        <v>409750</v>
      </c>
      <c r="CT39" s="230">
        <v>62000</v>
      </c>
      <c r="CU39" s="229">
        <v>0.15129999999999999</v>
      </c>
      <c r="CV39" s="230">
        <v>3872250</v>
      </c>
      <c r="CW39" s="230">
        <v>3704875</v>
      </c>
      <c r="CX39" s="230">
        <v>167375</v>
      </c>
      <c r="CY39" s="229">
        <v>4.5199999999999997E-2</v>
      </c>
      <c r="CZ39" s="228">
        <v>27.93</v>
      </c>
      <c r="DA39" s="228">
        <v>26.62</v>
      </c>
      <c r="DB39" s="228">
        <v>1.31</v>
      </c>
      <c r="DC39" s="228">
        <v>1.31</v>
      </c>
      <c r="DD39" s="228">
        <v>24.71</v>
      </c>
      <c r="DE39" s="228">
        <v>24.72</v>
      </c>
      <c r="DF39" s="228">
        <v>3.22</v>
      </c>
      <c r="DG39" s="228">
        <v>-0.01</v>
      </c>
      <c r="DH39" s="228">
        <v>27.69</v>
      </c>
      <c r="DI39" s="228">
        <v>26.76</v>
      </c>
      <c r="DJ39" s="228">
        <v>0.93</v>
      </c>
      <c r="DK39" s="228">
        <v>0.93</v>
      </c>
      <c r="DL39" s="228">
        <v>28.55</v>
      </c>
      <c r="DM39" s="228">
        <v>26.34</v>
      </c>
      <c r="DN39" s="228">
        <v>2.21</v>
      </c>
      <c r="DO39" s="228">
        <v>2.21</v>
      </c>
      <c r="DP39" s="228">
        <v>0.73</v>
      </c>
      <c r="DQ39" s="228">
        <v>0.76</v>
      </c>
      <c r="DR39" s="228">
        <v>-0.03</v>
      </c>
      <c r="DS39" s="229">
        <v>-3.95E-2</v>
      </c>
      <c r="DT39" s="231">
        <v>6000</v>
      </c>
      <c r="DU39" s="231">
        <v>5200</v>
      </c>
      <c r="DV39" s="228">
        <v>0.4</v>
      </c>
      <c r="DW39" s="228">
        <v>0.53</v>
      </c>
      <c r="DX39" s="228">
        <v>-0.13</v>
      </c>
      <c r="DY39" s="229">
        <v>-0.24529999999999999</v>
      </c>
      <c r="DZ39" s="229">
        <v>0.12189999999999999</v>
      </c>
      <c r="EA39" s="230">
        <v>335375</v>
      </c>
      <c r="EB39" s="229">
        <v>6.1000000000000004E-3</v>
      </c>
      <c r="EC39" s="229">
        <v>0.12189999999999999</v>
      </c>
      <c r="ED39" s="228">
        <v>27.77</v>
      </c>
      <c r="EE39" s="229">
        <v>4.7999999999999996E-3</v>
      </c>
      <c r="EF39" s="230">
        <v>180065</v>
      </c>
      <c r="EG39" s="230">
        <v>150398</v>
      </c>
      <c r="EH39" s="229">
        <v>0.1973</v>
      </c>
      <c r="EI39" s="229">
        <v>0.54220000000000002</v>
      </c>
      <c r="EJ39" s="231">
        <v>68497.08</v>
      </c>
      <c r="EK39" s="231">
        <v>25383.18</v>
      </c>
      <c r="EL39" s="231">
        <v>26629.8</v>
      </c>
      <c r="EM39" s="231">
        <v>6260</v>
      </c>
      <c r="EN39" s="231">
        <v>120510.06</v>
      </c>
      <c r="EO39" s="231">
        <v>83382.820000000007</v>
      </c>
      <c r="EP39" s="231">
        <v>37127.24</v>
      </c>
      <c r="EQ39" s="229">
        <v>0.44529999999999997</v>
      </c>
      <c r="ER39" s="231">
        <v>38981</v>
      </c>
      <c r="ES39" s="231">
        <v>25959</v>
      </c>
      <c r="ET39" s="231">
        <v>159949</v>
      </c>
      <c r="EU39" s="231">
        <v>14553559</v>
      </c>
      <c r="EV39" s="231">
        <v>224889</v>
      </c>
      <c r="EW39" s="231">
        <v>213279</v>
      </c>
      <c r="EX39" s="231">
        <v>11610</v>
      </c>
      <c r="EY39" s="229">
        <v>5.4399999999999997E-2</v>
      </c>
      <c r="EZ39" s="229">
        <v>0.2661</v>
      </c>
      <c r="FA39" s="227" t="s">
        <v>691</v>
      </c>
      <c r="FB39" s="161">
        <f t="shared" si="0"/>
        <v>335500</v>
      </c>
    </row>
    <row r="40" spans="1:158" ht="17.25" thickBot="1" x14ac:dyDescent="0.3">
      <c r="A40" s="226">
        <v>46146</v>
      </c>
      <c r="B40" s="227" t="s">
        <v>175</v>
      </c>
      <c r="C40" s="227" t="s">
        <v>583</v>
      </c>
      <c r="D40" s="228">
        <v>375</v>
      </c>
      <c r="E40" s="231">
        <v>3712.8</v>
      </c>
      <c r="F40" s="231">
        <v>3657.7</v>
      </c>
      <c r="G40" s="228">
        <v>55.1</v>
      </c>
      <c r="H40" s="229">
        <v>1.5100000000000001E-2</v>
      </c>
      <c r="I40" s="231">
        <v>3711.3</v>
      </c>
      <c r="J40" s="231">
        <v>3640.5</v>
      </c>
      <c r="K40" s="228">
        <v>70.8</v>
      </c>
      <c r="L40" s="229">
        <v>1.9400000000000001E-2</v>
      </c>
      <c r="M40" s="231">
        <v>3712.8</v>
      </c>
      <c r="N40" s="231">
        <v>3657.7</v>
      </c>
      <c r="O40" s="228">
        <v>55.1</v>
      </c>
      <c r="P40" s="229">
        <v>1.5100000000000001E-2</v>
      </c>
      <c r="Q40" s="231">
        <v>3726.7</v>
      </c>
      <c r="R40" s="231">
        <v>3672.5</v>
      </c>
      <c r="S40" s="228">
        <v>54.2</v>
      </c>
      <c r="T40" s="229">
        <v>1.4800000000000001E-2</v>
      </c>
      <c r="U40" s="231">
        <v>3753.5</v>
      </c>
      <c r="V40" s="231">
        <v>3694.2</v>
      </c>
      <c r="W40" s="228">
        <v>59.3</v>
      </c>
      <c r="X40" s="229">
        <v>1.61E-2</v>
      </c>
      <c r="Y40" s="228">
        <v>1.5</v>
      </c>
      <c r="Z40" s="228">
        <v>17.2</v>
      </c>
      <c r="AA40" s="228">
        <v>-15.7</v>
      </c>
      <c r="AB40" s="229">
        <v>4.0000000000000002E-4</v>
      </c>
      <c r="AC40" s="228">
        <v>1.5</v>
      </c>
      <c r="AD40" s="228">
        <v>17.2</v>
      </c>
      <c r="AE40" s="228">
        <v>-15.7</v>
      </c>
      <c r="AF40" s="229">
        <v>4.0000000000000002E-4</v>
      </c>
      <c r="AG40" s="228">
        <v>15.4</v>
      </c>
      <c r="AH40" s="228">
        <v>32</v>
      </c>
      <c r="AI40" s="228">
        <v>-16.600000000000001</v>
      </c>
      <c r="AJ40" s="229">
        <v>4.1000000000000003E-3</v>
      </c>
      <c r="AK40" s="228">
        <v>42.2</v>
      </c>
      <c r="AL40" s="228">
        <v>53.7</v>
      </c>
      <c r="AM40" s="228">
        <v>-11.5</v>
      </c>
      <c r="AN40" s="229">
        <v>1.14E-2</v>
      </c>
      <c r="AO40" s="231">
        <v>3719.86</v>
      </c>
      <c r="AP40" s="231">
        <v>3738.98</v>
      </c>
      <c r="AQ40" s="228">
        <v>0</v>
      </c>
      <c r="AR40" s="230">
        <v>2694375</v>
      </c>
      <c r="AS40" s="230">
        <v>2191875</v>
      </c>
      <c r="AT40" s="230">
        <v>502500</v>
      </c>
      <c r="AU40" s="229">
        <v>0.2293</v>
      </c>
      <c r="AV40" s="230">
        <v>2475375</v>
      </c>
      <c r="AW40" s="230">
        <v>2056500</v>
      </c>
      <c r="AX40" s="230">
        <v>418875</v>
      </c>
      <c r="AY40" s="229">
        <v>0.20369999999999999</v>
      </c>
      <c r="AZ40" s="230">
        <v>179250</v>
      </c>
      <c r="BA40" s="230">
        <v>111750</v>
      </c>
      <c r="BB40" s="230">
        <v>67500</v>
      </c>
      <c r="BC40" s="229">
        <v>0.60399999999999998</v>
      </c>
      <c r="BD40" s="230">
        <v>39750</v>
      </c>
      <c r="BE40" s="230">
        <v>23625</v>
      </c>
      <c r="BF40" s="230">
        <v>16125</v>
      </c>
      <c r="BG40" s="229">
        <v>0.6825</v>
      </c>
      <c r="BH40" s="230">
        <v>11705250</v>
      </c>
      <c r="BI40" s="230">
        <v>6070125</v>
      </c>
      <c r="BJ40" s="230">
        <v>5635125</v>
      </c>
      <c r="BK40" s="229">
        <v>0.92830000000000001</v>
      </c>
      <c r="BL40" s="230">
        <v>7306500</v>
      </c>
      <c r="BM40" s="230">
        <v>5940375</v>
      </c>
      <c r="BN40" s="230">
        <v>1366125</v>
      </c>
      <c r="BO40" s="229">
        <v>0.23</v>
      </c>
      <c r="BP40" s="230">
        <v>21706125</v>
      </c>
      <c r="BQ40" s="230">
        <v>14202375</v>
      </c>
      <c r="BR40" s="230">
        <v>7503750</v>
      </c>
      <c r="BS40" s="229">
        <v>0.52829999999999999</v>
      </c>
      <c r="BT40" s="230">
        <v>3764178</v>
      </c>
      <c r="BU40" s="230">
        <v>2381291</v>
      </c>
      <c r="BV40" s="230">
        <v>1382887</v>
      </c>
      <c r="BW40" s="229">
        <v>0.58069999999999999</v>
      </c>
      <c r="BX40" s="230">
        <v>7545475</v>
      </c>
      <c r="BY40" s="230">
        <v>7525300</v>
      </c>
      <c r="BZ40" s="230">
        <v>20175</v>
      </c>
      <c r="CA40" s="229">
        <v>2.7000000000000001E-3</v>
      </c>
      <c r="CB40" s="230">
        <v>6931125</v>
      </c>
      <c r="CC40" s="230">
        <v>6943500</v>
      </c>
      <c r="CD40" s="230">
        <v>-12375</v>
      </c>
      <c r="CE40" s="229">
        <v>-1.8E-3</v>
      </c>
      <c r="CF40" s="230">
        <v>588750</v>
      </c>
      <c r="CG40" s="230">
        <v>564000</v>
      </c>
      <c r="CH40" s="230">
        <v>24750</v>
      </c>
      <c r="CI40" s="229">
        <v>4.3900000000000002E-2</v>
      </c>
      <c r="CJ40" s="230">
        <v>25600</v>
      </c>
      <c r="CK40" s="230">
        <v>17800</v>
      </c>
      <c r="CL40" s="230">
        <v>7800</v>
      </c>
      <c r="CM40" s="229">
        <v>0.43819999999999998</v>
      </c>
      <c r="CN40" s="230">
        <v>4845375</v>
      </c>
      <c r="CO40" s="230">
        <v>4190250</v>
      </c>
      <c r="CP40" s="230">
        <v>655125</v>
      </c>
      <c r="CQ40" s="229">
        <v>0.15629999999999999</v>
      </c>
      <c r="CR40" s="230">
        <v>4018500</v>
      </c>
      <c r="CS40" s="230">
        <v>3807750</v>
      </c>
      <c r="CT40" s="230">
        <v>210750</v>
      </c>
      <c r="CU40" s="229">
        <v>5.5300000000000002E-2</v>
      </c>
      <c r="CV40" s="230">
        <v>16409350</v>
      </c>
      <c r="CW40" s="230">
        <v>15523300</v>
      </c>
      <c r="CX40" s="230">
        <v>886050</v>
      </c>
      <c r="CY40" s="229">
        <v>5.7099999999999998E-2</v>
      </c>
      <c r="CZ40" s="228">
        <v>43.69</v>
      </c>
      <c r="DA40" s="228">
        <v>41.89</v>
      </c>
      <c r="DB40" s="228">
        <v>1.8</v>
      </c>
      <c r="DC40" s="228">
        <v>1.8</v>
      </c>
      <c r="DD40" s="228">
        <v>58.11</v>
      </c>
      <c r="DE40" s="228">
        <v>58.2</v>
      </c>
      <c r="DF40" s="228">
        <v>-14.42</v>
      </c>
      <c r="DG40" s="228">
        <v>-0.09</v>
      </c>
      <c r="DH40" s="228">
        <v>42.84</v>
      </c>
      <c r="DI40" s="228">
        <v>40.840000000000003</v>
      </c>
      <c r="DJ40" s="228">
        <v>2</v>
      </c>
      <c r="DK40" s="228">
        <v>2</v>
      </c>
      <c r="DL40" s="228">
        <v>45.06</v>
      </c>
      <c r="DM40" s="228">
        <v>42.96</v>
      </c>
      <c r="DN40" s="228">
        <v>2.1</v>
      </c>
      <c r="DO40" s="228">
        <v>2.1</v>
      </c>
      <c r="DP40" s="228">
        <v>0.83</v>
      </c>
      <c r="DQ40" s="228">
        <v>0.91</v>
      </c>
      <c r="DR40" s="228">
        <v>-0.08</v>
      </c>
      <c r="DS40" s="229">
        <v>-8.7900000000000006E-2</v>
      </c>
      <c r="DT40" s="231">
        <v>3600</v>
      </c>
      <c r="DU40" s="231">
        <v>3200</v>
      </c>
      <c r="DV40" s="228">
        <v>0.62</v>
      </c>
      <c r="DW40" s="228">
        <v>0.98</v>
      </c>
      <c r="DX40" s="228">
        <v>-0.36</v>
      </c>
      <c r="DY40" s="229">
        <v>-0.36730000000000002</v>
      </c>
      <c r="DZ40" s="229">
        <v>8.14E-2</v>
      </c>
      <c r="EA40" s="230">
        <v>581800</v>
      </c>
      <c r="EB40" s="229">
        <v>3.7000000000000002E-3</v>
      </c>
      <c r="EC40" s="229">
        <v>8.14E-2</v>
      </c>
      <c r="ED40" s="228">
        <v>19.12</v>
      </c>
      <c r="EE40" s="229">
        <v>5.1000000000000004E-3</v>
      </c>
      <c r="EF40" s="230">
        <v>1316182</v>
      </c>
      <c r="EG40" s="230">
        <v>677449</v>
      </c>
      <c r="EH40" s="229">
        <v>0.94289999999999996</v>
      </c>
      <c r="EI40" s="229">
        <v>0.34970000000000001</v>
      </c>
      <c r="EJ40" s="231">
        <v>459219.74</v>
      </c>
      <c r="EK40" s="231">
        <v>263060.13</v>
      </c>
      <c r="EL40" s="231">
        <v>99579.72</v>
      </c>
      <c r="EM40" s="231">
        <v>10579</v>
      </c>
      <c r="EN40" s="231">
        <v>821859.59</v>
      </c>
      <c r="EO40" s="231">
        <v>522385.9</v>
      </c>
      <c r="EP40" s="231">
        <v>299473.69</v>
      </c>
      <c r="EQ40" s="229">
        <v>0.57330000000000003</v>
      </c>
      <c r="ER40" s="231">
        <v>176985</v>
      </c>
      <c r="ES40" s="231">
        <v>133193</v>
      </c>
      <c r="ET40" s="231">
        <v>280241</v>
      </c>
      <c r="EU40" s="231">
        <v>61182611</v>
      </c>
      <c r="EV40" s="231">
        <v>590418</v>
      </c>
      <c r="EW40" s="231">
        <v>550448</v>
      </c>
      <c r="EX40" s="231">
        <v>39970</v>
      </c>
      <c r="EY40" s="229">
        <v>7.2599999999999998E-2</v>
      </c>
      <c r="EZ40" s="229">
        <v>0.26819999999999999</v>
      </c>
      <c r="FA40" s="227" t="s">
        <v>555</v>
      </c>
      <c r="FB40" s="161">
        <f t="shared" si="0"/>
        <v>614350</v>
      </c>
    </row>
    <row r="41" spans="1:158" ht="17.25" thickBot="1" x14ac:dyDescent="0.3">
      <c r="A41" s="226">
        <v>46146</v>
      </c>
      <c r="B41" s="227" t="s">
        <v>175</v>
      </c>
      <c r="C41" s="227" t="s">
        <v>610</v>
      </c>
      <c r="D41" s="228">
        <v>750</v>
      </c>
      <c r="E41" s="228">
        <v>724.9</v>
      </c>
      <c r="F41" s="228">
        <v>729</v>
      </c>
      <c r="G41" s="228">
        <v>-4.0999999999999996</v>
      </c>
      <c r="H41" s="229">
        <v>-5.5999999999999999E-3</v>
      </c>
      <c r="I41" s="228">
        <v>730.85</v>
      </c>
      <c r="J41" s="228">
        <v>738.6</v>
      </c>
      <c r="K41" s="228">
        <v>-7.75</v>
      </c>
      <c r="L41" s="229">
        <v>-1.0500000000000001E-2</v>
      </c>
      <c r="M41" s="228">
        <v>724.9</v>
      </c>
      <c r="N41" s="228">
        <v>729</v>
      </c>
      <c r="O41" s="228">
        <v>-4.0999999999999996</v>
      </c>
      <c r="P41" s="229">
        <v>-5.5999999999999999E-3</v>
      </c>
      <c r="Q41" s="228">
        <v>716.6</v>
      </c>
      <c r="R41" s="228">
        <v>721.7</v>
      </c>
      <c r="S41" s="228">
        <v>-5.0999999999999996</v>
      </c>
      <c r="T41" s="229">
        <v>-7.1000000000000004E-3</v>
      </c>
      <c r="U41" s="228">
        <v>707.95</v>
      </c>
      <c r="V41" s="228">
        <v>716.1</v>
      </c>
      <c r="W41" s="228">
        <v>-8.15</v>
      </c>
      <c r="X41" s="229">
        <v>-1.14E-2</v>
      </c>
      <c r="Y41" s="228">
        <v>-5.95</v>
      </c>
      <c r="Z41" s="228">
        <v>-9.6</v>
      </c>
      <c r="AA41" s="228">
        <v>3.65</v>
      </c>
      <c r="AB41" s="229">
        <v>-8.0999999999999996E-3</v>
      </c>
      <c r="AC41" s="228">
        <v>-5.95</v>
      </c>
      <c r="AD41" s="228">
        <v>-9.6</v>
      </c>
      <c r="AE41" s="228">
        <v>3.65</v>
      </c>
      <c r="AF41" s="229">
        <v>-8.0999999999999996E-3</v>
      </c>
      <c r="AG41" s="228">
        <v>-14.25</v>
      </c>
      <c r="AH41" s="228">
        <v>-16.899999999999999</v>
      </c>
      <c r="AI41" s="228">
        <v>2.65</v>
      </c>
      <c r="AJ41" s="229">
        <v>-1.95E-2</v>
      </c>
      <c r="AK41" s="228">
        <v>-22.9</v>
      </c>
      <c r="AL41" s="228">
        <v>-22.5</v>
      </c>
      <c r="AM41" s="228">
        <v>-0.4</v>
      </c>
      <c r="AN41" s="229">
        <v>-3.1300000000000001E-2</v>
      </c>
      <c r="AO41" s="228">
        <v>724.77</v>
      </c>
      <c r="AP41" s="228">
        <v>713.94</v>
      </c>
      <c r="AQ41" s="228">
        <v>0</v>
      </c>
      <c r="AR41" s="230">
        <v>1700250</v>
      </c>
      <c r="AS41" s="230">
        <v>4346250</v>
      </c>
      <c r="AT41" s="230">
        <v>-2646000</v>
      </c>
      <c r="AU41" s="229">
        <v>-0.60880000000000001</v>
      </c>
      <c r="AV41" s="230">
        <v>1623750</v>
      </c>
      <c r="AW41" s="230">
        <v>3888000</v>
      </c>
      <c r="AX41" s="230">
        <v>-2264250</v>
      </c>
      <c r="AY41" s="229">
        <v>-0.58240000000000003</v>
      </c>
      <c r="AZ41" s="230">
        <v>71250</v>
      </c>
      <c r="BA41" s="230">
        <v>434250</v>
      </c>
      <c r="BB41" s="230">
        <v>-363000</v>
      </c>
      <c r="BC41" s="229">
        <v>-0.83589999999999998</v>
      </c>
      <c r="BD41" s="230">
        <v>5250</v>
      </c>
      <c r="BE41" s="230">
        <v>24000</v>
      </c>
      <c r="BF41" s="230">
        <v>-18750</v>
      </c>
      <c r="BG41" s="229">
        <v>-0.78129999999999999</v>
      </c>
      <c r="BH41" s="230">
        <v>5170500</v>
      </c>
      <c r="BI41" s="230">
        <v>3264000</v>
      </c>
      <c r="BJ41" s="230">
        <v>1906500</v>
      </c>
      <c r="BK41" s="229">
        <v>0.58409999999999995</v>
      </c>
      <c r="BL41" s="230">
        <v>4016250</v>
      </c>
      <c r="BM41" s="230">
        <v>4307250</v>
      </c>
      <c r="BN41" s="230">
        <v>-291000</v>
      </c>
      <c r="BO41" s="229">
        <v>-6.7599999999999993E-2</v>
      </c>
      <c r="BP41" s="230">
        <v>10887000</v>
      </c>
      <c r="BQ41" s="230">
        <v>11917500</v>
      </c>
      <c r="BR41" s="230">
        <v>-1030500</v>
      </c>
      <c r="BS41" s="229">
        <v>-8.6499999999999994E-2</v>
      </c>
      <c r="BT41" s="230">
        <v>1208627</v>
      </c>
      <c r="BU41" s="230">
        <v>2850997</v>
      </c>
      <c r="BV41" s="230">
        <v>-1642370</v>
      </c>
      <c r="BW41" s="229">
        <v>-0.57609999999999995</v>
      </c>
      <c r="BX41" s="230">
        <v>7500000</v>
      </c>
      <c r="BY41" s="230">
        <v>7480050</v>
      </c>
      <c r="BZ41" s="230">
        <v>19950</v>
      </c>
      <c r="CA41" s="229">
        <v>2.7000000000000001E-3</v>
      </c>
      <c r="CB41" s="230">
        <v>7052250</v>
      </c>
      <c r="CC41" s="230">
        <v>7053000</v>
      </c>
      <c r="CD41" s="228">
        <v>-750</v>
      </c>
      <c r="CE41" s="229">
        <v>-1E-4</v>
      </c>
      <c r="CF41" s="230">
        <v>414750</v>
      </c>
      <c r="CG41" s="230">
        <v>399000</v>
      </c>
      <c r="CH41" s="230">
        <v>15750</v>
      </c>
      <c r="CI41" s="229">
        <v>3.95E-2</v>
      </c>
      <c r="CJ41" s="230">
        <v>33000</v>
      </c>
      <c r="CK41" s="230">
        <v>28050</v>
      </c>
      <c r="CL41" s="230">
        <v>4950</v>
      </c>
      <c r="CM41" s="229">
        <v>0.17649999999999999</v>
      </c>
      <c r="CN41" s="230">
        <v>2742000</v>
      </c>
      <c r="CO41" s="230">
        <v>1596750</v>
      </c>
      <c r="CP41" s="230">
        <v>1145250</v>
      </c>
      <c r="CQ41" s="229">
        <v>0.71719999999999995</v>
      </c>
      <c r="CR41" s="230">
        <v>2324250</v>
      </c>
      <c r="CS41" s="230">
        <v>1351500</v>
      </c>
      <c r="CT41" s="230">
        <v>972750</v>
      </c>
      <c r="CU41" s="229">
        <v>0.7198</v>
      </c>
      <c r="CV41" s="230">
        <v>12566250</v>
      </c>
      <c r="CW41" s="230">
        <v>10428300</v>
      </c>
      <c r="CX41" s="230">
        <v>2137950</v>
      </c>
      <c r="CY41" s="229">
        <v>0.20499999999999999</v>
      </c>
      <c r="CZ41" s="228">
        <v>38.08</v>
      </c>
      <c r="DA41" s="228">
        <v>38.409999999999997</v>
      </c>
      <c r="DB41" s="228">
        <v>-0.33</v>
      </c>
      <c r="DC41" s="228">
        <v>-0.33</v>
      </c>
      <c r="DD41" s="228">
        <v>40.44</v>
      </c>
      <c r="DE41" s="228">
        <v>40.54</v>
      </c>
      <c r="DF41" s="228">
        <v>-2.36</v>
      </c>
      <c r="DG41" s="228">
        <v>-0.1</v>
      </c>
      <c r="DH41" s="228">
        <v>38.26</v>
      </c>
      <c r="DI41" s="228">
        <v>37.799999999999997</v>
      </c>
      <c r="DJ41" s="228">
        <v>0.46</v>
      </c>
      <c r="DK41" s="228">
        <v>0.46</v>
      </c>
      <c r="DL41" s="228">
        <v>37.85</v>
      </c>
      <c r="DM41" s="228">
        <v>38.86</v>
      </c>
      <c r="DN41" s="228">
        <v>-1.01</v>
      </c>
      <c r="DO41" s="228">
        <v>-1.01</v>
      </c>
      <c r="DP41" s="228">
        <v>0.85</v>
      </c>
      <c r="DQ41" s="228">
        <v>0.85</v>
      </c>
      <c r="DR41" s="228">
        <v>0</v>
      </c>
      <c r="DS41" s="229">
        <v>0</v>
      </c>
      <c r="DT41" s="228">
        <v>800</v>
      </c>
      <c r="DU41" s="228">
        <v>740</v>
      </c>
      <c r="DV41" s="228">
        <v>0.78</v>
      </c>
      <c r="DW41" s="228">
        <v>1.32</v>
      </c>
      <c r="DX41" s="228">
        <v>-0.54</v>
      </c>
      <c r="DY41" s="229">
        <v>-0.40910000000000002</v>
      </c>
      <c r="DZ41" s="229">
        <v>5.9700000000000003E-2</v>
      </c>
      <c r="EA41" s="230">
        <v>427050</v>
      </c>
      <c r="EB41" s="229">
        <v>-1.14E-2</v>
      </c>
      <c r="EC41" s="229">
        <v>5.9700000000000003E-2</v>
      </c>
      <c r="ED41" s="228">
        <v>-10.83</v>
      </c>
      <c r="EE41" s="229">
        <v>-1.49E-2</v>
      </c>
      <c r="EF41" s="230">
        <v>402864</v>
      </c>
      <c r="EG41" s="230">
        <v>1091144</v>
      </c>
      <c r="EH41" s="229">
        <v>-0.63080000000000003</v>
      </c>
      <c r="EI41" s="229">
        <v>0.33329999999999999</v>
      </c>
      <c r="EJ41" s="231">
        <v>40231.089999999997</v>
      </c>
      <c r="EK41" s="231">
        <v>29122.41</v>
      </c>
      <c r="EL41" s="231">
        <v>12318.73</v>
      </c>
      <c r="EM41" s="231">
        <v>5202</v>
      </c>
      <c r="EN41" s="231">
        <v>81672.23</v>
      </c>
      <c r="EO41" s="231">
        <v>88370.32</v>
      </c>
      <c r="EP41" s="231">
        <v>-6698.09</v>
      </c>
      <c r="EQ41" s="229">
        <v>-7.5800000000000006E-2</v>
      </c>
      <c r="ER41" s="231">
        <v>21176</v>
      </c>
      <c r="ES41" s="231">
        <v>16672</v>
      </c>
      <c r="ET41" s="231">
        <v>54327</v>
      </c>
      <c r="EU41" s="231">
        <v>37147595</v>
      </c>
      <c r="EV41" s="231">
        <v>92175</v>
      </c>
      <c r="EW41" s="231">
        <v>76759</v>
      </c>
      <c r="EX41" s="231">
        <v>15416</v>
      </c>
      <c r="EY41" s="229">
        <v>0.20080000000000001</v>
      </c>
      <c r="EZ41" s="229">
        <v>0.33829999999999999</v>
      </c>
      <c r="FA41" s="227" t="s">
        <v>566</v>
      </c>
      <c r="FB41" s="161">
        <f t="shared" si="0"/>
        <v>447750</v>
      </c>
    </row>
    <row r="42" spans="1:158" ht="17.25" thickBot="1" x14ac:dyDescent="0.3">
      <c r="A42" s="226">
        <v>46146</v>
      </c>
      <c r="B42" s="227" t="s">
        <v>172</v>
      </c>
      <c r="C42" s="227" t="s">
        <v>196</v>
      </c>
      <c r="D42" s="228">
        <v>6750</v>
      </c>
      <c r="E42" s="228">
        <v>135.22999999999999</v>
      </c>
      <c r="F42" s="228">
        <v>135.44999999999999</v>
      </c>
      <c r="G42" s="228">
        <v>-0.22</v>
      </c>
      <c r="H42" s="229">
        <v>-1.6000000000000001E-3</v>
      </c>
      <c r="I42" s="228">
        <v>134.80000000000001</v>
      </c>
      <c r="J42" s="228">
        <v>134.65</v>
      </c>
      <c r="K42" s="228">
        <v>0.15</v>
      </c>
      <c r="L42" s="229">
        <v>1.1000000000000001E-3</v>
      </c>
      <c r="M42" s="228">
        <v>135.22999999999999</v>
      </c>
      <c r="N42" s="228">
        <v>135.44999999999999</v>
      </c>
      <c r="O42" s="228">
        <v>-0.22</v>
      </c>
      <c r="P42" s="229">
        <v>-1.6000000000000001E-3</v>
      </c>
      <c r="Q42" s="228">
        <v>136.16</v>
      </c>
      <c r="R42" s="228">
        <v>136.26</v>
      </c>
      <c r="S42" s="228">
        <v>-0.1</v>
      </c>
      <c r="T42" s="229">
        <v>-6.9999999999999999E-4</v>
      </c>
      <c r="U42" s="228">
        <v>136.69</v>
      </c>
      <c r="V42" s="228">
        <v>136.93</v>
      </c>
      <c r="W42" s="228">
        <v>-0.24</v>
      </c>
      <c r="X42" s="229">
        <v>-1.8E-3</v>
      </c>
      <c r="Y42" s="228">
        <v>0.43</v>
      </c>
      <c r="Z42" s="228">
        <v>0.8</v>
      </c>
      <c r="AA42" s="228">
        <v>-0.37</v>
      </c>
      <c r="AB42" s="229">
        <v>3.2000000000000002E-3</v>
      </c>
      <c r="AC42" s="228">
        <v>0.43</v>
      </c>
      <c r="AD42" s="228">
        <v>0.8</v>
      </c>
      <c r="AE42" s="228">
        <v>-0.37</v>
      </c>
      <c r="AF42" s="229">
        <v>3.2000000000000002E-3</v>
      </c>
      <c r="AG42" s="228">
        <v>1.36</v>
      </c>
      <c r="AH42" s="228">
        <v>1.61</v>
      </c>
      <c r="AI42" s="228">
        <v>-0.25</v>
      </c>
      <c r="AJ42" s="229">
        <v>1.01E-2</v>
      </c>
      <c r="AK42" s="228">
        <v>1.89</v>
      </c>
      <c r="AL42" s="228">
        <v>2.2799999999999998</v>
      </c>
      <c r="AM42" s="228">
        <v>-0.39</v>
      </c>
      <c r="AN42" s="229">
        <v>1.4E-2</v>
      </c>
      <c r="AO42" s="228">
        <v>136.66999999999999</v>
      </c>
      <c r="AP42" s="228">
        <v>138.09</v>
      </c>
      <c r="AQ42" s="228">
        <v>0</v>
      </c>
      <c r="AR42" s="230">
        <v>24306750</v>
      </c>
      <c r="AS42" s="230">
        <v>32244750</v>
      </c>
      <c r="AT42" s="230">
        <v>-7938000</v>
      </c>
      <c r="AU42" s="229">
        <v>-0.2462</v>
      </c>
      <c r="AV42" s="230">
        <v>22140000</v>
      </c>
      <c r="AW42" s="230">
        <v>29524500</v>
      </c>
      <c r="AX42" s="230">
        <v>-7384500</v>
      </c>
      <c r="AY42" s="229">
        <v>-0.25009999999999999</v>
      </c>
      <c r="AZ42" s="230">
        <v>1930500</v>
      </c>
      <c r="BA42" s="230">
        <v>2322000</v>
      </c>
      <c r="BB42" s="230">
        <v>-391500</v>
      </c>
      <c r="BC42" s="229">
        <v>-0.1686</v>
      </c>
      <c r="BD42" s="230">
        <v>236250</v>
      </c>
      <c r="BE42" s="230">
        <v>398250</v>
      </c>
      <c r="BF42" s="230">
        <v>-162000</v>
      </c>
      <c r="BG42" s="229">
        <v>-0.40679999999999999</v>
      </c>
      <c r="BH42" s="230">
        <v>57071250</v>
      </c>
      <c r="BI42" s="230">
        <v>51414750</v>
      </c>
      <c r="BJ42" s="230">
        <v>5656500</v>
      </c>
      <c r="BK42" s="229">
        <v>0.11</v>
      </c>
      <c r="BL42" s="230">
        <v>34985250</v>
      </c>
      <c r="BM42" s="230">
        <v>41195250</v>
      </c>
      <c r="BN42" s="230">
        <v>-6210000</v>
      </c>
      <c r="BO42" s="229">
        <v>-0.1507</v>
      </c>
      <c r="BP42" s="230">
        <v>116363250</v>
      </c>
      <c r="BQ42" s="230">
        <v>124854750</v>
      </c>
      <c r="BR42" s="230">
        <v>-8491500</v>
      </c>
      <c r="BS42" s="229">
        <v>-6.8000000000000005E-2</v>
      </c>
      <c r="BT42" s="230">
        <v>12032908</v>
      </c>
      <c r="BU42" s="230">
        <v>20640450</v>
      </c>
      <c r="BV42" s="230">
        <v>-8607542</v>
      </c>
      <c r="BW42" s="229">
        <v>-0.41699999999999998</v>
      </c>
      <c r="BX42" s="230">
        <v>219813750</v>
      </c>
      <c r="BY42" s="230">
        <v>216222750</v>
      </c>
      <c r="BZ42" s="230">
        <v>3591000</v>
      </c>
      <c r="CA42" s="229">
        <v>1.66E-2</v>
      </c>
      <c r="CB42" s="230">
        <v>197687250</v>
      </c>
      <c r="CC42" s="230">
        <v>195075000</v>
      </c>
      <c r="CD42" s="230">
        <v>2612250</v>
      </c>
      <c r="CE42" s="229">
        <v>1.34E-2</v>
      </c>
      <c r="CF42" s="230">
        <v>21532500</v>
      </c>
      <c r="CG42" s="230">
        <v>20661750</v>
      </c>
      <c r="CH42" s="230">
        <v>870750</v>
      </c>
      <c r="CI42" s="229">
        <v>4.2099999999999999E-2</v>
      </c>
      <c r="CJ42" s="230">
        <v>594000</v>
      </c>
      <c r="CK42" s="230">
        <v>486000</v>
      </c>
      <c r="CL42" s="230">
        <v>108000</v>
      </c>
      <c r="CM42" s="229">
        <v>0.22220000000000001</v>
      </c>
      <c r="CN42" s="230">
        <v>63456750</v>
      </c>
      <c r="CO42" s="230">
        <v>55073250</v>
      </c>
      <c r="CP42" s="230">
        <v>8383500</v>
      </c>
      <c r="CQ42" s="229">
        <v>0.1522</v>
      </c>
      <c r="CR42" s="230">
        <v>62214750</v>
      </c>
      <c r="CS42" s="230">
        <v>57084750</v>
      </c>
      <c r="CT42" s="230">
        <v>5130000</v>
      </c>
      <c r="CU42" s="229">
        <v>8.9899999999999994E-2</v>
      </c>
      <c r="CV42" s="230">
        <v>345485250</v>
      </c>
      <c r="CW42" s="230">
        <v>328380750</v>
      </c>
      <c r="CX42" s="230">
        <v>17104500</v>
      </c>
      <c r="CY42" s="229">
        <v>5.21E-2</v>
      </c>
      <c r="CZ42" s="228">
        <v>37.979999999999997</v>
      </c>
      <c r="DA42" s="228">
        <v>37.07</v>
      </c>
      <c r="DB42" s="228">
        <v>0.91</v>
      </c>
      <c r="DC42" s="228">
        <v>0.91</v>
      </c>
      <c r="DD42" s="228">
        <v>38.630000000000003</v>
      </c>
      <c r="DE42" s="228">
        <v>38.72</v>
      </c>
      <c r="DF42" s="228">
        <v>-0.65</v>
      </c>
      <c r="DG42" s="228">
        <v>-0.09</v>
      </c>
      <c r="DH42" s="228">
        <v>37.590000000000003</v>
      </c>
      <c r="DI42" s="228">
        <v>36.93</v>
      </c>
      <c r="DJ42" s="228">
        <v>0.66</v>
      </c>
      <c r="DK42" s="228">
        <v>0.66</v>
      </c>
      <c r="DL42" s="228">
        <v>38.630000000000003</v>
      </c>
      <c r="DM42" s="228">
        <v>37.24</v>
      </c>
      <c r="DN42" s="228">
        <v>1.39</v>
      </c>
      <c r="DO42" s="228">
        <v>1.39</v>
      </c>
      <c r="DP42" s="228">
        <v>0.98</v>
      </c>
      <c r="DQ42" s="228">
        <v>1.04</v>
      </c>
      <c r="DR42" s="228">
        <v>-0.06</v>
      </c>
      <c r="DS42" s="229">
        <v>-5.7700000000000001E-2</v>
      </c>
      <c r="DT42" s="228">
        <v>140</v>
      </c>
      <c r="DU42" s="228">
        <v>120</v>
      </c>
      <c r="DV42" s="228">
        <v>0.61</v>
      </c>
      <c r="DW42" s="228">
        <v>0.8</v>
      </c>
      <c r="DX42" s="228">
        <v>-0.19</v>
      </c>
      <c r="DY42" s="229">
        <v>-0.23749999999999999</v>
      </c>
      <c r="DZ42" s="229">
        <v>0.1007</v>
      </c>
      <c r="EA42" s="230">
        <v>21147750</v>
      </c>
      <c r="EB42" s="229">
        <v>6.8999999999999999E-3</v>
      </c>
      <c r="EC42" s="229">
        <v>0.1007</v>
      </c>
      <c r="ED42" s="228">
        <v>1.42</v>
      </c>
      <c r="EE42" s="229">
        <v>1.04E-2</v>
      </c>
      <c r="EF42" s="230">
        <v>4169382</v>
      </c>
      <c r="EG42" s="230">
        <v>8637901</v>
      </c>
      <c r="EH42" s="229">
        <v>-0.51729999999999998</v>
      </c>
      <c r="EI42" s="229">
        <v>0.34649999999999997</v>
      </c>
      <c r="EJ42" s="231">
        <v>83021.17</v>
      </c>
      <c r="EK42" s="231">
        <v>47096.77</v>
      </c>
      <c r="EL42" s="231">
        <v>33250.86</v>
      </c>
      <c r="EM42" s="231">
        <v>9554</v>
      </c>
      <c r="EN42" s="231">
        <v>163368.79999999999</v>
      </c>
      <c r="EO42" s="231">
        <v>174340.25</v>
      </c>
      <c r="EP42" s="231">
        <v>-10971.45</v>
      </c>
      <c r="EQ42" s="229">
        <v>-6.2899999999999998E-2</v>
      </c>
      <c r="ER42" s="231">
        <v>91691</v>
      </c>
      <c r="ES42" s="231">
        <v>84206</v>
      </c>
      <c r="ET42" s="231">
        <v>297463</v>
      </c>
      <c r="EU42" s="231">
        <v>504315430</v>
      </c>
      <c r="EV42" s="231">
        <v>473359</v>
      </c>
      <c r="EW42" s="231">
        <v>450445</v>
      </c>
      <c r="EX42" s="231">
        <v>22914</v>
      </c>
      <c r="EY42" s="229">
        <v>5.0900000000000001E-2</v>
      </c>
      <c r="EZ42" s="229">
        <v>0.68510000000000004</v>
      </c>
      <c r="FA42" s="227" t="s">
        <v>566</v>
      </c>
      <c r="FB42" s="161">
        <f t="shared" si="0"/>
        <v>22126500</v>
      </c>
    </row>
    <row r="43" spans="1:158" ht="17.25" thickBot="1" x14ac:dyDescent="0.3">
      <c r="A43" s="226">
        <v>46146</v>
      </c>
      <c r="B43" s="227" t="s">
        <v>175</v>
      </c>
      <c r="C43" s="227" t="s">
        <v>596</v>
      </c>
      <c r="D43" s="228">
        <v>475</v>
      </c>
      <c r="E43" s="231">
        <v>1241</v>
      </c>
      <c r="F43" s="231">
        <v>1270.7</v>
      </c>
      <c r="G43" s="228">
        <v>-29.7</v>
      </c>
      <c r="H43" s="229">
        <v>-2.3400000000000001E-2</v>
      </c>
      <c r="I43" s="231">
        <v>1238.3</v>
      </c>
      <c r="J43" s="231">
        <v>1272</v>
      </c>
      <c r="K43" s="228">
        <v>-33.700000000000003</v>
      </c>
      <c r="L43" s="229">
        <v>-2.6499999999999999E-2</v>
      </c>
      <c r="M43" s="231">
        <v>1241</v>
      </c>
      <c r="N43" s="231">
        <v>1270.7</v>
      </c>
      <c r="O43" s="228">
        <v>-29.7</v>
      </c>
      <c r="P43" s="229">
        <v>-2.3400000000000001E-2</v>
      </c>
      <c r="Q43" s="231">
        <v>1236.8</v>
      </c>
      <c r="R43" s="231">
        <v>1263.5999999999999</v>
      </c>
      <c r="S43" s="228">
        <v>-26.8</v>
      </c>
      <c r="T43" s="229">
        <v>-2.12E-2</v>
      </c>
      <c r="U43" s="231">
        <v>1229.5</v>
      </c>
      <c r="V43" s="231">
        <v>1259.8</v>
      </c>
      <c r="W43" s="228">
        <v>-30.3</v>
      </c>
      <c r="X43" s="229">
        <v>-2.41E-2</v>
      </c>
      <c r="Y43" s="228">
        <v>2.7</v>
      </c>
      <c r="Z43" s="228">
        <v>-1.3</v>
      </c>
      <c r="AA43" s="228">
        <v>4</v>
      </c>
      <c r="AB43" s="229">
        <v>2.2000000000000001E-3</v>
      </c>
      <c r="AC43" s="228">
        <v>2.7</v>
      </c>
      <c r="AD43" s="228">
        <v>-1.3</v>
      </c>
      <c r="AE43" s="228">
        <v>4</v>
      </c>
      <c r="AF43" s="229">
        <v>2.2000000000000001E-3</v>
      </c>
      <c r="AG43" s="228">
        <v>-1.5</v>
      </c>
      <c r="AH43" s="228">
        <v>-8.4</v>
      </c>
      <c r="AI43" s="228">
        <v>6.9</v>
      </c>
      <c r="AJ43" s="229">
        <v>-1.1999999999999999E-3</v>
      </c>
      <c r="AK43" s="228">
        <v>-8.8000000000000007</v>
      </c>
      <c r="AL43" s="228">
        <v>-12.2</v>
      </c>
      <c r="AM43" s="228">
        <v>3.4</v>
      </c>
      <c r="AN43" s="229">
        <v>-7.1000000000000004E-3</v>
      </c>
      <c r="AO43" s="231">
        <v>1242.19</v>
      </c>
      <c r="AP43" s="231">
        <v>1235.24</v>
      </c>
      <c r="AQ43" s="228">
        <v>0</v>
      </c>
      <c r="AR43" s="230">
        <v>5065400</v>
      </c>
      <c r="AS43" s="230">
        <v>2761175</v>
      </c>
      <c r="AT43" s="230">
        <v>2304225</v>
      </c>
      <c r="AU43" s="229">
        <v>0.83450000000000002</v>
      </c>
      <c r="AV43" s="230">
        <v>4558575</v>
      </c>
      <c r="AW43" s="230">
        <v>2394950</v>
      </c>
      <c r="AX43" s="230">
        <v>2163625</v>
      </c>
      <c r="AY43" s="229">
        <v>0.90339999999999998</v>
      </c>
      <c r="AZ43" s="230">
        <v>410875</v>
      </c>
      <c r="BA43" s="230">
        <v>294975</v>
      </c>
      <c r="BB43" s="230">
        <v>115900</v>
      </c>
      <c r="BC43" s="229">
        <v>0.39290000000000003</v>
      </c>
      <c r="BD43" s="230">
        <v>95950</v>
      </c>
      <c r="BE43" s="230">
        <v>71250</v>
      </c>
      <c r="BF43" s="230">
        <v>24700</v>
      </c>
      <c r="BG43" s="229">
        <v>0.34670000000000001</v>
      </c>
      <c r="BH43" s="230">
        <v>12863950</v>
      </c>
      <c r="BI43" s="230">
        <v>5911375</v>
      </c>
      <c r="BJ43" s="230">
        <v>6952575</v>
      </c>
      <c r="BK43" s="229">
        <v>1.1760999999999999</v>
      </c>
      <c r="BL43" s="230">
        <v>11348700</v>
      </c>
      <c r="BM43" s="230">
        <v>4658800</v>
      </c>
      <c r="BN43" s="230">
        <v>6689900</v>
      </c>
      <c r="BO43" s="229">
        <v>1.4359999999999999</v>
      </c>
      <c r="BP43" s="230">
        <v>29278050</v>
      </c>
      <c r="BQ43" s="230">
        <v>13331350</v>
      </c>
      <c r="BR43" s="230">
        <v>15946700</v>
      </c>
      <c r="BS43" s="229">
        <v>1.1961999999999999</v>
      </c>
      <c r="BT43" s="230">
        <v>4740623</v>
      </c>
      <c r="BU43" s="230">
        <v>2429730</v>
      </c>
      <c r="BV43" s="230">
        <v>2310893</v>
      </c>
      <c r="BW43" s="229">
        <v>0.95109999999999995</v>
      </c>
      <c r="BX43" s="230">
        <v>12398925</v>
      </c>
      <c r="BY43" s="230">
        <v>11686425</v>
      </c>
      <c r="BZ43" s="230">
        <v>712500</v>
      </c>
      <c r="CA43" s="229">
        <v>6.0999999999999999E-2</v>
      </c>
      <c r="CB43" s="230">
        <v>10982000</v>
      </c>
      <c r="CC43" s="230">
        <v>10450950</v>
      </c>
      <c r="CD43" s="230">
        <v>531050</v>
      </c>
      <c r="CE43" s="229">
        <v>5.0799999999999998E-2</v>
      </c>
      <c r="CF43" s="230">
        <v>1230725</v>
      </c>
      <c r="CG43" s="230">
        <v>1107700</v>
      </c>
      <c r="CH43" s="230">
        <v>123025</v>
      </c>
      <c r="CI43" s="229">
        <v>0.1111</v>
      </c>
      <c r="CJ43" s="230">
        <v>186200</v>
      </c>
      <c r="CK43" s="230">
        <v>127775</v>
      </c>
      <c r="CL43" s="230">
        <v>58425</v>
      </c>
      <c r="CM43" s="229">
        <v>0.4572</v>
      </c>
      <c r="CN43" s="230">
        <v>6059575</v>
      </c>
      <c r="CO43" s="230">
        <v>4484950</v>
      </c>
      <c r="CP43" s="230">
        <v>1574625</v>
      </c>
      <c r="CQ43" s="229">
        <v>0.35110000000000002</v>
      </c>
      <c r="CR43" s="230">
        <v>4487800</v>
      </c>
      <c r="CS43" s="230">
        <v>4144850</v>
      </c>
      <c r="CT43" s="230">
        <v>342950</v>
      </c>
      <c r="CU43" s="229">
        <v>8.2699999999999996E-2</v>
      </c>
      <c r="CV43" s="230">
        <v>22946300</v>
      </c>
      <c r="CW43" s="230">
        <v>20316225</v>
      </c>
      <c r="CX43" s="230">
        <v>2630075</v>
      </c>
      <c r="CY43" s="229">
        <v>0.1295</v>
      </c>
      <c r="CZ43" s="228">
        <v>36.89</v>
      </c>
      <c r="DA43" s="228">
        <v>38.909999999999997</v>
      </c>
      <c r="DB43" s="228">
        <v>-2.02</v>
      </c>
      <c r="DC43" s="228">
        <v>-2.02</v>
      </c>
      <c r="DD43" s="228">
        <v>46.21</v>
      </c>
      <c r="DE43" s="228">
        <v>46.21</v>
      </c>
      <c r="DF43" s="228">
        <v>-9.32</v>
      </c>
      <c r="DG43" s="228">
        <v>0</v>
      </c>
      <c r="DH43" s="228">
        <v>36.99</v>
      </c>
      <c r="DI43" s="228">
        <v>38.36</v>
      </c>
      <c r="DJ43" s="228">
        <v>-1.37</v>
      </c>
      <c r="DK43" s="228">
        <v>-1.37</v>
      </c>
      <c r="DL43" s="228">
        <v>36.770000000000003</v>
      </c>
      <c r="DM43" s="228">
        <v>39.61</v>
      </c>
      <c r="DN43" s="228">
        <v>-2.84</v>
      </c>
      <c r="DO43" s="228">
        <v>-2.84</v>
      </c>
      <c r="DP43" s="228">
        <v>0.74</v>
      </c>
      <c r="DQ43" s="228">
        <v>0.92</v>
      </c>
      <c r="DR43" s="228">
        <v>-0.18</v>
      </c>
      <c r="DS43" s="229">
        <v>-0.19570000000000001</v>
      </c>
      <c r="DT43" s="231">
        <v>1400</v>
      </c>
      <c r="DU43" s="231">
        <v>1300</v>
      </c>
      <c r="DV43" s="228">
        <v>0.88</v>
      </c>
      <c r="DW43" s="228">
        <v>0.79</v>
      </c>
      <c r="DX43" s="228">
        <v>0.09</v>
      </c>
      <c r="DY43" s="229">
        <v>0.1139</v>
      </c>
      <c r="DZ43" s="229">
        <v>0.1143</v>
      </c>
      <c r="EA43" s="230">
        <v>1235475</v>
      </c>
      <c r="EB43" s="229">
        <v>-3.3999999999999998E-3</v>
      </c>
      <c r="EC43" s="229">
        <v>0.1143</v>
      </c>
      <c r="ED43" s="228">
        <v>-6.95</v>
      </c>
      <c r="EE43" s="229">
        <v>-5.5999999999999999E-3</v>
      </c>
      <c r="EF43" s="230">
        <v>1506864</v>
      </c>
      <c r="EG43" s="230">
        <v>1012214</v>
      </c>
      <c r="EH43" s="229">
        <v>0.48870000000000002</v>
      </c>
      <c r="EI43" s="229">
        <v>0.31790000000000002</v>
      </c>
      <c r="EJ43" s="231">
        <v>172862.58</v>
      </c>
      <c r="EK43" s="231">
        <v>140534.03</v>
      </c>
      <c r="EL43" s="231">
        <v>62880.82</v>
      </c>
      <c r="EM43" s="231">
        <v>8444</v>
      </c>
      <c r="EN43" s="231">
        <v>376277.43</v>
      </c>
      <c r="EO43" s="231">
        <v>175700.81</v>
      </c>
      <c r="EP43" s="231">
        <v>200576.62</v>
      </c>
      <c r="EQ43" s="229">
        <v>1.1415999999999999</v>
      </c>
      <c r="ER43" s="231">
        <v>82153</v>
      </c>
      <c r="ES43" s="231">
        <v>57077</v>
      </c>
      <c r="ET43" s="231">
        <v>153798</v>
      </c>
      <c r="EU43" s="231">
        <v>26647500</v>
      </c>
      <c r="EV43" s="231">
        <v>293027</v>
      </c>
      <c r="EW43" s="231">
        <v>262751</v>
      </c>
      <c r="EX43" s="231">
        <v>30276</v>
      </c>
      <c r="EY43" s="229">
        <v>0.1152</v>
      </c>
      <c r="EZ43" s="229">
        <v>0.86109999999999998</v>
      </c>
      <c r="FA43" s="227" t="s">
        <v>566</v>
      </c>
      <c r="FB43" s="161">
        <f t="shared" si="0"/>
        <v>1416925</v>
      </c>
    </row>
    <row r="44" spans="1:158" ht="17.25" thickBot="1" x14ac:dyDescent="0.3">
      <c r="A44" s="226">
        <v>46146</v>
      </c>
      <c r="B44" s="227" t="s">
        <v>161</v>
      </c>
      <c r="C44" s="227" t="s">
        <v>611</v>
      </c>
      <c r="D44" s="228">
        <v>850</v>
      </c>
      <c r="E44" s="228">
        <v>807</v>
      </c>
      <c r="F44" s="228">
        <v>818.45</v>
      </c>
      <c r="G44" s="228">
        <v>-11.45</v>
      </c>
      <c r="H44" s="229">
        <v>-1.4E-2</v>
      </c>
      <c r="I44" s="228">
        <v>802.3</v>
      </c>
      <c r="J44" s="228">
        <v>813.35</v>
      </c>
      <c r="K44" s="228">
        <v>-11.05</v>
      </c>
      <c r="L44" s="229">
        <v>-1.3599999999999999E-2</v>
      </c>
      <c r="M44" s="228">
        <v>807</v>
      </c>
      <c r="N44" s="228">
        <v>818.45</v>
      </c>
      <c r="O44" s="228">
        <v>-11.45</v>
      </c>
      <c r="P44" s="229">
        <v>-1.4E-2</v>
      </c>
      <c r="Q44" s="228">
        <v>812.05</v>
      </c>
      <c r="R44" s="228">
        <v>823.25</v>
      </c>
      <c r="S44" s="228">
        <v>-11.2</v>
      </c>
      <c r="T44" s="229">
        <v>-1.3599999999999999E-2</v>
      </c>
      <c r="U44" s="228">
        <v>819</v>
      </c>
      <c r="V44" s="228">
        <v>827.35</v>
      </c>
      <c r="W44" s="228">
        <v>-8.35</v>
      </c>
      <c r="X44" s="229">
        <v>-1.01E-2</v>
      </c>
      <c r="Y44" s="228">
        <v>4.7</v>
      </c>
      <c r="Z44" s="228">
        <v>5.0999999999999996</v>
      </c>
      <c r="AA44" s="228">
        <v>-0.4</v>
      </c>
      <c r="AB44" s="229">
        <v>5.8999999999999999E-3</v>
      </c>
      <c r="AC44" s="228">
        <v>4.7</v>
      </c>
      <c r="AD44" s="228">
        <v>5.0999999999999996</v>
      </c>
      <c r="AE44" s="228">
        <v>-0.4</v>
      </c>
      <c r="AF44" s="229">
        <v>5.8999999999999999E-3</v>
      </c>
      <c r="AG44" s="228">
        <v>9.75</v>
      </c>
      <c r="AH44" s="228">
        <v>9.9</v>
      </c>
      <c r="AI44" s="228">
        <v>-0.15</v>
      </c>
      <c r="AJ44" s="229">
        <v>1.2200000000000001E-2</v>
      </c>
      <c r="AK44" s="228">
        <v>16.7</v>
      </c>
      <c r="AL44" s="228">
        <v>14</v>
      </c>
      <c r="AM44" s="228">
        <v>2.7</v>
      </c>
      <c r="AN44" s="229">
        <v>2.0799999999999999E-2</v>
      </c>
      <c r="AO44" s="228">
        <v>818.99</v>
      </c>
      <c r="AP44" s="228">
        <v>826.5</v>
      </c>
      <c r="AQ44" s="228">
        <v>0</v>
      </c>
      <c r="AR44" s="230">
        <v>3217250</v>
      </c>
      <c r="AS44" s="230">
        <v>3343050</v>
      </c>
      <c r="AT44" s="230">
        <v>-125800</v>
      </c>
      <c r="AU44" s="229">
        <v>-3.7600000000000001E-2</v>
      </c>
      <c r="AV44" s="230">
        <v>3121200</v>
      </c>
      <c r="AW44" s="230">
        <v>3273350</v>
      </c>
      <c r="AX44" s="230">
        <v>-152150</v>
      </c>
      <c r="AY44" s="229">
        <v>-4.65E-2</v>
      </c>
      <c r="AZ44" s="230">
        <v>92650</v>
      </c>
      <c r="BA44" s="230">
        <v>67150</v>
      </c>
      <c r="BB44" s="230">
        <v>25500</v>
      </c>
      <c r="BC44" s="229">
        <v>0.37969999999999998</v>
      </c>
      <c r="BD44" s="230">
        <v>3400</v>
      </c>
      <c r="BE44" s="230">
        <v>2550</v>
      </c>
      <c r="BF44" s="228">
        <v>850</v>
      </c>
      <c r="BG44" s="229">
        <v>0.33329999999999999</v>
      </c>
      <c r="BH44" s="230">
        <v>5319300</v>
      </c>
      <c r="BI44" s="230">
        <v>3169650</v>
      </c>
      <c r="BJ44" s="230">
        <v>2149650</v>
      </c>
      <c r="BK44" s="229">
        <v>0.67820000000000003</v>
      </c>
      <c r="BL44" s="230">
        <v>2210850</v>
      </c>
      <c r="BM44" s="230">
        <v>2218500</v>
      </c>
      <c r="BN44" s="230">
        <v>-7650</v>
      </c>
      <c r="BO44" s="229">
        <v>-3.3999999999999998E-3</v>
      </c>
      <c r="BP44" s="230">
        <v>10747400</v>
      </c>
      <c r="BQ44" s="230">
        <v>8731200</v>
      </c>
      <c r="BR44" s="230">
        <v>2016200</v>
      </c>
      <c r="BS44" s="229">
        <v>0.23089999999999999</v>
      </c>
      <c r="BT44" s="230">
        <v>2665844</v>
      </c>
      <c r="BU44" s="230">
        <v>3726147</v>
      </c>
      <c r="BV44" s="230">
        <v>-1060303</v>
      </c>
      <c r="BW44" s="229">
        <v>-0.28460000000000002</v>
      </c>
      <c r="BX44" s="230">
        <v>22122100</v>
      </c>
      <c r="BY44" s="230">
        <v>21756600</v>
      </c>
      <c r="BZ44" s="230">
        <v>365500</v>
      </c>
      <c r="CA44" s="229">
        <v>1.6799999999999999E-2</v>
      </c>
      <c r="CB44" s="230">
        <v>19355350</v>
      </c>
      <c r="CC44" s="230">
        <v>19039150</v>
      </c>
      <c r="CD44" s="230">
        <v>316200</v>
      </c>
      <c r="CE44" s="229">
        <v>1.66E-2</v>
      </c>
      <c r="CF44" s="230">
        <v>2761650</v>
      </c>
      <c r="CG44" s="230">
        <v>2715750</v>
      </c>
      <c r="CH44" s="230">
        <v>45900</v>
      </c>
      <c r="CI44" s="229">
        <v>1.6899999999999998E-2</v>
      </c>
      <c r="CJ44" s="230">
        <v>5100</v>
      </c>
      <c r="CK44" s="230">
        <v>1700</v>
      </c>
      <c r="CL44" s="230">
        <v>3400</v>
      </c>
      <c r="CM44" s="229">
        <v>2</v>
      </c>
      <c r="CN44" s="230">
        <v>3305650</v>
      </c>
      <c r="CO44" s="230">
        <v>2266100</v>
      </c>
      <c r="CP44" s="230">
        <v>1039550</v>
      </c>
      <c r="CQ44" s="229">
        <v>0.4587</v>
      </c>
      <c r="CR44" s="230">
        <v>2103750</v>
      </c>
      <c r="CS44" s="230">
        <v>1870850</v>
      </c>
      <c r="CT44" s="230">
        <v>232900</v>
      </c>
      <c r="CU44" s="229">
        <v>0.1245</v>
      </c>
      <c r="CV44" s="230">
        <v>27531500</v>
      </c>
      <c r="CW44" s="230">
        <v>25893550</v>
      </c>
      <c r="CX44" s="230">
        <v>1637950</v>
      </c>
      <c r="CY44" s="229">
        <v>6.3299999999999995E-2</v>
      </c>
      <c r="CZ44" s="228">
        <v>42.81</v>
      </c>
      <c r="DA44" s="228">
        <v>41.08</v>
      </c>
      <c r="DB44" s="228">
        <v>1.73</v>
      </c>
      <c r="DC44" s="228">
        <v>1.73</v>
      </c>
      <c r="DD44" s="228">
        <v>41.92</v>
      </c>
      <c r="DE44" s="228">
        <v>41.98</v>
      </c>
      <c r="DF44" s="228">
        <v>0.89</v>
      </c>
      <c r="DG44" s="228">
        <v>-0.06</v>
      </c>
      <c r="DH44" s="228">
        <v>42.73</v>
      </c>
      <c r="DI44" s="228">
        <v>41.44</v>
      </c>
      <c r="DJ44" s="228">
        <v>1.29</v>
      </c>
      <c r="DK44" s="228">
        <v>1.29</v>
      </c>
      <c r="DL44" s="228">
        <v>43.02</v>
      </c>
      <c r="DM44" s="228">
        <v>40.549999999999997</v>
      </c>
      <c r="DN44" s="228">
        <v>2.4700000000000002</v>
      </c>
      <c r="DO44" s="228">
        <v>2.4700000000000002</v>
      </c>
      <c r="DP44" s="228">
        <v>0.64</v>
      </c>
      <c r="DQ44" s="228">
        <v>0.83</v>
      </c>
      <c r="DR44" s="228">
        <v>-0.19</v>
      </c>
      <c r="DS44" s="229">
        <v>-0.22889999999999999</v>
      </c>
      <c r="DT44" s="228">
        <v>850</v>
      </c>
      <c r="DU44" s="228">
        <v>800</v>
      </c>
      <c r="DV44" s="228">
        <v>0.42</v>
      </c>
      <c r="DW44" s="228">
        <v>0.7</v>
      </c>
      <c r="DX44" s="228">
        <v>-0.28000000000000003</v>
      </c>
      <c r="DY44" s="229">
        <v>-0.4</v>
      </c>
      <c r="DZ44" s="229">
        <v>0.12509999999999999</v>
      </c>
      <c r="EA44" s="230">
        <v>2717450</v>
      </c>
      <c r="EB44" s="229">
        <v>6.3E-3</v>
      </c>
      <c r="EC44" s="229">
        <v>0.12509999999999999</v>
      </c>
      <c r="ED44" s="228">
        <v>7.51</v>
      </c>
      <c r="EE44" s="229">
        <v>9.1999999999999998E-3</v>
      </c>
      <c r="EF44" s="230">
        <v>1410234</v>
      </c>
      <c r="EG44" s="230">
        <v>2215923</v>
      </c>
      <c r="EH44" s="229">
        <v>-0.36359999999999998</v>
      </c>
      <c r="EI44" s="229">
        <v>0.52900000000000003</v>
      </c>
      <c r="EJ44" s="231">
        <v>46482.96</v>
      </c>
      <c r="EK44" s="231">
        <v>18045.11</v>
      </c>
      <c r="EL44" s="231">
        <v>26356.13</v>
      </c>
      <c r="EM44" s="231">
        <v>6543</v>
      </c>
      <c r="EN44" s="231">
        <v>90884.2</v>
      </c>
      <c r="EO44" s="231">
        <v>72935.12</v>
      </c>
      <c r="EP44" s="231">
        <v>17949.080000000002</v>
      </c>
      <c r="EQ44" s="229">
        <v>0.24610000000000001</v>
      </c>
      <c r="ER44" s="231">
        <v>27953</v>
      </c>
      <c r="ES44" s="231">
        <v>16501</v>
      </c>
      <c r="ET44" s="231">
        <v>178665</v>
      </c>
      <c r="EU44" s="231">
        <v>103080397</v>
      </c>
      <c r="EV44" s="231">
        <v>223119</v>
      </c>
      <c r="EW44" s="231">
        <v>211938</v>
      </c>
      <c r="EX44" s="231">
        <v>11181</v>
      </c>
      <c r="EY44" s="229">
        <v>5.28E-2</v>
      </c>
      <c r="EZ44" s="229">
        <v>0.2671</v>
      </c>
      <c r="FA44" s="227" t="s">
        <v>566</v>
      </c>
      <c r="FB44" s="161">
        <f t="shared" si="0"/>
        <v>2766750</v>
      </c>
    </row>
    <row r="45" spans="1:158" ht="17.25" thickBot="1" x14ac:dyDescent="0.3">
      <c r="A45" s="226">
        <v>46146</v>
      </c>
      <c r="B45" s="227" t="s">
        <v>175</v>
      </c>
      <c r="C45" s="227" t="s">
        <v>198</v>
      </c>
      <c r="D45" s="228">
        <v>625</v>
      </c>
      <c r="E45" s="231">
        <v>1644.2</v>
      </c>
      <c r="F45" s="231">
        <v>1573</v>
      </c>
      <c r="G45" s="228">
        <v>71.2</v>
      </c>
      <c r="H45" s="229">
        <v>4.53E-2</v>
      </c>
      <c r="I45" s="231">
        <v>1639.5</v>
      </c>
      <c r="J45" s="231">
        <v>1562.9</v>
      </c>
      <c r="K45" s="228">
        <v>76.599999999999994</v>
      </c>
      <c r="L45" s="229">
        <v>4.9000000000000002E-2</v>
      </c>
      <c r="M45" s="231">
        <v>1644.2</v>
      </c>
      <c r="N45" s="231">
        <v>1573</v>
      </c>
      <c r="O45" s="228">
        <v>71.2</v>
      </c>
      <c r="P45" s="229">
        <v>4.53E-2</v>
      </c>
      <c r="Q45" s="231">
        <v>1651.9</v>
      </c>
      <c r="R45" s="231">
        <v>1585.2</v>
      </c>
      <c r="S45" s="228">
        <v>66.7</v>
      </c>
      <c r="T45" s="229">
        <v>4.2099999999999999E-2</v>
      </c>
      <c r="U45" s="231">
        <v>1656.8</v>
      </c>
      <c r="V45" s="231">
        <v>1587.6</v>
      </c>
      <c r="W45" s="228">
        <v>69.2</v>
      </c>
      <c r="X45" s="229">
        <v>4.36E-2</v>
      </c>
      <c r="Y45" s="228">
        <v>4.7</v>
      </c>
      <c r="Z45" s="228">
        <v>10.1</v>
      </c>
      <c r="AA45" s="228">
        <v>-5.4</v>
      </c>
      <c r="AB45" s="229">
        <v>2.8999999999999998E-3</v>
      </c>
      <c r="AC45" s="228">
        <v>4.7</v>
      </c>
      <c r="AD45" s="228">
        <v>10.1</v>
      </c>
      <c r="AE45" s="228">
        <v>-5.4</v>
      </c>
      <c r="AF45" s="229">
        <v>2.8999999999999998E-3</v>
      </c>
      <c r="AG45" s="228">
        <v>12.4</v>
      </c>
      <c r="AH45" s="228">
        <v>22.3</v>
      </c>
      <c r="AI45" s="228">
        <v>-9.9</v>
      </c>
      <c r="AJ45" s="229">
        <v>7.6E-3</v>
      </c>
      <c r="AK45" s="228">
        <v>17.3</v>
      </c>
      <c r="AL45" s="228">
        <v>24.7</v>
      </c>
      <c r="AM45" s="228">
        <v>-7.4</v>
      </c>
      <c r="AN45" s="229">
        <v>1.06E-2</v>
      </c>
      <c r="AO45" s="231">
        <v>1631.88</v>
      </c>
      <c r="AP45" s="231">
        <v>1639.17</v>
      </c>
      <c r="AQ45" s="228">
        <v>0</v>
      </c>
      <c r="AR45" s="230">
        <v>5935000</v>
      </c>
      <c r="AS45" s="230">
        <v>9267500</v>
      </c>
      <c r="AT45" s="230">
        <v>-3332500</v>
      </c>
      <c r="AU45" s="229">
        <v>-0.35959999999999998</v>
      </c>
      <c r="AV45" s="230">
        <v>5816250</v>
      </c>
      <c r="AW45" s="230">
        <v>9110000</v>
      </c>
      <c r="AX45" s="230">
        <v>-3293750</v>
      </c>
      <c r="AY45" s="229">
        <v>-0.36159999999999998</v>
      </c>
      <c r="AZ45" s="230">
        <v>113125</v>
      </c>
      <c r="BA45" s="230">
        <v>144375</v>
      </c>
      <c r="BB45" s="230">
        <v>-31250</v>
      </c>
      <c r="BC45" s="229">
        <v>-0.2165</v>
      </c>
      <c r="BD45" s="230">
        <v>5625</v>
      </c>
      <c r="BE45" s="230">
        <v>13125</v>
      </c>
      <c r="BF45" s="230">
        <v>-7500</v>
      </c>
      <c r="BG45" s="229">
        <v>-0.57140000000000002</v>
      </c>
      <c r="BH45" s="230">
        <v>14231875</v>
      </c>
      <c r="BI45" s="230">
        <v>18153125</v>
      </c>
      <c r="BJ45" s="230">
        <v>-3921250</v>
      </c>
      <c r="BK45" s="229">
        <v>-0.216</v>
      </c>
      <c r="BL45" s="230">
        <v>6826250</v>
      </c>
      <c r="BM45" s="230">
        <v>10334375</v>
      </c>
      <c r="BN45" s="230">
        <v>-3508125</v>
      </c>
      <c r="BO45" s="229">
        <v>-0.33950000000000002</v>
      </c>
      <c r="BP45" s="230">
        <v>26993125</v>
      </c>
      <c r="BQ45" s="230">
        <v>37755000</v>
      </c>
      <c r="BR45" s="230">
        <v>-10761875</v>
      </c>
      <c r="BS45" s="229">
        <v>-0.28499999999999998</v>
      </c>
      <c r="BT45" s="230">
        <v>5988366</v>
      </c>
      <c r="BU45" s="230">
        <v>8020143</v>
      </c>
      <c r="BV45" s="230">
        <v>-2031777</v>
      </c>
      <c r="BW45" s="229">
        <v>-0.25330000000000003</v>
      </c>
      <c r="BX45" s="230">
        <v>19477500</v>
      </c>
      <c r="BY45" s="230">
        <v>19903750</v>
      </c>
      <c r="BZ45" s="230">
        <v>-426250</v>
      </c>
      <c r="CA45" s="229">
        <v>-2.1399999999999999E-2</v>
      </c>
      <c r="CB45" s="230">
        <v>18475625</v>
      </c>
      <c r="CC45" s="230">
        <v>18895625</v>
      </c>
      <c r="CD45" s="230">
        <v>-420000</v>
      </c>
      <c r="CE45" s="229">
        <v>-2.2200000000000001E-2</v>
      </c>
      <c r="CF45" s="230">
        <v>996875</v>
      </c>
      <c r="CG45" s="230">
        <v>1003750</v>
      </c>
      <c r="CH45" s="230">
        <v>-6875</v>
      </c>
      <c r="CI45" s="229">
        <v>-6.7999999999999996E-3</v>
      </c>
      <c r="CJ45" s="230">
        <v>5000</v>
      </c>
      <c r="CK45" s="230">
        <v>4375</v>
      </c>
      <c r="CL45" s="228">
        <v>625</v>
      </c>
      <c r="CM45" s="229">
        <v>0.1429</v>
      </c>
      <c r="CN45" s="230">
        <v>2582500</v>
      </c>
      <c r="CO45" s="230">
        <v>2616250</v>
      </c>
      <c r="CP45" s="230">
        <v>-33750</v>
      </c>
      <c r="CQ45" s="229">
        <v>-1.29E-2</v>
      </c>
      <c r="CR45" s="230">
        <v>2221875</v>
      </c>
      <c r="CS45" s="230">
        <v>1875000</v>
      </c>
      <c r="CT45" s="230">
        <v>346875</v>
      </c>
      <c r="CU45" s="229">
        <v>0.185</v>
      </c>
      <c r="CV45" s="230">
        <v>24281875</v>
      </c>
      <c r="CW45" s="230">
        <v>24395000</v>
      </c>
      <c r="CX45" s="230">
        <v>-113125</v>
      </c>
      <c r="CY45" s="229">
        <v>-4.5999999999999999E-3</v>
      </c>
      <c r="CZ45" s="228">
        <v>34.42</v>
      </c>
      <c r="DA45" s="228">
        <v>35.24</v>
      </c>
      <c r="DB45" s="228">
        <v>-0.82</v>
      </c>
      <c r="DC45" s="228">
        <v>-0.82</v>
      </c>
      <c r="DD45" s="228">
        <v>40.81</v>
      </c>
      <c r="DE45" s="228">
        <v>40.39</v>
      </c>
      <c r="DF45" s="228">
        <v>-6.39</v>
      </c>
      <c r="DG45" s="228">
        <v>0.42</v>
      </c>
      <c r="DH45" s="228">
        <v>33.700000000000003</v>
      </c>
      <c r="DI45" s="228">
        <v>34.880000000000003</v>
      </c>
      <c r="DJ45" s="228">
        <v>-1.18</v>
      </c>
      <c r="DK45" s="228">
        <v>-1.18</v>
      </c>
      <c r="DL45" s="228">
        <v>35.93</v>
      </c>
      <c r="DM45" s="228">
        <v>35.869999999999997</v>
      </c>
      <c r="DN45" s="228">
        <v>0.06</v>
      </c>
      <c r="DO45" s="228">
        <v>0.06</v>
      </c>
      <c r="DP45" s="228">
        <v>0.86</v>
      </c>
      <c r="DQ45" s="228">
        <v>0.72</v>
      </c>
      <c r="DR45" s="228">
        <v>0.14000000000000001</v>
      </c>
      <c r="DS45" s="229">
        <v>0.19439999999999999</v>
      </c>
      <c r="DT45" s="231">
        <v>1600</v>
      </c>
      <c r="DU45" s="231">
        <v>1400</v>
      </c>
      <c r="DV45" s="228">
        <v>0.48</v>
      </c>
      <c r="DW45" s="228">
        <v>0.56999999999999995</v>
      </c>
      <c r="DX45" s="228">
        <v>-0.09</v>
      </c>
      <c r="DY45" s="229">
        <v>-0.15790000000000001</v>
      </c>
      <c r="DZ45" s="229">
        <v>5.1400000000000001E-2</v>
      </c>
      <c r="EA45" s="230">
        <v>1008125</v>
      </c>
      <c r="EB45" s="229">
        <v>4.7000000000000002E-3</v>
      </c>
      <c r="EC45" s="229">
        <v>5.1400000000000001E-2</v>
      </c>
      <c r="ED45" s="228">
        <v>7.29</v>
      </c>
      <c r="EE45" s="229">
        <v>4.4999999999999997E-3</v>
      </c>
      <c r="EF45" s="230">
        <v>3304729</v>
      </c>
      <c r="EG45" s="230">
        <v>4241255</v>
      </c>
      <c r="EH45" s="229">
        <v>-0.2208</v>
      </c>
      <c r="EI45" s="229">
        <v>0.55189999999999995</v>
      </c>
      <c r="EJ45" s="231">
        <v>244053.33</v>
      </c>
      <c r="EK45" s="231">
        <v>107955.43</v>
      </c>
      <c r="EL45" s="231">
        <v>96860.39</v>
      </c>
      <c r="EM45" s="231">
        <v>11673</v>
      </c>
      <c r="EN45" s="231">
        <v>448869.15</v>
      </c>
      <c r="EO45" s="231">
        <v>599532.72</v>
      </c>
      <c r="EP45" s="231">
        <v>-150663.57</v>
      </c>
      <c r="EQ45" s="229">
        <v>-0.25130000000000002</v>
      </c>
      <c r="ER45" s="231">
        <v>41994</v>
      </c>
      <c r="ES45" s="231">
        <v>33550</v>
      </c>
      <c r="ET45" s="231">
        <v>320326</v>
      </c>
      <c r="EU45" s="231">
        <v>63646863</v>
      </c>
      <c r="EV45" s="231">
        <v>395871</v>
      </c>
      <c r="EW45" s="231">
        <v>382887</v>
      </c>
      <c r="EX45" s="231">
        <v>12984</v>
      </c>
      <c r="EY45" s="229">
        <v>3.39E-2</v>
      </c>
      <c r="EZ45" s="229">
        <v>0.38150000000000001</v>
      </c>
      <c r="FA45" s="227" t="s">
        <v>691</v>
      </c>
      <c r="FB45" s="161">
        <f t="shared" si="0"/>
        <v>1001875</v>
      </c>
    </row>
    <row r="46" spans="1:158" ht="17.25" thickBot="1" x14ac:dyDescent="0.3">
      <c r="A46" s="226">
        <v>46146</v>
      </c>
      <c r="B46" s="227" t="s">
        <v>170</v>
      </c>
      <c r="C46" s="227" t="s">
        <v>199</v>
      </c>
      <c r="D46" s="228">
        <v>375</v>
      </c>
      <c r="E46" s="231">
        <v>1338.8</v>
      </c>
      <c r="F46" s="231">
        <v>1315.2</v>
      </c>
      <c r="G46" s="228">
        <v>23.6</v>
      </c>
      <c r="H46" s="229">
        <v>1.7899999999999999E-2</v>
      </c>
      <c r="I46" s="231">
        <v>1335</v>
      </c>
      <c r="J46" s="231">
        <v>1309.5999999999999</v>
      </c>
      <c r="K46" s="228">
        <v>25.4</v>
      </c>
      <c r="L46" s="229">
        <v>1.9400000000000001E-2</v>
      </c>
      <c r="M46" s="231">
        <v>1338.8</v>
      </c>
      <c r="N46" s="231">
        <v>1315.2</v>
      </c>
      <c r="O46" s="228">
        <v>23.6</v>
      </c>
      <c r="P46" s="229">
        <v>1.7899999999999999E-2</v>
      </c>
      <c r="Q46" s="231">
        <v>1342.5</v>
      </c>
      <c r="R46" s="231">
        <v>1314.7</v>
      </c>
      <c r="S46" s="228">
        <v>27.8</v>
      </c>
      <c r="T46" s="229">
        <v>2.1100000000000001E-2</v>
      </c>
      <c r="U46" s="231">
        <v>1341.7</v>
      </c>
      <c r="V46" s="231">
        <v>1320.2</v>
      </c>
      <c r="W46" s="228">
        <v>21.5</v>
      </c>
      <c r="X46" s="229">
        <v>1.6299999999999999E-2</v>
      </c>
      <c r="Y46" s="228">
        <v>3.8</v>
      </c>
      <c r="Z46" s="228">
        <v>5.6</v>
      </c>
      <c r="AA46" s="228">
        <v>-1.8</v>
      </c>
      <c r="AB46" s="229">
        <v>2.8E-3</v>
      </c>
      <c r="AC46" s="228">
        <v>3.8</v>
      </c>
      <c r="AD46" s="228">
        <v>5.6</v>
      </c>
      <c r="AE46" s="228">
        <v>-1.8</v>
      </c>
      <c r="AF46" s="229">
        <v>2.8E-3</v>
      </c>
      <c r="AG46" s="228">
        <v>7.5</v>
      </c>
      <c r="AH46" s="228">
        <v>5.0999999999999996</v>
      </c>
      <c r="AI46" s="228">
        <v>2.4</v>
      </c>
      <c r="AJ46" s="229">
        <v>5.5999999999999999E-3</v>
      </c>
      <c r="AK46" s="228">
        <v>6.7</v>
      </c>
      <c r="AL46" s="228">
        <v>10.6</v>
      </c>
      <c r="AM46" s="228">
        <v>-3.9</v>
      </c>
      <c r="AN46" s="229">
        <v>5.0000000000000001E-3</v>
      </c>
      <c r="AO46" s="231">
        <v>1332.74</v>
      </c>
      <c r="AP46" s="231">
        <v>1335.73</v>
      </c>
      <c r="AQ46" s="228">
        <v>0</v>
      </c>
      <c r="AR46" s="230">
        <v>1289625</v>
      </c>
      <c r="AS46" s="230">
        <v>1402500</v>
      </c>
      <c r="AT46" s="230">
        <v>-112875</v>
      </c>
      <c r="AU46" s="229">
        <v>-8.0500000000000002E-2</v>
      </c>
      <c r="AV46" s="230">
        <v>1202250</v>
      </c>
      <c r="AW46" s="230">
        <v>1254375</v>
      </c>
      <c r="AX46" s="230">
        <v>-52125</v>
      </c>
      <c r="AY46" s="229">
        <v>-4.1599999999999998E-2</v>
      </c>
      <c r="AZ46" s="230">
        <v>82875</v>
      </c>
      <c r="BA46" s="230">
        <v>142500</v>
      </c>
      <c r="BB46" s="230">
        <v>-59625</v>
      </c>
      <c r="BC46" s="229">
        <v>-0.41839999999999999</v>
      </c>
      <c r="BD46" s="230">
        <v>4500</v>
      </c>
      <c r="BE46" s="230">
        <v>5625</v>
      </c>
      <c r="BF46" s="230">
        <v>-1125</v>
      </c>
      <c r="BG46" s="229">
        <v>-0.2</v>
      </c>
      <c r="BH46" s="230">
        <v>4828125</v>
      </c>
      <c r="BI46" s="230">
        <v>4983000</v>
      </c>
      <c r="BJ46" s="230">
        <v>-154875</v>
      </c>
      <c r="BK46" s="229">
        <v>-3.1099999999999999E-2</v>
      </c>
      <c r="BL46" s="230">
        <v>1804500</v>
      </c>
      <c r="BM46" s="230">
        <v>1718250</v>
      </c>
      <c r="BN46" s="230">
        <v>86250</v>
      </c>
      <c r="BO46" s="229">
        <v>5.0200000000000002E-2</v>
      </c>
      <c r="BP46" s="230">
        <v>7922250</v>
      </c>
      <c r="BQ46" s="230">
        <v>8103750</v>
      </c>
      <c r="BR46" s="230">
        <v>-181500</v>
      </c>
      <c r="BS46" s="229">
        <v>-2.24E-2</v>
      </c>
      <c r="BT46" s="230">
        <v>1140074</v>
      </c>
      <c r="BU46" s="230">
        <v>1447981</v>
      </c>
      <c r="BV46" s="230">
        <v>-307907</v>
      </c>
      <c r="BW46" s="229">
        <v>-0.21260000000000001</v>
      </c>
      <c r="BX46" s="230">
        <v>13723025</v>
      </c>
      <c r="BY46" s="230">
        <v>13962775</v>
      </c>
      <c r="BZ46" s="230">
        <v>-239750</v>
      </c>
      <c r="CA46" s="229">
        <v>-1.72E-2</v>
      </c>
      <c r="CB46" s="230">
        <v>13381125</v>
      </c>
      <c r="CC46" s="230">
        <v>13652250</v>
      </c>
      <c r="CD46" s="230">
        <v>-271125</v>
      </c>
      <c r="CE46" s="229">
        <v>-1.9900000000000001E-2</v>
      </c>
      <c r="CF46" s="230">
        <v>330000</v>
      </c>
      <c r="CG46" s="230">
        <v>300750</v>
      </c>
      <c r="CH46" s="230">
        <v>29250</v>
      </c>
      <c r="CI46" s="229">
        <v>9.7299999999999998E-2</v>
      </c>
      <c r="CJ46" s="230">
        <v>11900</v>
      </c>
      <c r="CK46" s="230">
        <v>9775</v>
      </c>
      <c r="CL46" s="230">
        <v>2125</v>
      </c>
      <c r="CM46" s="229">
        <v>0.21740000000000001</v>
      </c>
      <c r="CN46" s="230">
        <v>3997500</v>
      </c>
      <c r="CO46" s="230">
        <v>3540000</v>
      </c>
      <c r="CP46" s="230">
        <v>457500</v>
      </c>
      <c r="CQ46" s="229">
        <v>0.12920000000000001</v>
      </c>
      <c r="CR46" s="230">
        <v>2763750</v>
      </c>
      <c r="CS46" s="230">
        <v>2442000</v>
      </c>
      <c r="CT46" s="230">
        <v>321750</v>
      </c>
      <c r="CU46" s="229">
        <v>0.1318</v>
      </c>
      <c r="CV46" s="230">
        <v>20484275</v>
      </c>
      <c r="CW46" s="230">
        <v>19944775</v>
      </c>
      <c r="CX46" s="230">
        <v>539500</v>
      </c>
      <c r="CY46" s="229">
        <v>2.7E-2</v>
      </c>
      <c r="CZ46" s="228">
        <v>27.32</v>
      </c>
      <c r="DA46" s="228">
        <v>27.92</v>
      </c>
      <c r="DB46" s="228">
        <v>-0.6</v>
      </c>
      <c r="DC46" s="228">
        <v>-0.6</v>
      </c>
      <c r="DD46" s="228">
        <v>25.78</v>
      </c>
      <c r="DE46" s="228">
        <v>25.72</v>
      </c>
      <c r="DF46" s="228">
        <v>1.54</v>
      </c>
      <c r="DG46" s="228">
        <v>0.06</v>
      </c>
      <c r="DH46" s="228">
        <v>26.88</v>
      </c>
      <c r="DI46" s="228">
        <v>27.8</v>
      </c>
      <c r="DJ46" s="228">
        <v>-0.92</v>
      </c>
      <c r="DK46" s="228">
        <v>-0.92</v>
      </c>
      <c r="DL46" s="228">
        <v>28.5</v>
      </c>
      <c r="DM46" s="228">
        <v>28.25</v>
      </c>
      <c r="DN46" s="228">
        <v>0.25</v>
      </c>
      <c r="DO46" s="228">
        <v>0.25</v>
      </c>
      <c r="DP46" s="228">
        <v>0.69</v>
      </c>
      <c r="DQ46" s="228">
        <v>0.69</v>
      </c>
      <c r="DR46" s="228">
        <v>0</v>
      </c>
      <c r="DS46" s="229">
        <v>0</v>
      </c>
      <c r="DT46" s="231">
        <v>1360</v>
      </c>
      <c r="DU46" s="231">
        <v>1250</v>
      </c>
      <c r="DV46" s="228">
        <v>0.37</v>
      </c>
      <c r="DW46" s="228">
        <v>0.34</v>
      </c>
      <c r="DX46" s="228">
        <v>0.03</v>
      </c>
      <c r="DY46" s="229">
        <v>8.8200000000000001E-2</v>
      </c>
      <c r="DZ46" s="229">
        <v>2.4899999999999999E-2</v>
      </c>
      <c r="EA46" s="230">
        <v>310525</v>
      </c>
      <c r="EB46" s="229">
        <v>2.8E-3</v>
      </c>
      <c r="EC46" s="229">
        <v>2.4899999999999999E-2</v>
      </c>
      <c r="ED46" s="228">
        <v>2.99</v>
      </c>
      <c r="EE46" s="229">
        <v>2.2000000000000001E-3</v>
      </c>
      <c r="EF46" s="230">
        <v>640886</v>
      </c>
      <c r="EG46" s="230">
        <v>859951</v>
      </c>
      <c r="EH46" s="229">
        <v>-0.25469999999999998</v>
      </c>
      <c r="EI46" s="229">
        <v>0.56210000000000004</v>
      </c>
      <c r="EJ46" s="231">
        <v>67242.490000000005</v>
      </c>
      <c r="EK46" s="231">
        <v>23352.43</v>
      </c>
      <c r="EL46" s="231">
        <v>17198.2</v>
      </c>
      <c r="EM46" s="231">
        <v>9300</v>
      </c>
      <c r="EN46" s="231">
        <v>107793.12</v>
      </c>
      <c r="EO46" s="231">
        <v>109745.2</v>
      </c>
      <c r="EP46" s="231">
        <v>-1952.08</v>
      </c>
      <c r="EQ46" s="229">
        <v>-1.78E-2</v>
      </c>
      <c r="ER46" s="231">
        <v>54887</v>
      </c>
      <c r="ES46" s="231">
        <v>34939</v>
      </c>
      <c r="ET46" s="231">
        <v>183736</v>
      </c>
      <c r="EU46" s="231">
        <v>76385219</v>
      </c>
      <c r="EV46" s="231">
        <v>273562</v>
      </c>
      <c r="EW46" s="231">
        <v>262746</v>
      </c>
      <c r="EX46" s="231">
        <v>10816</v>
      </c>
      <c r="EY46" s="229">
        <v>4.1200000000000001E-2</v>
      </c>
      <c r="EZ46" s="229">
        <v>0.26819999999999999</v>
      </c>
      <c r="FA46" s="227" t="s">
        <v>691</v>
      </c>
      <c r="FB46" s="161">
        <f t="shared" si="0"/>
        <v>341900</v>
      </c>
    </row>
    <row r="47" spans="1:158" ht="17.25" thickBot="1" x14ac:dyDescent="0.3">
      <c r="A47" s="226">
        <v>46146</v>
      </c>
      <c r="B47" s="227" t="s">
        <v>227</v>
      </c>
      <c r="C47" s="227" t="s">
        <v>200</v>
      </c>
      <c r="D47" s="228">
        <v>1350</v>
      </c>
      <c r="E47" s="228">
        <v>481.2</v>
      </c>
      <c r="F47" s="228">
        <v>483.75</v>
      </c>
      <c r="G47" s="228">
        <v>-2.5499999999999998</v>
      </c>
      <c r="H47" s="229">
        <v>-5.3E-3</v>
      </c>
      <c r="I47" s="228">
        <v>479.95</v>
      </c>
      <c r="J47" s="228">
        <v>481.45</v>
      </c>
      <c r="K47" s="228">
        <v>-1.5</v>
      </c>
      <c r="L47" s="229">
        <v>-3.0999999999999999E-3</v>
      </c>
      <c r="M47" s="228">
        <v>481.2</v>
      </c>
      <c r="N47" s="228">
        <v>483.75</v>
      </c>
      <c r="O47" s="228">
        <v>-2.5499999999999998</v>
      </c>
      <c r="P47" s="229">
        <v>-5.3E-3</v>
      </c>
      <c r="Q47" s="228">
        <v>480.55</v>
      </c>
      <c r="R47" s="228">
        <v>481.65</v>
      </c>
      <c r="S47" s="228">
        <v>-1.1000000000000001</v>
      </c>
      <c r="T47" s="229">
        <v>-2.3E-3</v>
      </c>
      <c r="U47" s="228">
        <v>481.05</v>
      </c>
      <c r="V47" s="228">
        <v>482</v>
      </c>
      <c r="W47" s="228">
        <v>-0.95</v>
      </c>
      <c r="X47" s="229">
        <v>-2E-3</v>
      </c>
      <c r="Y47" s="228">
        <v>1.25</v>
      </c>
      <c r="Z47" s="228">
        <v>2.2999999999999998</v>
      </c>
      <c r="AA47" s="228">
        <v>-1.05</v>
      </c>
      <c r="AB47" s="229">
        <v>2.5999999999999999E-3</v>
      </c>
      <c r="AC47" s="228">
        <v>1.25</v>
      </c>
      <c r="AD47" s="228">
        <v>2.2999999999999998</v>
      </c>
      <c r="AE47" s="228">
        <v>-1.05</v>
      </c>
      <c r="AF47" s="229">
        <v>2.5999999999999999E-3</v>
      </c>
      <c r="AG47" s="228">
        <v>0.6</v>
      </c>
      <c r="AH47" s="228">
        <v>0.2</v>
      </c>
      <c r="AI47" s="228">
        <v>0.4</v>
      </c>
      <c r="AJ47" s="229">
        <v>1.2999999999999999E-3</v>
      </c>
      <c r="AK47" s="228">
        <v>1.1000000000000001</v>
      </c>
      <c r="AL47" s="228">
        <v>0.55000000000000004</v>
      </c>
      <c r="AM47" s="228">
        <v>0.55000000000000004</v>
      </c>
      <c r="AN47" s="229">
        <v>2.3E-3</v>
      </c>
      <c r="AO47" s="228">
        <v>482.64</v>
      </c>
      <c r="AP47" s="228">
        <v>481.07</v>
      </c>
      <c r="AQ47" s="228">
        <v>0</v>
      </c>
      <c r="AR47" s="230">
        <v>7788150</v>
      </c>
      <c r="AS47" s="230">
        <v>13695750</v>
      </c>
      <c r="AT47" s="230">
        <v>-5907600</v>
      </c>
      <c r="AU47" s="229">
        <v>-0.43130000000000002</v>
      </c>
      <c r="AV47" s="230">
        <v>7145550</v>
      </c>
      <c r="AW47" s="230">
        <v>13014000</v>
      </c>
      <c r="AX47" s="230">
        <v>-5868450</v>
      </c>
      <c r="AY47" s="229">
        <v>-0.45090000000000002</v>
      </c>
      <c r="AZ47" s="230">
        <v>580500</v>
      </c>
      <c r="BA47" s="230">
        <v>587250</v>
      </c>
      <c r="BB47" s="230">
        <v>-6750</v>
      </c>
      <c r="BC47" s="229">
        <v>-1.15E-2</v>
      </c>
      <c r="BD47" s="230">
        <v>62100</v>
      </c>
      <c r="BE47" s="230">
        <v>94500</v>
      </c>
      <c r="BF47" s="230">
        <v>-32400</v>
      </c>
      <c r="BG47" s="229">
        <v>-0.34289999999999998</v>
      </c>
      <c r="BH47" s="230">
        <v>28115100</v>
      </c>
      <c r="BI47" s="230">
        <v>68921550</v>
      </c>
      <c r="BJ47" s="230">
        <v>-40806450</v>
      </c>
      <c r="BK47" s="229">
        <v>-0.59209999999999996</v>
      </c>
      <c r="BL47" s="230">
        <v>20083950</v>
      </c>
      <c r="BM47" s="230">
        <v>31401000</v>
      </c>
      <c r="BN47" s="230">
        <v>-11317050</v>
      </c>
      <c r="BO47" s="229">
        <v>-0.3604</v>
      </c>
      <c r="BP47" s="230">
        <v>55987200</v>
      </c>
      <c r="BQ47" s="230">
        <v>114018300</v>
      </c>
      <c r="BR47" s="230">
        <v>-58031100</v>
      </c>
      <c r="BS47" s="229">
        <v>-0.50900000000000001</v>
      </c>
      <c r="BT47" s="230">
        <v>8046334</v>
      </c>
      <c r="BU47" s="230">
        <v>18123375</v>
      </c>
      <c r="BV47" s="230">
        <v>-10077041</v>
      </c>
      <c r="BW47" s="229">
        <v>-0.55600000000000005</v>
      </c>
      <c r="BX47" s="230">
        <v>52436700</v>
      </c>
      <c r="BY47" s="230">
        <v>52783650</v>
      </c>
      <c r="BZ47" s="230">
        <v>-346950</v>
      </c>
      <c r="CA47" s="229">
        <v>-6.6E-3</v>
      </c>
      <c r="CB47" s="230">
        <v>50549400</v>
      </c>
      <c r="CC47" s="230">
        <v>51086700</v>
      </c>
      <c r="CD47" s="230">
        <v>-537300</v>
      </c>
      <c r="CE47" s="229">
        <v>-1.0500000000000001E-2</v>
      </c>
      <c r="CF47" s="230">
        <v>1798200</v>
      </c>
      <c r="CG47" s="230">
        <v>1625400</v>
      </c>
      <c r="CH47" s="230">
        <v>172800</v>
      </c>
      <c r="CI47" s="229">
        <v>0.10630000000000001</v>
      </c>
      <c r="CJ47" s="230">
        <v>89100</v>
      </c>
      <c r="CK47" s="230">
        <v>71550</v>
      </c>
      <c r="CL47" s="230">
        <v>17550</v>
      </c>
      <c r="CM47" s="229">
        <v>0.24529999999999999</v>
      </c>
      <c r="CN47" s="230">
        <v>26017200</v>
      </c>
      <c r="CO47" s="230">
        <v>25308450</v>
      </c>
      <c r="CP47" s="230">
        <v>708750</v>
      </c>
      <c r="CQ47" s="229">
        <v>2.8000000000000001E-2</v>
      </c>
      <c r="CR47" s="230">
        <v>17752500</v>
      </c>
      <c r="CS47" s="230">
        <v>18049500</v>
      </c>
      <c r="CT47" s="230">
        <v>-297000</v>
      </c>
      <c r="CU47" s="229">
        <v>-1.6500000000000001E-2</v>
      </c>
      <c r="CV47" s="230">
        <v>96206400</v>
      </c>
      <c r="CW47" s="230">
        <v>96141600</v>
      </c>
      <c r="CX47" s="230">
        <v>64800</v>
      </c>
      <c r="CY47" s="229">
        <v>6.9999999999999999E-4</v>
      </c>
      <c r="CZ47" s="228">
        <v>27.44</v>
      </c>
      <c r="DA47" s="228">
        <v>26.14</v>
      </c>
      <c r="DB47" s="228">
        <v>1.3</v>
      </c>
      <c r="DC47" s="228">
        <v>1.3</v>
      </c>
      <c r="DD47" s="228">
        <v>31.12</v>
      </c>
      <c r="DE47" s="228">
        <v>31.19</v>
      </c>
      <c r="DF47" s="228">
        <v>-3.68</v>
      </c>
      <c r="DG47" s="228">
        <v>-7.0000000000000007E-2</v>
      </c>
      <c r="DH47" s="228">
        <v>27.03</v>
      </c>
      <c r="DI47" s="228">
        <v>26.05</v>
      </c>
      <c r="DJ47" s="228">
        <v>0.98</v>
      </c>
      <c r="DK47" s="228">
        <v>0.98</v>
      </c>
      <c r="DL47" s="228">
        <v>28.03</v>
      </c>
      <c r="DM47" s="228">
        <v>26.35</v>
      </c>
      <c r="DN47" s="228">
        <v>1.68</v>
      </c>
      <c r="DO47" s="228">
        <v>1.68</v>
      </c>
      <c r="DP47" s="228">
        <v>0.68</v>
      </c>
      <c r="DQ47" s="228">
        <v>0.71</v>
      </c>
      <c r="DR47" s="228">
        <v>-0.03</v>
      </c>
      <c r="DS47" s="229">
        <v>-4.2299999999999997E-2</v>
      </c>
      <c r="DT47" s="228">
        <v>500</v>
      </c>
      <c r="DU47" s="228">
        <v>450</v>
      </c>
      <c r="DV47" s="228">
        <v>0.71</v>
      </c>
      <c r="DW47" s="228">
        <v>0.46</v>
      </c>
      <c r="DX47" s="228">
        <v>0.25</v>
      </c>
      <c r="DY47" s="229">
        <v>0.54349999999999998</v>
      </c>
      <c r="DZ47" s="229">
        <v>3.5999999999999997E-2</v>
      </c>
      <c r="EA47" s="230">
        <v>1696950</v>
      </c>
      <c r="EB47" s="229">
        <v>-1.4E-3</v>
      </c>
      <c r="EC47" s="229">
        <v>3.5999999999999997E-2</v>
      </c>
      <c r="ED47" s="228">
        <v>-1.57</v>
      </c>
      <c r="EE47" s="229">
        <v>-3.3E-3</v>
      </c>
      <c r="EF47" s="230">
        <v>4566111</v>
      </c>
      <c r="EG47" s="230">
        <v>7429338</v>
      </c>
      <c r="EH47" s="229">
        <v>-0.38540000000000002</v>
      </c>
      <c r="EI47" s="229">
        <v>0.5675</v>
      </c>
      <c r="EJ47" s="231">
        <v>142213.20000000001</v>
      </c>
      <c r="EK47" s="231">
        <v>94349.93</v>
      </c>
      <c r="EL47" s="231">
        <v>37579.18</v>
      </c>
      <c r="EM47" s="231">
        <v>21551</v>
      </c>
      <c r="EN47" s="231">
        <v>274142.31</v>
      </c>
      <c r="EO47" s="231">
        <v>566003.19999999995</v>
      </c>
      <c r="EP47" s="231">
        <v>-291860.89</v>
      </c>
      <c r="EQ47" s="229">
        <v>-0.51570000000000005</v>
      </c>
      <c r="ER47" s="231">
        <v>127725</v>
      </c>
      <c r="ES47" s="231">
        <v>80328</v>
      </c>
      <c r="ET47" s="231">
        <v>252314</v>
      </c>
      <c r="EU47" s="231">
        <v>320531323</v>
      </c>
      <c r="EV47" s="231">
        <v>460366</v>
      </c>
      <c r="EW47" s="231">
        <v>460767</v>
      </c>
      <c r="EX47" s="228">
        <v>-401</v>
      </c>
      <c r="EY47" s="229">
        <v>-8.9999999999999998E-4</v>
      </c>
      <c r="EZ47" s="229">
        <v>0.30009999999999998</v>
      </c>
      <c r="FA47" s="227" t="s">
        <v>567</v>
      </c>
      <c r="FB47" s="161">
        <f t="shared" si="0"/>
        <v>1887300</v>
      </c>
    </row>
    <row r="48" spans="1:158" ht="17.25" thickBot="1" x14ac:dyDescent="0.3">
      <c r="A48" s="226">
        <v>46146</v>
      </c>
      <c r="B48" s="227" t="s">
        <v>215</v>
      </c>
      <c r="C48" s="227" t="s">
        <v>694</v>
      </c>
      <c r="D48" s="228">
        <v>400</v>
      </c>
      <c r="E48" s="231">
        <v>1729.2</v>
      </c>
      <c r="F48" s="231">
        <v>1739.8</v>
      </c>
      <c r="G48" s="228">
        <v>-10.6</v>
      </c>
      <c r="H48" s="229">
        <v>-6.1000000000000004E-3</v>
      </c>
      <c r="I48" s="231">
        <v>1719.3</v>
      </c>
      <c r="J48" s="231">
        <v>1733.4</v>
      </c>
      <c r="K48" s="228">
        <v>-14.1</v>
      </c>
      <c r="L48" s="229">
        <v>-8.0999999999999996E-3</v>
      </c>
      <c r="M48" s="231">
        <v>1729.2</v>
      </c>
      <c r="N48" s="231">
        <v>1739.8</v>
      </c>
      <c r="O48" s="228">
        <v>-10.6</v>
      </c>
      <c r="P48" s="229">
        <v>-6.1000000000000004E-3</v>
      </c>
      <c r="Q48" s="231">
        <v>1734</v>
      </c>
      <c r="R48" s="231">
        <v>1745.4</v>
      </c>
      <c r="S48" s="228">
        <v>-11.4</v>
      </c>
      <c r="T48" s="229">
        <v>-6.4999999999999997E-3</v>
      </c>
      <c r="U48" s="231">
        <v>1756.3</v>
      </c>
      <c r="V48" s="231">
        <v>1750.3</v>
      </c>
      <c r="W48" s="228">
        <v>6</v>
      </c>
      <c r="X48" s="229">
        <v>3.3999999999999998E-3</v>
      </c>
      <c r="Y48" s="228">
        <v>9.9</v>
      </c>
      <c r="Z48" s="228">
        <v>6.4</v>
      </c>
      <c r="AA48" s="228">
        <v>3.5</v>
      </c>
      <c r="AB48" s="229">
        <v>5.7999999999999996E-3</v>
      </c>
      <c r="AC48" s="228">
        <v>9.9</v>
      </c>
      <c r="AD48" s="228">
        <v>6.4</v>
      </c>
      <c r="AE48" s="228">
        <v>3.5</v>
      </c>
      <c r="AF48" s="229">
        <v>5.7999999999999996E-3</v>
      </c>
      <c r="AG48" s="228">
        <v>14.7</v>
      </c>
      <c r="AH48" s="228">
        <v>12</v>
      </c>
      <c r="AI48" s="228">
        <v>2.7</v>
      </c>
      <c r="AJ48" s="229">
        <v>8.5000000000000006E-3</v>
      </c>
      <c r="AK48" s="228">
        <v>37</v>
      </c>
      <c r="AL48" s="228">
        <v>16.899999999999999</v>
      </c>
      <c r="AM48" s="228">
        <v>20.100000000000001</v>
      </c>
      <c r="AN48" s="229">
        <v>2.1499999999999998E-2</v>
      </c>
      <c r="AO48" s="231">
        <v>1721.3</v>
      </c>
      <c r="AP48" s="231">
        <v>1723.35</v>
      </c>
      <c r="AQ48" s="228">
        <v>0</v>
      </c>
      <c r="AR48" s="230">
        <v>905200</v>
      </c>
      <c r="AS48" s="230">
        <v>824000</v>
      </c>
      <c r="AT48" s="230">
        <v>81200</v>
      </c>
      <c r="AU48" s="229">
        <v>9.8500000000000004E-2</v>
      </c>
      <c r="AV48" s="230">
        <v>881200</v>
      </c>
      <c r="AW48" s="230">
        <v>784000</v>
      </c>
      <c r="AX48" s="230">
        <v>97200</v>
      </c>
      <c r="AY48" s="229">
        <v>0.124</v>
      </c>
      <c r="AZ48" s="230">
        <v>21200</v>
      </c>
      <c r="BA48" s="230">
        <v>35200</v>
      </c>
      <c r="BB48" s="230">
        <v>-14000</v>
      </c>
      <c r="BC48" s="229">
        <v>-0.3977</v>
      </c>
      <c r="BD48" s="230">
        <v>2800</v>
      </c>
      <c r="BE48" s="230">
        <v>4800</v>
      </c>
      <c r="BF48" s="230">
        <v>-2000</v>
      </c>
      <c r="BG48" s="229">
        <v>-0.41670000000000001</v>
      </c>
      <c r="BH48" s="230">
        <v>1218800</v>
      </c>
      <c r="BI48" s="230">
        <v>1144400</v>
      </c>
      <c r="BJ48" s="230">
        <v>74400</v>
      </c>
      <c r="BK48" s="229">
        <v>6.5000000000000002E-2</v>
      </c>
      <c r="BL48" s="230">
        <v>468000</v>
      </c>
      <c r="BM48" s="230">
        <v>676400</v>
      </c>
      <c r="BN48" s="230">
        <v>-208400</v>
      </c>
      <c r="BO48" s="229">
        <v>-0.30809999999999998</v>
      </c>
      <c r="BP48" s="230">
        <v>2592000</v>
      </c>
      <c r="BQ48" s="230">
        <v>2644800</v>
      </c>
      <c r="BR48" s="230">
        <v>-52800</v>
      </c>
      <c r="BS48" s="229">
        <v>-0.02</v>
      </c>
      <c r="BT48" s="230">
        <v>2188924</v>
      </c>
      <c r="BU48" s="230">
        <v>2185274</v>
      </c>
      <c r="BV48" s="230">
        <v>3650</v>
      </c>
      <c r="BW48" s="229">
        <v>1.6999999999999999E-3</v>
      </c>
      <c r="BX48" s="230">
        <v>2499200</v>
      </c>
      <c r="BY48" s="230">
        <v>2505200</v>
      </c>
      <c r="BZ48" s="230">
        <v>-6000</v>
      </c>
      <c r="CA48" s="229">
        <v>-2.3999999999999998E-3</v>
      </c>
      <c r="CB48" s="230">
        <v>2406800</v>
      </c>
      <c r="CC48" s="230">
        <v>2416400</v>
      </c>
      <c r="CD48" s="230">
        <v>-9600</v>
      </c>
      <c r="CE48" s="229">
        <v>-4.0000000000000001E-3</v>
      </c>
      <c r="CF48" s="230">
        <v>85600</v>
      </c>
      <c r="CG48" s="230">
        <v>83600</v>
      </c>
      <c r="CH48" s="230">
        <v>2000</v>
      </c>
      <c r="CI48" s="229">
        <v>2.3900000000000001E-2</v>
      </c>
      <c r="CJ48" s="230">
        <v>6800</v>
      </c>
      <c r="CK48" s="230">
        <v>5200</v>
      </c>
      <c r="CL48" s="230">
        <v>1600</v>
      </c>
      <c r="CM48" s="229">
        <v>0.30769999999999997</v>
      </c>
      <c r="CN48" s="230">
        <v>1179600</v>
      </c>
      <c r="CO48" s="230">
        <v>1110400</v>
      </c>
      <c r="CP48" s="230">
        <v>69200</v>
      </c>
      <c r="CQ48" s="229">
        <v>6.2300000000000001E-2</v>
      </c>
      <c r="CR48" s="230">
        <v>788000</v>
      </c>
      <c r="CS48" s="230">
        <v>760800</v>
      </c>
      <c r="CT48" s="230">
        <v>27200</v>
      </c>
      <c r="CU48" s="229">
        <v>3.5799999999999998E-2</v>
      </c>
      <c r="CV48" s="230">
        <v>4466800</v>
      </c>
      <c r="CW48" s="230">
        <v>4376400</v>
      </c>
      <c r="CX48" s="230">
        <v>90400</v>
      </c>
      <c r="CY48" s="229">
        <v>2.07E-2</v>
      </c>
      <c r="CZ48" s="228">
        <v>51.76</v>
      </c>
      <c r="DA48" s="228">
        <v>49.89</v>
      </c>
      <c r="DB48" s="228">
        <v>1.87</v>
      </c>
      <c r="DC48" s="228">
        <v>1.87</v>
      </c>
      <c r="DD48" s="228">
        <v>54.43</v>
      </c>
      <c r="DE48" s="228">
        <v>54.55</v>
      </c>
      <c r="DF48" s="228">
        <v>-2.67</v>
      </c>
      <c r="DG48" s="228">
        <v>-0.12</v>
      </c>
      <c r="DH48" s="228">
        <v>51.75</v>
      </c>
      <c r="DI48" s="228">
        <v>49.82</v>
      </c>
      <c r="DJ48" s="228">
        <v>1.93</v>
      </c>
      <c r="DK48" s="228">
        <v>1.93</v>
      </c>
      <c r="DL48" s="228">
        <v>51.8</v>
      </c>
      <c r="DM48" s="228">
        <v>50</v>
      </c>
      <c r="DN48" s="228">
        <v>1.8</v>
      </c>
      <c r="DO48" s="228">
        <v>1.8</v>
      </c>
      <c r="DP48" s="228">
        <v>0.67</v>
      </c>
      <c r="DQ48" s="228">
        <v>0.69</v>
      </c>
      <c r="DR48" s="228">
        <v>-0.02</v>
      </c>
      <c r="DS48" s="229">
        <v>-2.9000000000000001E-2</v>
      </c>
      <c r="DT48" s="231">
        <v>1900</v>
      </c>
      <c r="DU48" s="231">
        <v>1600</v>
      </c>
      <c r="DV48" s="228">
        <v>0.38</v>
      </c>
      <c r="DW48" s="228">
        <v>0.59</v>
      </c>
      <c r="DX48" s="228">
        <v>-0.21</v>
      </c>
      <c r="DY48" s="229">
        <v>-0.35589999999999999</v>
      </c>
      <c r="DZ48" s="229">
        <v>3.6999999999999998E-2</v>
      </c>
      <c r="EA48" s="230">
        <v>88800</v>
      </c>
      <c r="EB48" s="229">
        <v>2.8E-3</v>
      </c>
      <c r="EC48" s="229">
        <v>3.6999999999999998E-2</v>
      </c>
      <c r="ED48" s="228">
        <v>2.0499999999999998</v>
      </c>
      <c r="EE48" s="229">
        <v>1.1999999999999999E-3</v>
      </c>
      <c r="EF48" s="230">
        <v>544357</v>
      </c>
      <c r="EG48" s="230">
        <v>574745</v>
      </c>
      <c r="EH48" s="229">
        <v>-5.2900000000000003E-2</v>
      </c>
      <c r="EI48" s="229">
        <v>0.2487</v>
      </c>
      <c r="EJ48" s="231">
        <v>22564.86</v>
      </c>
      <c r="EK48" s="231">
        <v>7879</v>
      </c>
      <c r="EL48" s="231">
        <v>15581.94</v>
      </c>
      <c r="EM48" s="231">
        <v>4337</v>
      </c>
      <c r="EN48" s="231">
        <v>46025.8</v>
      </c>
      <c r="EO48" s="231">
        <v>47096.01</v>
      </c>
      <c r="EP48" s="231">
        <v>-1070.21</v>
      </c>
      <c r="EQ48" s="229">
        <v>-2.2700000000000001E-2</v>
      </c>
      <c r="ER48" s="231">
        <v>21010</v>
      </c>
      <c r="ES48" s="231">
        <v>12616</v>
      </c>
      <c r="ET48" s="231">
        <v>43222</v>
      </c>
      <c r="EU48" s="231">
        <v>12661431</v>
      </c>
      <c r="EV48" s="231">
        <v>76848</v>
      </c>
      <c r="EW48" s="231">
        <v>75571</v>
      </c>
      <c r="EX48" s="231">
        <v>1277</v>
      </c>
      <c r="EY48" s="229">
        <v>1.6899999999999998E-2</v>
      </c>
      <c r="EZ48" s="229">
        <v>0.3528</v>
      </c>
      <c r="FA48" s="227" t="s">
        <v>567</v>
      </c>
      <c r="FB48" s="161">
        <f t="shared" si="0"/>
        <v>92400</v>
      </c>
    </row>
    <row r="49" spans="1:158" ht="17.25" thickBot="1" x14ac:dyDescent="0.3">
      <c r="A49" s="226">
        <v>46146</v>
      </c>
      <c r="B49" s="227" t="s">
        <v>221</v>
      </c>
      <c r="C49" s="227" t="s">
        <v>470</v>
      </c>
      <c r="D49" s="228">
        <v>375</v>
      </c>
      <c r="E49" s="231">
        <v>1154.8</v>
      </c>
      <c r="F49" s="231">
        <v>1194.4000000000001</v>
      </c>
      <c r="G49" s="228">
        <v>-39.6</v>
      </c>
      <c r="H49" s="229">
        <v>-3.32E-2</v>
      </c>
      <c r="I49" s="231">
        <v>1151.5999999999999</v>
      </c>
      <c r="J49" s="231">
        <v>1195.9000000000001</v>
      </c>
      <c r="K49" s="228">
        <v>-44.3</v>
      </c>
      <c r="L49" s="229">
        <v>-3.6999999999999998E-2</v>
      </c>
      <c r="M49" s="231">
        <v>1154.8</v>
      </c>
      <c r="N49" s="231">
        <v>1194.4000000000001</v>
      </c>
      <c r="O49" s="228">
        <v>-39.6</v>
      </c>
      <c r="P49" s="229">
        <v>-3.32E-2</v>
      </c>
      <c r="Q49" s="231">
        <v>1159.0999999999999</v>
      </c>
      <c r="R49" s="231">
        <v>1199.5999999999999</v>
      </c>
      <c r="S49" s="228">
        <v>-40.5</v>
      </c>
      <c r="T49" s="229">
        <v>-3.3799999999999997E-2</v>
      </c>
      <c r="U49" s="231">
        <v>1167</v>
      </c>
      <c r="V49" s="231">
        <v>1207</v>
      </c>
      <c r="W49" s="228">
        <v>-40</v>
      </c>
      <c r="X49" s="229">
        <v>-3.3099999999999997E-2</v>
      </c>
      <c r="Y49" s="228">
        <v>3.2</v>
      </c>
      <c r="Z49" s="228">
        <v>-1.5</v>
      </c>
      <c r="AA49" s="228">
        <v>4.7</v>
      </c>
      <c r="AB49" s="229">
        <v>2.8E-3</v>
      </c>
      <c r="AC49" s="228">
        <v>3.2</v>
      </c>
      <c r="AD49" s="228">
        <v>-1.5</v>
      </c>
      <c r="AE49" s="228">
        <v>4.7</v>
      </c>
      <c r="AF49" s="229">
        <v>2.8E-3</v>
      </c>
      <c r="AG49" s="228">
        <v>7.5</v>
      </c>
      <c r="AH49" s="228">
        <v>3.7</v>
      </c>
      <c r="AI49" s="228">
        <v>3.8</v>
      </c>
      <c r="AJ49" s="229">
        <v>6.4999999999999997E-3</v>
      </c>
      <c r="AK49" s="228">
        <v>15.4</v>
      </c>
      <c r="AL49" s="228">
        <v>11.1</v>
      </c>
      <c r="AM49" s="228">
        <v>4.3</v>
      </c>
      <c r="AN49" s="229">
        <v>1.34E-2</v>
      </c>
      <c r="AO49" s="231">
        <v>1165.5999999999999</v>
      </c>
      <c r="AP49" s="231">
        <v>1169.81</v>
      </c>
      <c r="AQ49" s="228">
        <v>0</v>
      </c>
      <c r="AR49" s="230">
        <v>2462625</v>
      </c>
      <c r="AS49" s="230">
        <v>2136750</v>
      </c>
      <c r="AT49" s="230">
        <v>325875</v>
      </c>
      <c r="AU49" s="229">
        <v>0.1525</v>
      </c>
      <c r="AV49" s="230">
        <v>2319000</v>
      </c>
      <c r="AW49" s="230">
        <v>1958625</v>
      </c>
      <c r="AX49" s="230">
        <v>360375</v>
      </c>
      <c r="AY49" s="229">
        <v>0.184</v>
      </c>
      <c r="AZ49" s="230">
        <v>126750</v>
      </c>
      <c r="BA49" s="230">
        <v>176250</v>
      </c>
      <c r="BB49" s="230">
        <v>-49500</v>
      </c>
      <c r="BC49" s="229">
        <v>-0.28089999999999998</v>
      </c>
      <c r="BD49" s="230">
        <v>16875</v>
      </c>
      <c r="BE49" s="230">
        <v>1875</v>
      </c>
      <c r="BF49" s="230">
        <v>15000</v>
      </c>
      <c r="BG49" s="229">
        <v>8</v>
      </c>
      <c r="BH49" s="230">
        <v>9411375</v>
      </c>
      <c r="BI49" s="230">
        <v>2689500</v>
      </c>
      <c r="BJ49" s="230">
        <v>6721875</v>
      </c>
      <c r="BK49" s="229">
        <v>2.4992999999999999</v>
      </c>
      <c r="BL49" s="230">
        <v>5445000</v>
      </c>
      <c r="BM49" s="230">
        <v>2271375</v>
      </c>
      <c r="BN49" s="230">
        <v>3173625</v>
      </c>
      <c r="BO49" s="229">
        <v>1.3972</v>
      </c>
      <c r="BP49" s="230">
        <v>17319000</v>
      </c>
      <c r="BQ49" s="230">
        <v>7097625</v>
      </c>
      <c r="BR49" s="230">
        <v>10221375</v>
      </c>
      <c r="BS49" s="229">
        <v>1.4400999999999999</v>
      </c>
      <c r="BT49" s="230">
        <v>2264328</v>
      </c>
      <c r="BU49" s="230">
        <v>1464606</v>
      </c>
      <c r="BV49" s="230">
        <v>799722</v>
      </c>
      <c r="BW49" s="229">
        <v>0.54600000000000004</v>
      </c>
      <c r="BX49" s="230">
        <v>18874350</v>
      </c>
      <c r="BY49" s="230">
        <v>19021275</v>
      </c>
      <c r="BZ49" s="230">
        <v>-146925</v>
      </c>
      <c r="CA49" s="229">
        <v>-7.7000000000000002E-3</v>
      </c>
      <c r="CB49" s="230">
        <v>18335250</v>
      </c>
      <c r="CC49" s="230">
        <v>18539250</v>
      </c>
      <c r="CD49" s="230">
        <v>-204000</v>
      </c>
      <c r="CE49" s="229">
        <v>-1.0999999999999999E-2</v>
      </c>
      <c r="CF49" s="230">
        <v>522000</v>
      </c>
      <c r="CG49" s="230">
        <v>477750</v>
      </c>
      <c r="CH49" s="230">
        <v>44250</v>
      </c>
      <c r="CI49" s="229">
        <v>9.2600000000000002E-2</v>
      </c>
      <c r="CJ49" s="230">
        <v>17100</v>
      </c>
      <c r="CK49" s="230">
        <v>4275</v>
      </c>
      <c r="CL49" s="230">
        <v>12825</v>
      </c>
      <c r="CM49" s="229">
        <v>3</v>
      </c>
      <c r="CN49" s="230">
        <v>6297000</v>
      </c>
      <c r="CO49" s="230">
        <v>5484750</v>
      </c>
      <c r="CP49" s="230">
        <v>812250</v>
      </c>
      <c r="CQ49" s="229">
        <v>0.14810000000000001</v>
      </c>
      <c r="CR49" s="230">
        <v>3843000</v>
      </c>
      <c r="CS49" s="230">
        <v>3477750</v>
      </c>
      <c r="CT49" s="230">
        <v>365250</v>
      </c>
      <c r="CU49" s="229">
        <v>0.105</v>
      </c>
      <c r="CV49" s="230">
        <v>29014350</v>
      </c>
      <c r="CW49" s="230">
        <v>27983775</v>
      </c>
      <c r="CX49" s="230">
        <v>1030575</v>
      </c>
      <c r="CY49" s="229">
        <v>3.6799999999999999E-2</v>
      </c>
      <c r="CZ49" s="228">
        <v>49.06</v>
      </c>
      <c r="DA49" s="228">
        <v>45.55</v>
      </c>
      <c r="DB49" s="228">
        <v>3.51</v>
      </c>
      <c r="DC49" s="228">
        <v>3.51</v>
      </c>
      <c r="DD49" s="228">
        <v>44.1</v>
      </c>
      <c r="DE49" s="228">
        <v>43.92</v>
      </c>
      <c r="DF49" s="228">
        <v>4.96</v>
      </c>
      <c r="DG49" s="228">
        <v>0.18</v>
      </c>
      <c r="DH49" s="228">
        <v>48.86</v>
      </c>
      <c r="DI49" s="228">
        <v>45.06</v>
      </c>
      <c r="DJ49" s="228">
        <v>3.8</v>
      </c>
      <c r="DK49" s="228">
        <v>3.8</v>
      </c>
      <c r="DL49" s="228">
        <v>49.41</v>
      </c>
      <c r="DM49" s="228">
        <v>46.13</v>
      </c>
      <c r="DN49" s="228">
        <v>3.28</v>
      </c>
      <c r="DO49" s="228">
        <v>3.28</v>
      </c>
      <c r="DP49" s="228">
        <v>0.61</v>
      </c>
      <c r="DQ49" s="228">
        <v>0.63</v>
      </c>
      <c r="DR49" s="228">
        <v>-0.02</v>
      </c>
      <c r="DS49" s="229">
        <v>-3.1699999999999999E-2</v>
      </c>
      <c r="DT49" s="231">
        <v>1200</v>
      </c>
      <c r="DU49" s="231">
        <v>1100</v>
      </c>
      <c r="DV49" s="228">
        <v>0.57999999999999996</v>
      </c>
      <c r="DW49" s="228">
        <v>0.84</v>
      </c>
      <c r="DX49" s="228">
        <v>-0.26</v>
      </c>
      <c r="DY49" s="229">
        <v>-0.3095</v>
      </c>
      <c r="DZ49" s="229">
        <v>2.86E-2</v>
      </c>
      <c r="EA49" s="230">
        <v>482025</v>
      </c>
      <c r="EB49" s="229">
        <v>3.7000000000000002E-3</v>
      </c>
      <c r="EC49" s="229">
        <v>2.86E-2</v>
      </c>
      <c r="ED49" s="228">
        <v>4.21</v>
      </c>
      <c r="EE49" s="229">
        <v>3.5999999999999999E-3</v>
      </c>
      <c r="EF49" s="230">
        <v>1110505</v>
      </c>
      <c r="EG49" s="230">
        <v>583023</v>
      </c>
      <c r="EH49" s="229">
        <v>0.90469999999999995</v>
      </c>
      <c r="EI49" s="229">
        <v>0.4904</v>
      </c>
      <c r="EJ49" s="231">
        <v>121100.27</v>
      </c>
      <c r="EK49" s="231">
        <v>63189.87</v>
      </c>
      <c r="EL49" s="231">
        <v>28763.52</v>
      </c>
      <c r="EM49" s="231">
        <v>16197</v>
      </c>
      <c r="EN49" s="231">
        <v>213053.66</v>
      </c>
      <c r="EO49" s="231">
        <v>87111.01</v>
      </c>
      <c r="EP49" s="231">
        <v>125942.65</v>
      </c>
      <c r="EQ49" s="229">
        <v>1.4458</v>
      </c>
      <c r="ER49" s="231">
        <v>79377</v>
      </c>
      <c r="ES49" s="231">
        <v>45402</v>
      </c>
      <c r="ET49" s="231">
        <v>217986</v>
      </c>
      <c r="EU49" s="231">
        <v>50256271</v>
      </c>
      <c r="EV49" s="231">
        <v>342764</v>
      </c>
      <c r="EW49" s="231">
        <v>338058</v>
      </c>
      <c r="EX49" s="231">
        <v>4706</v>
      </c>
      <c r="EY49" s="229">
        <v>1.3899999999999999E-2</v>
      </c>
      <c r="EZ49" s="229">
        <v>0.57730000000000004</v>
      </c>
      <c r="FA49" s="227" t="s">
        <v>567</v>
      </c>
      <c r="FB49" s="161">
        <f t="shared" si="0"/>
        <v>539100</v>
      </c>
    </row>
    <row r="50" spans="1:158" ht="17.25" thickBot="1" x14ac:dyDescent="0.3">
      <c r="A50" s="226">
        <v>46146</v>
      </c>
      <c r="B50" s="227" t="s">
        <v>168</v>
      </c>
      <c r="C50" s="227" t="s">
        <v>201</v>
      </c>
      <c r="D50" s="228">
        <v>225</v>
      </c>
      <c r="E50" s="231">
        <v>2169.3000000000002</v>
      </c>
      <c r="F50" s="231">
        <v>2091.6</v>
      </c>
      <c r="G50" s="228">
        <v>77.7</v>
      </c>
      <c r="H50" s="229">
        <v>3.7100000000000001E-2</v>
      </c>
      <c r="I50" s="231">
        <v>2172.9</v>
      </c>
      <c r="J50" s="231">
        <v>2096.1999999999998</v>
      </c>
      <c r="K50" s="228">
        <v>76.7</v>
      </c>
      <c r="L50" s="229">
        <v>3.6600000000000001E-2</v>
      </c>
      <c r="M50" s="231">
        <v>2169.3000000000002</v>
      </c>
      <c r="N50" s="231">
        <v>2091.6</v>
      </c>
      <c r="O50" s="228">
        <v>77.7</v>
      </c>
      <c r="P50" s="229">
        <v>3.7100000000000001E-2</v>
      </c>
      <c r="Q50" s="231">
        <v>2163.6</v>
      </c>
      <c r="R50" s="231">
        <v>2085.5</v>
      </c>
      <c r="S50" s="228">
        <v>78.099999999999994</v>
      </c>
      <c r="T50" s="229">
        <v>3.7400000000000003E-2</v>
      </c>
      <c r="U50" s="231">
        <v>2166.8000000000002</v>
      </c>
      <c r="V50" s="231">
        <v>2087</v>
      </c>
      <c r="W50" s="228">
        <v>79.8</v>
      </c>
      <c r="X50" s="229">
        <v>3.8199999999999998E-2</v>
      </c>
      <c r="Y50" s="228">
        <v>-3.6</v>
      </c>
      <c r="Z50" s="228">
        <v>-4.5999999999999996</v>
      </c>
      <c r="AA50" s="228">
        <v>1</v>
      </c>
      <c r="AB50" s="229">
        <v>-1.6999999999999999E-3</v>
      </c>
      <c r="AC50" s="228">
        <v>-3.6</v>
      </c>
      <c r="AD50" s="228">
        <v>-4.5999999999999996</v>
      </c>
      <c r="AE50" s="228">
        <v>1</v>
      </c>
      <c r="AF50" s="229">
        <v>-1.6999999999999999E-3</v>
      </c>
      <c r="AG50" s="228">
        <v>-9.3000000000000007</v>
      </c>
      <c r="AH50" s="228">
        <v>-10.7</v>
      </c>
      <c r="AI50" s="228">
        <v>1.4</v>
      </c>
      <c r="AJ50" s="229">
        <v>-4.3E-3</v>
      </c>
      <c r="AK50" s="228">
        <v>-6.1</v>
      </c>
      <c r="AL50" s="228">
        <v>-9.1999999999999993</v>
      </c>
      <c r="AM50" s="228">
        <v>3.1</v>
      </c>
      <c r="AN50" s="229">
        <v>-2.8E-3</v>
      </c>
      <c r="AO50" s="231">
        <v>2160.98</v>
      </c>
      <c r="AP50" s="231">
        <v>2157.73</v>
      </c>
      <c r="AQ50" s="228">
        <v>0</v>
      </c>
      <c r="AR50" s="230">
        <v>1221525</v>
      </c>
      <c r="AS50" s="230">
        <v>842400</v>
      </c>
      <c r="AT50" s="230">
        <v>379125</v>
      </c>
      <c r="AU50" s="229">
        <v>0.4501</v>
      </c>
      <c r="AV50" s="230">
        <v>1147050</v>
      </c>
      <c r="AW50" s="230">
        <v>804150</v>
      </c>
      <c r="AX50" s="230">
        <v>342900</v>
      </c>
      <c r="AY50" s="229">
        <v>0.4264</v>
      </c>
      <c r="AZ50" s="230">
        <v>68625</v>
      </c>
      <c r="BA50" s="230">
        <v>35550</v>
      </c>
      <c r="BB50" s="230">
        <v>33075</v>
      </c>
      <c r="BC50" s="229">
        <v>0.9304</v>
      </c>
      <c r="BD50" s="230">
        <v>5850</v>
      </c>
      <c r="BE50" s="230">
        <v>2700</v>
      </c>
      <c r="BF50" s="230">
        <v>3150</v>
      </c>
      <c r="BG50" s="229">
        <v>1.1667000000000001</v>
      </c>
      <c r="BH50" s="230">
        <v>2652525</v>
      </c>
      <c r="BI50" s="230">
        <v>1287675</v>
      </c>
      <c r="BJ50" s="230">
        <v>1364850</v>
      </c>
      <c r="BK50" s="229">
        <v>1.0599000000000001</v>
      </c>
      <c r="BL50" s="230">
        <v>823500</v>
      </c>
      <c r="BM50" s="230">
        <v>1077750</v>
      </c>
      <c r="BN50" s="230">
        <v>-254250</v>
      </c>
      <c r="BO50" s="229">
        <v>-0.2359</v>
      </c>
      <c r="BP50" s="230">
        <v>4697550</v>
      </c>
      <c r="BQ50" s="230">
        <v>3207825</v>
      </c>
      <c r="BR50" s="230">
        <v>1489725</v>
      </c>
      <c r="BS50" s="229">
        <v>0.46439999999999998</v>
      </c>
      <c r="BT50" s="230">
        <v>530094</v>
      </c>
      <c r="BU50" s="230">
        <v>374839</v>
      </c>
      <c r="BV50" s="230">
        <v>155255</v>
      </c>
      <c r="BW50" s="229">
        <v>0.41420000000000001</v>
      </c>
      <c r="BX50" s="230">
        <v>5127200</v>
      </c>
      <c r="BY50" s="230">
        <v>4991500</v>
      </c>
      <c r="BZ50" s="230">
        <v>135700</v>
      </c>
      <c r="CA50" s="229">
        <v>2.7199999999999998E-2</v>
      </c>
      <c r="CB50" s="230">
        <v>4965975</v>
      </c>
      <c r="CC50" s="230">
        <v>4842900</v>
      </c>
      <c r="CD50" s="230">
        <v>123075</v>
      </c>
      <c r="CE50" s="229">
        <v>2.5399999999999999E-2</v>
      </c>
      <c r="CF50" s="230">
        <v>154350</v>
      </c>
      <c r="CG50" s="230">
        <v>145575</v>
      </c>
      <c r="CH50" s="230">
        <v>8775</v>
      </c>
      <c r="CI50" s="229">
        <v>6.0299999999999999E-2</v>
      </c>
      <c r="CJ50" s="230">
        <v>6875</v>
      </c>
      <c r="CK50" s="230">
        <v>3025</v>
      </c>
      <c r="CL50" s="230">
        <v>3850</v>
      </c>
      <c r="CM50" s="229">
        <v>1.2726999999999999</v>
      </c>
      <c r="CN50" s="230">
        <v>1210050</v>
      </c>
      <c r="CO50" s="230">
        <v>1107450</v>
      </c>
      <c r="CP50" s="230">
        <v>102600</v>
      </c>
      <c r="CQ50" s="229">
        <v>9.2600000000000002E-2</v>
      </c>
      <c r="CR50" s="230">
        <v>794250</v>
      </c>
      <c r="CS50" s="230">
        <v>765900</v>
      </c>
      <c r="CT50" s="230">
        <v>28350</v>
      </c>
      <c r="CU50" s="229">
        <v>3.6999999999999998E-2</v>
      </c>
      <c r="CV50" s="230">
        <v>7131500</v>
      </c>
      <c r="CW50" s="230">
        <v>6864850</v>
      </c>
      <c r="CX50" s="230">
        <v>266650</v>
      </c>
      <c r="CY50" s="229">
        <v>3.8800000000000001E-2</v>
      </c>
      <c r="CZ50" s="228">
        <v>31.39</v>
      </c>
      <c r="DA50" s="228">
        <v>31.37</v>
      </c>
      <c r="DB50" s="228">
        <v>0.02</v>
      </c>
      <c r="DC50" s="228">
        <v>0.02</v>
      </c>
      <c r="DD50" s="228">
        <v>30.67</v>
      </c>
      <c r="DE50" s="228">
        <v>30.35</v>
      </c>
      <c r="DF50" s="228">
        <v>0.72</v>
      </c>
      <c r="DG50" s="228">
        <v>0.32</v>
      </c>
      <c r="DH50" s="228">
        <v>31.18</v>
      </c>
      <c r="DI50" s="228">
        <v>31.44</v>
      </c>
      <c r="DJ50" s="228">
        <v>-0.26</v>
      </c>
      <c r="DK50" s="228">
        <v>-0.26</v>
      </c>
      <c r="DL50" s="228">
        <v>32.049999999999997</v>
      </c>
      <c r="DM50" s="228">
        <v>31.27</v>
      </c>
      <c r="DN50" s="228">
        <v>0.78</v>
      </c>
      <c r="DO50" s="228">
        <v>0.78</v>
      </c>
      <c r="DP50" s="228">
        <v>0.66</v>
      </c>
      <c r="DQ50" s="228">
        <v>0.69</v>
      </c>
      <c r="DR50" s="228">
        <v>-0.03</v>
      </c>
      <c r="DS50" s="229">
        <v>-4.3499999999999997E-2</v>
      </c>
      <c r="DT50" s="231">
        <v>2200</v>
      </c>
      <c r="DU50" s="231">
        <v>2100</v>
      </c>
      <c r="DV50" s="228">
        <v>0.31</v>
      </c>
      <c r="DW50" s="228">
        <v>0.84</v>
      </c>
      <c r="DX50" s="228">
        <v>-0.53</v>
      </c>
      <c r="DY50" s="229">
        <v>-0.63100000000000001</v>
      </c>
      <c r="DZ50" s="229">
        <v>3.1399999999999997E-2</v>
      </c>
      <c r="EA50" s="230">
        <v>148600</v>
      </c>
      <c r="EB50" s="229">
        <v>-2.5999999999999999E-3</v>
      </c>
      <c r="EC50" s="229">
        <v>3.1399999999999997E-2</v>
      </c>
      <c r="ED50" s="228">
        <v>-3.25</v>
      </c>
      <c r="EE50" s="229">
        <v>-1.5E-3</v>
      </c>
      <c r="EF50" s="230">
        <v>254394</v>
      </c>
      <c r="EG50" s="230">
        <v>157463</v>
      </c>
      <c r="EH50" s="229">
        <v>0.61560000000000004</v>
      </c>
      <c r="EI50" s="229">
        <v>0.47989999999999999</v>
      </c>
      <c r="EJ50" s="231">
        <v>60343.41</v>
      </c>
      <c r="EK50" s="231">
        <v>17514.349999999999</v>
      </c>
      <c r="EL50" s="231">
        <v>26423.09</v>
      </c>
      <c r="EM50" s="231">
        <v>8047</v>
      </c>
      <c r="EN50" s="231">
        <v>104280.85</v>
      </c>
      <c r="EO50" s="231">
        <v>68566.16</v>
      </c>
      <c r="EP50" s="231">
        <v>35714.69</v>
      </c>
      <c r="EQ50" s="229">
        <v>0.52090000000000003</v>
      </c>
      <c r="ER50" s="231">
        <v>26810</v>
      </c>
      <c r="ES50" s="231">
        <v>16455</v>
      </c>
      <c r="ET50" s="231">
        <v>111215</v>
      </c>
      <c r="EU50" s="231">
        <v>19054573</v>
      </c>
      <c r="EV50" s="231">
        <v>154480</v>
      </c>
      <c r="EW50" s="231">
        <v>144732</v>
      </c>
      <c r="EX50" s="231">
        <v>9748</v>
      </c>
      <c r="EY50" s="229">
        <v>6.7400000000000002E-2</v>
      </c>
      <c r="EZ50" s="229">
        <v>0.37430000000000002</v>
      </c>
      <c r="FA50" s="227" t="s">
        <v>555</v>
      </c>
      <c r="FB50" s="161">
        <f t="shared" si="0"/>
        <v>161225</v>
      </c>
    </row>
    <row r="51" spans="1:158" ht="17.25" thickBot="1" x14ac:dyDescent="0.3">
      <c r="A51" s="226">
        <v>46146</v>
      </c>
      <c r="B51" s="227" t="s">
        <v>215</v>
      </c>
      <c r="C51" s="227" t="s">
        <v>202</v>
      </c>
      <c r="D51" s="228">
        <v>1250</v>
      </c>
      <c r="E51" s="228">
        <v>519.45000000000005</v>
      </c>
      <c r="F51" s="228">
        <v>511.3</v>
      </c>
      <c r="G51" s="228">
        <v>8.15</v>
      </c>
      <c r="H51" s="229">
        <v>1.5900000000000001E-2</v>
      </c>
      <c r="I51" s="228">
        <v>516.35</v>
      </c>
      <c r="J51" s="228">
        <v>508.85</v>
      </c>
      <c r="K51" s="228">
        <v>7.5</v>
      </c>
      <c r="L51" s="229">
        <v>1.47E-2</v>
      </c>
      <c r="M51" s="228">
        <v>519.45000000000005</v>
      </c>
      <c r="N51" s="228">
        <v>511.3</v>
      </c>
      <c r="O51" s="228">
        <v>8.15</v>
      </c>
      <c r="P51" s="229">
        <v>1.5900000000000001E-2</v>
      </c>
      <c r="Q51" s="228">
        <v>521.65</v>
      </c>
      <c r="R51" s="228">
        <v>514.20000000000005</v>
      </c>
      <c r="S51" s="228">
        <v>7.45</v>
      </c>
      <c r="T51" s="229">
        <v>1.4500000000000001E-2</v>
      </c>
      <c r="U51" s="228">
        <v>526</v>
      </c>
      <c r="V51" s="228">
        <v>515.70000000000005</v>
      </c>
      <c r="W51" s="228">
        <v>10.3</v>
      </c>
      <c r="X51" s="229">
        <v>0.02</v>
      </c>
      <c r="Y51" s="228">
        <v>3.1</v>
      </c>
      <c r="Z51" s="228">
        <v>2.4500000000000002</v>
      </c>
      <c r="AA51" s="228">
        <v>0.65</v>
      </c>
      <c r="AB51" s="229">
        <v>6.0000000000000001E-3</v>
      </c>
      <c r="AC51" s="228">
        <v>3.1</v>
      </c>
      <c r="AD51" s="228">
        <v>2.4500000000000002</v>
      </c>
      <c r="AE51" s="228">
        <v>0.65</v>
      </c>
      <c r="AF51" s="229">
        <v>6.0000000000000001E-3</v>
      </c>
      <c r="AG51" s="228">
        <v>5.3</v>
      </c>
      <c r="AH51" s="228">
        <v>5.35</v>
      </c>
      <c r="AI51" s="228">
        <v>-0.05</v>
      </c>
      <c r="AJ51" s="229">
        <v>1.03E-2</v>
      </c>
      <c r="AK51" s="228">
        <v>9.65</v>
      </c>
      <c r="AL51" s="228">
        <v>6.85</v>
      </c>
      <c r="AM51" s="228">
        <v>2.8</v>
      </c>
      <c r="AN51" s="229">
        <v>1.8700000000000001E-2</v>
      </c>
      <c r="AO51" s="228">
        <v>518.95000000000005</v>
      </c>
      <c r="AP51" s="228">
        <v>522</v>
      </c>
      <c r="AQ51" s="228">
        <v>0</v>
      </c>
      <c r="AR51" s="230">
        <v>1243750</v>
      </c>
      <c r="AS51" s="230">
        <v>1228750</v>
      </c>
      <c r="AT51" s="230">
        <v>15000</v>
      </c>
      <c r="AU51" s="229">
        <v>1.2200000000000001E-2</v>
      </c>
      <c r="AV51" s="230">
        <v>1206250</v>
      </c>
      <c r="AW51" s="230">
        <v>1145000</v>
      </c>
      <c r="AX51" s="230">
        <v>61250</v>
      </c>
      <c r="AY51" s="229">
        <v>5.3499999999999999E-2</v>
      </c>
      <c r="AZ51" s="230">
        <v>32500</v>
      </c>
      <c r="BA51" s="230">
        <v>81250</v>
      </c>
      <c r="BB51" s="230">
        <v>-48750</v>
      </c>
      <c r="BC51" s="229">
        <v>-0.6</v>
      </c>
      <c r="BD51" s="230">
        <v>5000</v>
      </c>
      <c r="BE51" s="230">
        <v>2500</v>
      </c>
      <c r="BF51" s="230">
        <v>2500</v>
      </c>
      <c r="BG51" s="229">
        <v>1</v>
      </c>
      <c r="BH51" s="230">
        <v>3023750</v>
      </c>
      <c r="BI51" s="230">
        <v>2252500</v>
      </c>
      <c r="BJ51" s="230">
        <v>771250</v>
      </c>
      <c r="BK51" s="229">
        <v>0.34239999999999998</v>
      </c>
      <c r="BL51" s="230">
        <v>1010000</v>
      </c>
      <c r="BM51" s="230">
        <v>960000</v>
      </c>
      <c r="BN51" s="230">
        <v>50000</v>
      </c>
      <c r="BO51" s="229">
        <v>5.21E-2</v>
      </c>
      <c r="BP51" s="230">
        <v>5277500</v>
      </c>
      <c r="BQ51" s="230">
        <v>4441250</v>
      </c>
      <c r="BR51" s="230">
        <v>836250</v>
      </c>
      <c r="BS51" s="229">
        <v>0.1883</v>
      </c>
      <c r="BT51" s="230">
        <v>618370</v>
      </c>
      <c r="BU51" s="230">
        <v>1760075</v>
      </c>
      <c r="BV51" s="230">
        <v>-1141705</v>
      </c>
      <c r="BW51" s="229">
        <v>-0.64870000000000005</v>
      </c>
      <c r="BX51" s="230">
        <v>22957500</v>
      </c>
      <c r="BY51" s="230">
        <v>22987500</v>
      </c>
      <c r="BZ51" s="230">
        <v>-30000</v>
      </c>
      <c r="CA51" s="229">
        <v>-1.2999999999999999E-3</v>
      </c>
      <c r="CB51" s="230">
        <v>22470000</v>
      </c>
      <c r="CC51" s="230">
        <v>22508750</v>
      </c>
      <c r="CD51" s="230">
        <v>-38750</v>
      </c>
      <c r="CE51" s="229">
        <v>-1.6999999999999999E-3</v>
      </c>
      <c r="CF51" s="230">
        <v>481250</v>
      </c>
      <c r="CG51" s="230">
        <v>476250</v>
      </c>
      <c r="CH51" s="230">
        <v>5000</v>
      </c>
      <c r="CI51" s="229">
        <v>1.0500000000000001E-2</v>
      </c>
      <c r="CJ51" s="230">
        <v>6250</v>
      </c>
      <c r="CK51" s="230">
        <v>2500</v>
      </c>
      <c r="CL51" s="230">
        <v>3750</v>
      </c>
      <c r="CM51" s="229">
        <v>1.5</v>
      </c>
      <c r="CN51" s="230">
        <v>4861250</v>
      </c>
      <c r="CO51" s="230">
        <v>4577500</v>
      </c>
      <c r="CP51" s="230">
        <v>283750</v>
      </c>
      <c r="CQ51" s="229">
        <v>6.2E-2</v>
      </c>
      <c r="CR51" s="230">
        <v>3438750</v>
      </c>
      <c r="CS51" s="230">
        <v>3443750</v>
      </c>
      <c r="CT51" s="230">
        <v>-5000</v>
      </c>
      <c r="CU51" s="229">
        <v>-1.5E-3</v>
      </c>
      <c r="CV51" s="230">
        <v>31257500</v>
      </c>
      <c r="CW51" s="230">
        <v>31008750</v>
      </c>
      <c r="CX51" s="230">
        <v>248750</v>
      </c>
      <c r="CY51" s="229">
        <v>8.0000000000000002E-3</v>
      </c>
      <c r="CZ51" s="228">
        <v>33.57</v>
      </c>
      <c r="DA51" s="228">
        <v>33.36</v>
      </c>
      <c r="DB51" s="228">
        <v>0.21</v>
      </c>
      <c r="DC51" s="228">
        <v>0.21</v>
      </c>
      <c r="DD51" s="228">
        <v>34.659999999999997</v>
      </c>
      <c r="DE51" s="228">
        <v>34.68</v>
      </c>
      <c r="DF51" s="228">
        <v>-1.0900000000000001</v>
      </c>
      <c r="DG51" s="228">
        <v>-0.02</v>
      </c>
      <c r="DH51" s="228">
        <v>33.01</v>
      </c>
      <c r="DI51" s="228">
        <v>33.450000000000003</v>
      </c>
      <c r="DJ51" s="228">
        <v>-0.44</v>
      </c>
      <c r="DK51" s="228">
        <v>-0.44</v>
      </c>
      <c r="DL51" s="228">
        <v>35.22</v>
      </c>
      <c r="DM51" s="228">
        <v>33.159999999999997</v>
      </c>
      <c r="DN51" s="228">
        <v>2.06</v>
      </c>
      <c r="DO51" s="228">
        <v>2.06</v>
      </c>
      <c r="DP51" s="228">
        <v>0.71</v>
      </c>
      <c r="DQ51" s="228">
        <v>0.75</v>
      </c>
      <c r="DR51" s="228">
        <v>-0.04</v>
      </c>
      <c r="DS51" s="229">
        <v>-5.33E-2</v>
      </c>
      <c r="DT51" s="228">
        <v>550</v>
      </c>
      <c r="DU51" s="228">
        <v>500</v>
      </c>
      <c r="DV51" s="228">
        <v>0.33</v>
      </c>
      <c r="DW51" s="228">
        <v>0.43</v>
      </c>
      <c r="DX51" s="228">
        <v>-0.1</v>
      </c>
      <c r="DY51" s="229">
        <v>-0.2326</v>
      </c>
      <c r="DZ51" s="229">
        <v>2.12E-2</v>
      </c>
      <c r="EA51" s="230">
        <v>478750</v>
      </c>
      <c r="EB51" s="229">
        <v>4.1999999999999997E-3</v>
      </c>
      <c r="EC51" s="229">
        <v>2.12E-2</v>
      </c>
      <c r="ED51" s="228">
        <v>3.05</v>
      </c>
      <c r="EE51" s="229">
        <v>5.8999999999999999E-3</v>
      </c>
      <c r="EF51" s="230">
        <v>222047</v>
      </c>
      <c r="EG51" s="230">
        <v>960792</v>
      </c>
      <c r="EH51" s="229">
        <v>-0.76890000000000003</v>
      </c>
      <c r="EI51" s="229">
        <v>0.35909999999999997</v>
      </c>
      <c r="EJ51" s="231">
        <v>16737.52</v>
      </c>
      <c r="EK51" s="231">
        <v>5143.43</v>
      </c>
      <c r="EL51" s="231">
        <v>6455.7</v>
      </c>
      <c r="EM51" s="231">
        <v>5434</v>
      </c>
      <c r="EN51" s="231">
        <v>28336.65</v>
      </c>
      <c r="EO51" s="231">
        <v>23623.72</v>
      </c>
      <c r="EP51" s="231">
        <v>4712.93</v>
      </c>
      <c r="EQ51" s="229">
        <v>0.19950000000000001</v>
      </c>
      <c r="ER51" s="231">
        <v>26342</v>
      </c>
      <c r="ES51" s="231">
        <v>17641</v>
      </c>
      <c r="ET51" s="231">
        <v>119264</v>
      </c>
      <c r="EU51" s="231">
        <v>51639257</v>
      </c>
      <c r="EV51" s="231">
        <v>163247</v>
      </c>
      <c r="EW51" s="231">
        <v>159977</v>
      </c>
      <c r="EX51" s="231">
        <v>3270</v>
      </c>
      <c r="EY51" s="229">
        <v>2.0400000000000001E-2</v>
      </c>
      <c r="EZ51" s="229">
        <v>0.60529999999999995</v>
      </c>
      <c r="FA51" s="227" t="s">
        <v>691</v>
      </c>
      <c r="FB51" s="161">
        <f t="shared" si="0"/>
        <v>487500</v>
      </c>
    </row>
    <row r="52" spans="1:158" ht="17.25" thickBot="1" x14ac:dyDescent="0.3">
      <c r="A52" s="226">
        <v>46146</v>
      </c>
      <c r="B52" s="227" t="s">
        <v>184</v>
      </c>
      <c r="C52" s="227" t="s">
        <v>523</v>
      </c>
      <c r="D52" s="228">
        <v>1800</v>
      </c>
      <c r="E52" s="228">
        <v>278.7</v>
      </c>
      <c r="F52" s="228">
        <v>273.17</v>
      </c>
      <c r="G52" s="228">
        <v>5.53</v>
      </c>
      <c r="H52" s="229">
        <v>2.0199999999999999E-2</v>
      </c>
      <c r="I52" s="228">
        <v>277.95</v>
      </c>
      <c r="J52" s="228">
        <v>272.36</v>
      </c>
      <c r="K52" s="228">
        <v>5.59</v>
      </c>
      <c r="L52" s="229">
        <v>2.0500000000000001E-2</v>
      </c>
      <c r="M52" s="228">
        <v>278.7</v>
      </c>
      <c r="N52" s="228">
        <v>273.17</v>
      </c>
      <c r="O52" s="228">
        <v>5.53</v>
      </c>
      <c r="P52" s="229">
        <v>2.0199999999999999E-2</v>
      </c>
      <c r="Q52" s="228">
        <v>279.95</v>
      </c>
      <c r="R52" s="228">
        <v>275.45999999999998</v>
      </c>
      <c r="S52" s="228">
        <v>4.49</v>
      </c>
      <c r="T52" s="229">
        <v>1.6299999999999999E-2</v>
      </c>
      <c r="U52" s="228">
        <v>280</v>
      </c>
      <c r="V52" s="228">
        <v>274.75</v>
      </c>
      <c r="W52" s="228">
        <v>5.25</v>
      </c>
      <c r="X52" s="229">
        <v>1.9099999999999999E-2</v>
      </c>
      <c r="Y52" s="228">
        <v>0.75</v>
      </c>
      <c r="Z52" s="228">
        <v>0.81</v>
      </c>
      <c r="AA52" s="228">
        <v>-0.06</v>
      </c>
      <c r="AB52" s="229">
        <v>2.7000000000000001E-3</v>
      </c>
      <c r="AC52" s="228">
        <v>0.75</v>
      </c>
      <c r="AD52" s="228">
        <v>0.81</v>
      </c>
      <c r="AE52" s="228">
        <v>-0.06</v>
      </c>
      <c r="AF52" s="229">
        <v>2.7000000000000001E-3</v>
      </c>
      <c r="AG52" s="228">
        <v>2</v>
      </c>
      <c r="AH52" s="228">
        <v>3.1</v>
      </c>
      <c r="AI52" s="228">
        <v>-1.1000000000000001</v>
      </c>
      <c r="AJ52" s="229">
        <v>7.1999999999999998E-3</v>
      </c>
      <c r="AK52" s="228">
        <v>2.0499999999999998</v>
      </c>
      <c r="AL52" s="228">
        <v>2.39</v>
      </c>
      <c r="AM52" s="228">
        <v>-0.34</v>
      </c>
      <c r="AN52" s="229">
        <v>7.4000000000000003E-3</v>
      </c>
      <c r="AO52" s="228">
        <v>276.13</v>
      </c>
      <c r="AP52" s="228">
        <v>278.27</v>
      </c>
      <c r="AQ52" s="228">
        <v>0</v>
      </c>
      <c r="AR52" s="230">
        <v>10485000</v>
      </c>
      <c r="AS52" s="230">
        <v>11318400</v>
      </c>
      <c r="AT52" s="230">
        <v>-833400</v>
      </c>
      <c r="AU52" s="229">
        <v>-7.3599999999999999E-2</v>
      </c>
      <c r="AV52" s="230">
        <v>10177200</v>
      </c>
      <c r="AW52" s="230">
        <v>10967400</v>
      </c>
      <c r="AX52" s="230">
        <v>-790200</v>
      </c>
      <c r="AY52" s="229">
        <v>-7.1999999999999995E-2</v>
      </c>
      <c r="AZ52" s="230">
        <v>246600</v>
      </c>
      <c r="BA52" s="230">
        <v>288000</v>
      </c>
      <c r="BB52" s="230">
        <v>-41400</v>
      </c>
      <c r="BC52" s="229">
        <v>-0.14380000000000001</v>
      </c>
      <c r="BD52" s="230">
        <v>61200</v>
      </c>
      <c r="BE52" s="230">
        <v>63000</v>
      </c>
      <c r="BF52" s="230">
        <v>-1800</v>
      </c>
      <c r="BG52" s="229">
        <v>-2.86E-2</v>
      </c>
      <c r="BH52" s="230">
        <v>14871600</v>
      </c>
      <c r="BI52" s="230">
        <v>15989400</v>
      </c>
      <c r="BJ52" s="230">
        <v>-1117800</v>
      </c>
      <c r="BK52" s="229">
        <v>-6.9900000000000004E-2</v>
      </c>
      <c r="BL52" s="230">
        <v>6625800</v>
      </c>
      <c r="BM52" s="230">
        <v>7797600</v>
      </c>
      <c r="BN52" s="230">
        <v>-1171800</v>
      </c>
      <c r="BO52" s="229">
        <v>-0.15029999999999999</v>
      </c>
      <c r="BP52" s="230">
        <v>31982400</v>
      </c>
      <c r="BQ52" s="230">
        <v>35105400</v>
      </c>
      <c r="BR52" s="230">
        <v>-3123000</v>
      </c>
      <c r="BS52" s="229">
        <v>-8.8999999999999996E-2</v>
      </c>
      <c r="BT52" s="230">
        <v>5409149</v>
      </c>
      <c r="BU52" s="230">
        <v>7637855</v>
      </c>
      <c r="BV52" s="230">
        <v>-2228706</v>
      </c>
      <c r="BW52" s="229">
        <v>-0.2918</v>
      </c>
      <c r="BX52" s="230">
        <v>53183300</v>
      </c>
      <c r="BY52" s="230">
        <v>51363350</v>
      </c>
      <c r="BZ52" s="230">
        <v>1819950</v>
      </c>
      <c r="CA52" s="229">
        <v>3.5400000000000001E-2</v>
      </c>
      <c r="CB52" s="230">
        <v>52432200</v>
      </c>
      <c r="CC52" s="230">
        <v>50661000</v>
      </c>
      <c r="CD52" s="230">
        <v>1771200</v>
      </c>
      <c r="CE52" s="229">
        <v>3.5000000000000003E-2</v>
      </c>
      <c r="CF52" s="230">
        <v>626400</v>
      </c>
      <c r="CG52" s="230">
        <v>622800</v>
      </c>
      <c r="CH52" s="230">
        <v>3600</v>
      </c>
      <c r="CI52" s="229">
        <v>5.7999999999999996E-3</v>
      </c>
      <c r="CJ52" s="230">
        <v>124700</v>
      </c>
      <c r="CK52" s="230">
        <v>79550</v>
      </c>
      <c r="CL52" s="230">
        <v>45150</v>
      </c>
      <c r="CM52" s="229">
        <v>0.56759999999999999</v>
      </c>
      <c r="CN52" s="230">
        <v>14025600</v>
      </c>
      <c r="CO52" s="230">
        <v>12704400</v>
      </c>
      <c r="CP52" s="230">
        <v>1321200</v>
      </c>
      <c r="CQ52" s="229">
        <v>0.104</v>
      </c>
      <c r="CR52" s="230">
        <v>6507000</v>
      </c>
      <c r="CS52" s="230">
        <v>5819400</v>
      </c>
      <c r="CT52" s="230">
        <v>687600</v>
      </c>
      <c r="CU52" s="229">
        <v>0.1182</v>
      </c>
      <c r="CV52" s="230">
        <v>73715900</v>
      </c>
      <c r="CW52" s="230">
        <v>69887150</v>
      </c>
      <c r="CX52" s="230">
        <v>3828750</v>
      </c>
      <c r="CY52" s="229">
        <v>5.4800000000000001E-2</v>
      </c>
      <c r="CZ52" s="228">
        <v>43.06</v>
      </c>
      <c r="DA52" s="228">
        <v>43.75</v>
      </c>
      <c r="DB52" s="228">
        <v>-0.69</v>
      </c>
      <c r="DC52" s="228">
        <v>-0.69</v>
      </c>
      <c r="DD52" s="228">
        <v>35.86</v>
      </c>
      <c r="DE52" s="228">
        <v>35.85</v>
      </c>
      <c r="DF52" s="228">
        <v>7.2</v>
      </c>
      <c r="DG52" s="228">
        <v>0.01</v>
      </c>
      <c r="DH52" s="228">
        <v>42.9</v>
      </c>
      <c r="DI52" s="228">
        <v>44.08</v>
      </c>
      <c r="DJ52" s="228">
        <v>-1.18</v>
      </c>
      <c r="DK52" s="228">
        <v>-1.18</v>
      </c>
      <c r="DL52" s="228">
        <v>43.44</v>
      </c>
      <c r="DM52" s="228">
        <v>43.07</v>
      </c>
      <c r="DN52" s="228">
        <v>0.37</v>
      </c>
      <c r="DO52" s="228">
        <v>0.37</v>
      </c>
      <c r="DP52" s="228">
        <v>0.46</v>
      </c>
      <c r="DQ52" s="228">
        <v>0.46</v>
      </c>
      <c r="DR52" s="228">
        <v>0</v>
      </c>
      <c r="DS52" s="229">
        <v>0</v>
      </c>
      <c r="DT52" s="228">
        <v>290</v>
      </c>
      <c r="DU52" s="228">
        <v>250</v>
      </c>
      <c r="DV52" s="228">
        <v>0.45</v>
      </c>
      <c r="DW52" s="228">
        <v>0.49</v>
      </c>
      <c r="DX52" s="228">
        <v>-0.04</v>
      </c>
      <c r="DY52" s="229">
        <v>-8.1600000000000006E-2</v>
      </c>
      <c r="DZ52" s="229">
        <v>1.41E-2</v>
      </c>
      <c r="EA52" s="230">
        <v>702350</v>
      </c>
      <c r="EB52" s="229">
        <v>4.4999999999999997E-3</v>
      </c>
      <c r="EC52" s="229">
        <v>1.41E-2</v>
      </c>
      <c r="ED52" s="228">
        <v>2.14</v>
      </c>
      <c r="EE52" s="229">
        <v>7.7000000000000002E-3</v>
      </c>
      <c r="EF52" s="230">
        <v>2531729</v>
      </c>
      <c r="EG52" s="230">
        <v>3583269</v>
      </c>
      <c r="EH52" s="229">
        <v>-0.29349999999999998</v>
      </c>
      <c r="EI52" s="229">
        <v>0.46800000000000003</v>
      </c>
      <c r="EJ52" s="231">
        <v>43669.85</v>
      </c>
      <c r="EK52" s="231">
        <v>18529.84</v>
      </c>
      <c r="EL52" s="231">
        <v>28990.53</v>
      </c>
      <c r="EM52" s="231">
        <v>12607</v>
      </c>
      <c r="EN52" s="231">
        <v>91190.22</v>
      </c>
      <c r="EO52" s="231">
        <v>98993.42</v>
      </c>
      <c r="EP52" s="231">
        <v>-7803.2</v>
      </c>
      <c r="EQ52" s="229">
        <v>-7.8799999999999995E-2</v>
      </c>
      <c r="ER52" s="231">
        <v>39969</v>
      </c>
      <c r="ES52" s="231">
        <v>17228</v>
      </c>
      <c r="ET52" s="231">
        <v>148231</v>
      </c>
      <c r="EU52" s="231">
        <v>96587231</v>
      </c>
      <c r="EV52" s="231">
        <v>205429</v>
      </c>
      <c r="EW52" s="231">
        <v>191815</v>
      </c>
      <c r="EX52" s="231">
        <v>13614</v>
      </c>
      <c r="EY52" s="229">
        <v>7.0999999999999994E-2</v>
      </c>
      <c r="EZ52" s="229">
        <v>0.76319999999999999</v>
      </c>
      <c r="FA52" s="227" t="s">
        <v>555</v>
      </c>
      <c r="FB52" s="161">
        <f t="shared" si="0"/>
        <v>751100</v>
      </c>
    </row>
    <row r="53" spans="1:158" ht="17.25" thickBot="1" x14ac:dyDescent="0.3">
      <c r="A53" s="226">
        <v>46146</v>
      </c>
      <c r="B53" s="227" t="s">
        <v>184</v>
      </c>
      <c r="C53" s="227" t="s">
        <v>203</v>
      </c>
      <c r="D53" s="228">
        <v>200</v>
      </c>
      <c r="E53" s="231">
        <v>5293.5</v>
      </c>
      <c r="F53" s="231">
        <v>5299.8</v>
      </c>
      <c r="G53" s="228">
        <v>-6.3</v>
      </c>
      <c r="H53" s="229">
        <v>-1.1999999999999999E-3</v>
      </c>
      <c r="I53" s="231">
        <v>5289</v>
      </c>
      <c r="J53" s="231">
        <v>5266.4</v>
      </c>
      <c r="K53" s="228">
        <v>22.6</v>
      </c>
      <c r="L53" s="229">
        <v>4.3E-3</v>
      </c>
      <c r="M53" s="231">
        <v>5293.5</v>
      </c>
      <c r="N53" s="231">
        <v>5299.8</v>
      </c>
      <c r="O53" s="228">
        <v>-6.3</v>
      </c>
      <c r="P53" s="229">
        <v>-1.1999999999999999E-3</v>
      </c>
      <c r="Q53" s="231">
        <v>5320</v>
      </c>
      <c r="R53" s="231">
        <v>5351.8</v>
      </c>
      <c r="S53" s="228">
        <v>-31.8</v>
      </c>
      <c r="T53" s="229">
        <v>-5.8999999999999999E-3</v>
      </c>
      <c r="U53" s="231">
        <v>5325</v>
      </c>
      <c r="V53" s="231">
        <v>5361</v>
      </c>
      <c r="W53" s="228">
        <v>-36</v>
      </c>
      <c r="X53" s="229">
        <v>-6.7000000000000002E-3</v>
      </c>
      <c r="Y53" s="228">
        <v>4.5</v>
      </c>
      <c r="Z53" s="228">
        <v>33.4</v>
      </c>
      <c r="AA53" s="228">
        <v>-28.9</v>
      </c>
      <c r="AB53" s="229">
        <v>8.9999999999999998E-4</v>
      </c>
      <c r="AC53" s="228">
        <v>4.5</v>
      </c>
      <c r="AD53" s="228">
        <v>33.4</v>
      </c>
      <c r="AE53" s="228">
        <v>-28.9</v>
      </c>
      <c r="AF53" s="229">
        <v>8.9999999999999998E-4</v>
      </c>
      <c r="AG53" s="228">
        <v>31</v>
      </c>
      <c r="AH53" s="228">
        <v>85.4</v>
      </c>
      <c r="AI53" s="228">
        <v>-54.4</v>
      </c>
      <c r="AJ53" s="229">
        <v>5.8999999999999999E-3</v>
      </c>
      <c r="AK53" s="228">
        <v>36</v>
      </c>
      <c r="AL53" s="228">
        <v>94.6</v>
      </c>
      <c r="AM53" s="228">
        <v>-58.6</v>
      </c>
      <c r="AN53" s="229">
        <v>6.7999999999999996E-3</v>
      </c>
      <c r="AO53" s="231">
        <v>5312.17</v>
      </c>
      <c r="AP53" s="231">
        <v>5343.25</v>
      </c>
      <c r="AQ53" s="228">
        <v>0</v>
      </c>
      <c r="AR53" s="230">
        <v>604600</v>
      </c>
      <c r="AS53" s="230">
        <v>509200</v>
      </c>
      <c r="AT53" s="230">
        <v>95400</v>
      </c>
      <c r="AU53" s="229">
        <v>0.18740000000000001</v>
      </c>
      <c r="AV53" s="230">
        <v>583000</v>
      </c>
      <c r="AW53" s="230">
        <v>491200</v>
      </c>
      <c r="AX53" s="230">
        <v>91800</v>
      </c>
      <c r="AY53" s="229">
        <v>0.18690000000000001</v>
      </c>
      <c r="AZ53" s="230">
        <v>20600</v>
      </c>
      <c r="BA53" s="230">
        <v>16600</v>
      </c>
      <c r="BB53" s="230">
        <v>4000</v>
      </c>
      <c r="BC53" s="229">
        <v>0.24099999999999999</v>
      </c>
      <c r="BD53" s="230">
        <v>1000</v>
      </c>
      <c r="BE53" s="230">
        <v>1400</v>
      </c>
      <c r="BF53" s="228">
        <v>-400</v>
      </c>
      <c r="BG53" s="229">
        <v>-0.28570000000000001</v>
      </c>
      <c r="BH53" s="230">
        <v>825400</v>
      </c>
      <c r="BI53" s="230">
        <v>608000</v>
      </c>
      <c r="BJ53" s="230">
        <v>217400</v>
      </c>
      <c r="BK53" s="229">
        <v>0.35759999999999997</v>
      </c>
      <c r="BL53" s="230">
        <v>312600</v>
      </c>
      <c r="BM53" s="230">
        <v>500600</v>
      </c>
      <c r="BN53" s="230">
        <v>-188000</v>
      </c>
      <c r="BO53" s="229">
        <v>-0.3755</v>
      </c>
      <c r="BP53" s="230">
        <v>1742600</v>
      </c>
      <c r="BQ53" s="230">
        <v>1617800</v>
      </c>
      <c r="BR53" s="230">
        <v>124800</v>
      </c>
      <c r="BS53" s="229">
        <v>7.7100000000000002E-2</v>
      </c>
      <c r="BT53" s="230">
        <v>401947</v>
      </c>
      <c r="BU53" s="230">
        <v>458759</v>
      </c>
      <c r="BV53" s="230">
        <v>-56812</v>
      </c>
      <c r="BW53" s="229">
        <v>-0.12379999999999999</v>
      </c>
      <c r="BX53" s="230">
        <v>3982600</v>
      </c>
      <c r="BY53" s="230">
        <v>3965200</v>
      </c>
      <c r="BZ53" s="230">
        <v>17400</v>
      </c>
      <c r="CA53" s="229">
        <v>4.4000000000000003E-3</v>
      </c>
      <c r="CB53" s="230">
        <v>3682400</v>
      </c>
      <c r="CC53" s="230">
        <v>3670000</v>
      </c>
      <c r="CD53" s="230">
        <v>12400</v>
      </c>
      <c r="CE53" s="229">
        <v>3.3999999999999998E-3</v>
      </c>
      <c r="CF53" s="230">
        <v>297800</v>
      </c>
      <c r="CG53" s="230">
        <v>293600</v>
      </c>
      <c r="CH53" s="230">
        <v>4200</v>
      </c>
      <c r="CI53" s="229">
        <v>1.43E-2</v>
      </c>
      <c r="CJ53" s="230">
        <v>2400</v>
      </c>
      <c r="CK53" s="230">
        <v>1600</v>
      </c>
      <c r="CL53" s="228">
        <v>800</v>
      </c>
      <c r="CM53" s="229">
        <v>0.5</v>
      </c>
      <c r="CN53" s="230">
        <v>569400</v>
      </c>
      <c r="CO53" s="230">
        <v>461400</v>
      </c>
      <c r="CP53" s="230">
        <v>108000</v>
      </c>
      <c r="CQ53" s="229">
        <v>0.2341</v>
      </c>
      <c r="CR53" s="230">
        <v>403800</v>
      </c>
      <c r="CS53" s="230">
        <v>399400</v>
      </c>
      <c r="CT53" s="230">
        <v>4400</v>
      </c>
      <c r="CU53" s="229">
        <v>1.0999999999999999E-2</v>
      </c>
      <c r="CV53" s="230">
        <v>4955800</v>
      </c>
      <c r="CW53" s="230">
        <v>4826000</v>
      </c>
      <c r="CX53" s="230">
        <v>129800</v>
      </c>
      <c r="CY53" s="229">
        <v>2.69E-2</v>
      </c>
      <c r="CZ53" s="228">
        <v>33.1</v>
      </c>
      <c r="DA53" s="228">
        <v>34.07</v>
      </c>
      <c r="DB53" s="228">
        <v>-0.97</v>
      </c>
      <c r="DC53" s="228">
        <v>-0.97</v>
      </c>
      <c r="DD53" s="228">
        <v>35.549999999999997</v>
      </c>
      <c r="DE53" s="228">
        <v>35.630000000000003</v>
      </c>
      <c r="DF53" s="228">
        <v>-2.4500000000000002</v>
      </c>
      <c r="DG53" s="228">
        <v>-0.08</v>
      </c>
      <c r="DH53" s="228">
        <v>32.72</v>
      </c>
      <c r="DI53" s="228">
        <v>33.119999999999997</v>
      </c>
      <c r="DJ53" s="228">
        <v>-0.4</v>
      </c>
      <c r="DK53" s="228">
        <v>-0.4</v>
      </c>
      <c r="DL53" s="228">
        <v>34.130000000000003</v>
      </c>
      <c r="DM53" s="228">
        <v>35.22</v>
      </c>
      <c r="DN53" s="228">
        <v>-1.0900000000000001</v>
      </c>
      <c r="DO53" s="228">
        <v>-1.0900000000000001</v>
      </c>
      <c r="DP53" s="228">
        <v>0.71</v>
      </c>
      <c r="DQ53" s="228">
        <v>0.87</v>
      </c>
      <c r="DR53" s="228">
        <v>-0.16</v>
      </c>
      <c r="DS53" s="229">
        <v>-0.18390000000000001</v>
      </c>
      <c r="DT53" s="231">
        <v>5500</v>
      </c>
      <c r="DU53" s="231">
        <v>5000</v>
      </c>
      <c r="DV53" s="228">
        <v>0.38</v>
      </c>
      <c r="DW53" s="228">
        <v>0.82</v>
      </c>
      <c r="DX53" s="228">
        <v>-0.44</v>
      </c>
      <c r="DY53" s="229">
        <v>-0.53659999999999997</v>
      </c>
      <c r="DZ53" s="229">
        <v>7.5399999999999995E-2</v>
      </c>
      <c r="EA53" s="230">
        <v>295200</v>
      </c>
      <c r="EB53" s="229">
        <v>5.0000000000000001E-3</v>
      </c>
      <c r="EC53" s="229">
        <v>7.5399999999999995E-2</v>
      </c>
      <c r="ED53" s="228">
        <v>31.08</v>
      </c>
      <c r="EE53" s="229">
        <v>5.8999999999999999E-3</v>
      </c>
      <c r="EF53" s="230">
        <v>233529</v>
      </c>
      <c r="EG53" s="230">
        <v>263084</v>
      </c>
      <c r="EH53" s="229">
        <v>-0.1123</v>
      </c>
      <c r="EI53" s="229">
        <v>0.58099999999999996</v>
      </c>
      <c r="EJ53" s="231">
        <v>46052.13</v>
      </c>
      <c r="EK53" s="231">
        <v>16191.37</v>
      </c>
      <c r="EL53" s="231">
        <v>32124.11</v>
      </c>
      <c r="EM53" s="231">
        <v>6237</v>
      </c>
      <c r="EN53" s="231">
        <v>94367.61</v>
      </c>
      <c r="EO53" s="231">
        <v>86088.97</v>
      </c>
      <c r="EP53" s="231">
        <v>8278.64</v>
      </c>
      <c r="EQ53" s="229">
        <v>9.6199999999999994E-2</v>
      </c>
      <c r="ER53" s="231">
        <v>30905</v>
      </c>
      <c r="ES53" s="231">
        <v>20383</v>
      </c>
      <c r="ET53" s="231">
        <v>210899</v>
      </c>
      <c r="EU53" s="231">
        <v>20374200</v>
      </c>
      <c r="EV53" s="231">
        <v>262187</v>
      </c>
      <c r="EW53" s="231">
        <v>255252</v>
      </c>
      <c r="EX53" s="231">
        <v>6935</v>
      </c>
      <c r="EY53" s="229">
        <v>2.7199999999999998E-2</v>
      </c>
      <c r="EZ53" s="229">
        <v>0.2432</v>
      </c>
      <c r="FA53" s="227" t="s">
        <v>566</v>
      </c>
      <c r="FB53" s="161">
        <f t="shared" si="0"/>
        <v>300200</v>
      </c>
    </row>
    <row r="54" spans="1:158" ht="17.25" thickBot="1" x14ac:dyDescent="0.3">
      <c r="A54" s="226">
        <v>46146</v>
      </c>
      <c r="B54" s="227" t="s">
        <v>168</v>
      </c>
      <c r="C54" s="227" t="s">
        <v>204</v>
      </c>
      <c r="D54" s="228">
        <v>1250</v>
      </c>
      <c r="E54" s="228">
        <v>447.2</v>
      </c>
      <c r="F54" s="228">
        <v>444.1</v>
      </c>
      <c r="G54" s="228">
        <v>3.1</v>
      </c>
      <c r="H54" s="229">
        <v>7.0000000000000001E-3</v>
      </c>
      <c r="I54" s="228">
        <v>445.65</v>
      </c>
      <c r="J54" s="228">
        <v>441.5</v>
      </c>
      <c r="K54" s="228">
        <v>4.1500000000000004</v>
      </c>
      <c r="L54" s="229">
        <v>9.4000000000000004E-3</v>
      </c>
      <c r="M54" s="228">
        <v>447.2</v>
      </c>
      <c r="N54" s="228">
        <v>444.1</v>
      </c>
      <c r="O54" s="228">
        <v>3.1</v>
      </c>
      <c r="P54" s="229">
        <v>7.0000000000000001E-3</v>
      </c>
      <c r="Q54" s="228">
        <v>450.3</v>
      </c>
      <c r="R54" s="228">
        <v>446.65</v>
      </c>
      <c r="S54" s="228">
        <v>3.65</v>
      </c>
      <c r="T54" s="229">
        <v>8.2000000000000007E-3</v>
      </c>
      <c r="U54" s="228">
        <v>447.6</v>
      </c>
      <c r="V54" s="228">
        <v>444.95</v>
      </c>
      <c r="W54" s="228">
        <v>2.65</v>
      </c>
      <c r="X54" s="229">
        <v>6.0000000000000001E-3</v>
      </c>
      <c r="Y54" s="228">
        <v>1.55</v>
      </c>
      <c r="Z54" s="228">
        <v>2.6</v>
      </c>
      <c r="AA54" s="228">
        <v>-1.05</v>
      </c>
      <c r="AB54" s="229">
        <v>3.5000000000000001E-3</v>
      </c>
      <c r="AC54" s="228">
        <v>1.55</v>
      </c>
      <c r="AD54" s="228">
        <v>2.6</v>
      </c>
      <c r="AE54" s="228">
        <v>-1.05</v>
      </c>
      <c r="AF54" s="229">
        <v>3.5000000000000001E-3</v>
      </c>
      <c r="AG54" s="228">
        <v>4.6500000000000004</v>
      </c>
      <c r="AH54" s="228">
        <v>5.15</v>
      </c>
      <c r="AI54" s="228">
        <v>-0.5</v>
      </c>
      <c r="AJ54" s="229">
        <v>1.04E-2</v>
      </c>
      <c r="AK54" s="228">
        <v>1.95</v>
      </c>
      <c r="AL54" s="228">
        <v>3.45</v>
      </c>
      <c r="AM54" s="228">
        <v>-1.5</v>
      </c>
      <c r="AN54" s="229">
        <v>4.4000000000000003E-3</v>
      </c>
      <c r="AO54" s="228">
        <v>449.8</v>
      </c>
      <c r="AP54" s="228">
        <v>452.65</v>
      </c>
      <c r="AQ54" s="228">
        <v>0</v>
      </c>
      <c r="AR54" s="230">
        <v>2066250</v>
      </c>
      <c r="AS54" s="230">
        <v>3356250</v>
      </c>
      <c r="AT54" s="230">
        <v>-1290000</v>
      </c>
      <c r="AU54" s="229">
        <v>-0.38440000000000002</v>
      </c>
      <c r="AV54" s="230">
        <v>1885000</v>
      </c>
      <c r="AW54" s="230">
        <v>3187500</v>
      </c>
      <c r="AX54" s="230">
        <v>-1302500</v>
      </c>
      <c r="AY54" s="229">
        <v>-0.40860000000000002</v>
      </c>
      <c r="AZ54" s="230">
        <v>113750</v>
      </c>
      <c r="BA54" s="230">
        <v>126250</v>
      </c>
      <c r="BB54" s="230">
        <v>-12500</v>
      </c>
      <c r="BC54" s="229">
        <v>-9.9000000000000005E-2</v>
      </c>
      <c r="BD54" s="230">
        <v>67500</v>
      </c>
      <c r="BE54" s="230">
        <v>42500</v>
      </c>
      <c r="BF54" s="230">
        <v>25000</v>
      </c>
      <c r="BG54" s="229">
        <v>0.58819999999999995</v>
      </c>
      <c r="BH54" s="230">
        <v>5232500</v>
      </c>
      <c r="BI54" s="230">
        <v>7775000</v>
      </c>
      <c r="BJ54" s="230">
        <v>-2542500</v>
      </c>
      <c r="BK54" s="229">
        <v>-0.32700000000000001</v>
      </c>
      <c r="BL54" s="230">
        <v>2201250</v>
      </c>
      <c r="BM54" s="230">
        <v>3832500</v>
      </c>
      <c r="BN54" s="230">
        <v>-1631250</v>
      </c>
      <c r="BO54" s="229">
        <v>-0.42559999999999998</v>
      </c>
      <c r="BP54" s="230">
        <v>9500000</v>
      </c>
      <c r="BQ54" s="230">
        <v>14963750</v>
      </c>
      <c r="BR54" s="230">
        <v>-5463750</v>
      </c>
      <c r="BS54" s="229">
        <v>-0.36509999999999998</v>
      </c>
      <c r="BT54" s="230">
        <v>1093181</v>
      </c>
      <c r="BU54" s="230">
        <v>1503529</v>
      </c>
      <c r="BV54" s="230">
        <v>-410348</v>
      </c>
      <c r="BW54" s="229">
        <v>-0.27289999999999998</v>
      </c>
      <c r="BX54" s="230">
        <v>28677500</v>
      </c>
      <c r="BY54" s="230">
        <v>28642500</v>
      </c>
      <c r="BZ54" s="230">
        <v>35000</v>
      </c>
      <c r="CA54" s="229">
        <v>1.1999999999999999E-3</v>
      </c>
      <c r="CB54" s="230">
        <v>28088750</v>
      </c>
      <c r="CC54" s="230">
        <v>28131250</v>
      </c>
      <c r="CD54" s="230">
        <v>-42500</v>
      </c>
      <c r="CE54" s="229">
        <v>-1.5E-3</v>
      </c>
      <c r="CF54" s="230">
        <v>482500</v>
      </c>
      <c r="CG54" s="230">
        <v>456250</v>
      </c>
      <c r="CH54" s="230">
        <v>26250</v>
      </c>
      <c r="CI54" s="229">
        <v>5.7500000000000002E-2</v>
      </c>
      <c r="CJ54" s="230">
        <v>106250</v>
      </c>
      <c r="CK54" s="230">
        <v>55000</v>
      </c>
      <c r="CL54" s="230">
        <v>51250</v>
      </c>
      <c r="CM54" s="229">
        <v>0.93179999999999996</v>
      </c>
      <c r="CN54" s="230">
        <v>6370000</v>
      </c>
      <c r="CO54" s="230">
        <v>5465000</v>
      </c>
      <c r="CP54" s="230">
        <v>905000</v>
      </c>
      <c r="CQ54" s="229">
        <v>0.1656</v>
      </c>
      <c r="CR54" s="230">
        <v>4060000</v>
      </c>
      <c r="CS54" s="230">
        <v>3740000</v>
      </c>
      <c r="CT54" s="230">
        <v>320000</v>
      </c>
      <c r="CU54" s="229">
        <v>8.5599999999999996E-2</v>
      </c>
      <c r="CV54" s="230">
        <v>39107500</v>
      </c>
      <c r="CW54" s="230">
        <v>37847500</v>
      </c>
      <c r="CX54" s="230">
        <v>1260000</v>
      </c>
      <c r="CY54" s="229">
        <v>3.3300000000000003E-2</v>
      </c>
      <c r="CZ54" s="228">
        <v>30.82</v>
      </c>
      <c r="DA54" s="228">
        <v>30.19</v>
      </c>
      <c r="DB54" s="228">
        <v>0.63</v>
      </c>
      <c r="DC54" s="228">
        <v>0.63</v>
      </c>
      <c r="DD54" s="228">
        <v>27.35</v>
      </c>
      <c r="DE54" s="228">
        <v>27.39</v>
      </c>
      <c r="DF54" s="228">
        <v>3.47</v>
      </c>
      <c r="DG54" s="228">
        <v>-0.04</v>
      </c>
      <c r="DH54" s="228">
        <v>30.79</v>
      </c>
      <c r="DI54" s="228">
        <v>30.23</v>
      </c>
      <c r="DJ54" s="228">
        <v>0.56000000000000005</v>
      </c>
      <c r="DK54" s="228">
        <v>0.56000000000000005</v>
      </c>
      <c r="DL54" s="228">
        <v>30.89</v>
      </c>
      <c r="DM54" s="228">
        <v>30.09</v>
      </c>
      <c r="DN54" s="228">
        <v>0.8</v>
      </c>
      <c r="DO54" s="228">
        <v>0.8</v>
      </c>
      <c r="DP54" s="228">
        <v>0.64</v>
      </c>
      <c r="DQ54" s="228">
        <v>0.68</v>
      </c>
      <c r="DR54" s="228">
        <v>-0.04</v>
      </c>
      <c r="DS54" s="229">
        <v>-5.8799999999999998E-2</v>
      </c>
      <c r="DT54" s="228">
        <v>500</v>
      </c>
      <c r="DU54" s="228">
        <v>400</v>
      </c>
      <c r="DV54" s="228">
        <v>0.42</v>
      </c>
      <c r="DW54" s="228">
        <v>0.49</v>
      </c>
      <c r="DX54" s="228">
        <v>-7.0000000000000007E-2</v>
      </c>
      <c r="DY54" s="229">
        <v>-0.1429</v>
      </c>
      <c r="DZ54" s="229">
        <v>2.0500000000000001E-2</v>
      </c>
      <c r="EA54" s="230">
        <v>511250</v>
      </c>
      <c r="EB54" s="229">
        <v>6.8999999999999999E-3</v>
      </c>
      <c r="EC54" s="229">
        <v>2.0500000000000001E-2</v>
      </c>
      <c r="ED54" s="228">
        <v>2.85</v>
      </c>
      <c r="EE54" s="229">
        <v>6.3E-3</v>
      </c>
      <c r="EF54" s="230">
        <v>498047</v>
      </c>
      <c r="EG54" s="230">
        <v>567027</v>
      </c>
      <c r="EH54" s="229">
        <v>-0.1217</v>
      </c>
      <c r="EI54" s="229">
        <v>0.4556</v>
      </c>
      <c r="EJ54" s="231">
        <v>25137.32</v>
      </c>
      <c r="EK54" s="231">
        <v>9548.7800000000007</v>
      </c>
      <c r="EL54" s="231">
        <v>9298.2000000000007</v>
      </c>
      <c r="EM54" s="231">
        <v>5775</v>
      </c>
      <c r="EN54" s="231">
        <v>43984.3</v>
      </c>
      <c r="EO54" s="231">
        <v>69061.98</v>
      </c>
      <c r="EP54" s="231">
        <v>-25077.68</v>
      </c>
      <c r="EQ54" s="229">
        <v>-0.36309999999999998</v>
      </c>
      <c r="ER54" s="231">
        <v>30593</v>
      </c>
      <c r="ES54" s="231">
        <v>17594</v>
      </c>
      <c r="ET54" s="231">
        <v>128261</v>
      </c>
      <c r="EU54" s="231">
        <v>76827821</v>
      </c>
      <c r="EV54" s="231">
        <v>176449</v>
      </c>
      <c r="EW54" s="231">
        <v>169610</v>
      </c>
      <c r="EX54" s="231">
        <v>6839</v>
      </c>
      <c r="EY54" s="229">
        <v>4.0300000000000002E-2</v>
      </c>
      <c r="EZ54" s="229">
        <v>0.50900000000000001</v>
      </c>
      <c r="FA54" s="227" t="s">
        <v>555</v>
      </c>
      <c r="FB54" s="161">
        <f t="shared" si="0"/>
        <v>588750</v>
      </c>
    </row>
    <row r="55" spans="1:158" ht="17.25" thickBot="1" x14ac:dyDescent="0.3">
      <c r="A55" s="226">
        <v>46146</v>
      </c>
      <c r="B55" s="227" t="s">
        <v>157</v>
      </c>
      <c r="C55" s="227" t="s">
        <v>524</v>
      </c>
      <c r="D55" s="228">
        <v>325</v>
      </c>
      <c r="E55" s="231">
        <v>1988.2</v>
      </c>
      <c r="F55" s="231">
        <v>1916.5</v>
      </c>
      <c r="G55" s="228">
        <v>71.7</v>
      </c>
      <c r="H55" s="229">
        <v>3.7400000000000003E-2</v>
      </c>
      <c r="I55" s="231">
        <v>1983.3</v>
      </c>
      <c r="J55" s="231">
        <v>1906.3</v>
      </c>
      <c r="K55" s="228">
        <v>77</v>
      </c>
      <c r="L55" s="229">
        <v>4.0399999999999998E-2</v>
      </c>
      <c r="M55" s="231">
        <v>1988.2</v>
      </c>
      <c r="N55" s="231">
        <v>1916.5</v>
      </c>
      <c r="O55" s="228">
        <v>71.7</v>
      </c>
      <c r="P55" s="229">
        <v>3.7400000000000003E-2</v>
      </c>
      <c r="Q55" s="231">
        <v>1993.8</v>
      </c>
      <c r="R55" s="231">
        <v>1924.4</v>
      </c>
      <c r="S55" s="228">
        <v>69.400000000000006</v>
      </c>
      <c r="T55" s="229">
        <v>3.61E-2</v>
      </c>
      <c r="U55" s="231">
        <v>1927.9</v>
      </c>
      <c r="V55" s="231">
        <v>1927.9</v>
      </c>
      <c r="W55" s="228">
        <v>0</v>
      </c>
      <c r="X55" s="229">
        <v>0</v>
      </c>
      <c r="Y55" s="228">
        <v>4.9000000000000004</v>
      </c>
      <c r="Z55" s="228">
        <v>10.199999999999999</v>
      </c>
      <c r="AA55" s="228">
        <v>-5.3</v>
      </c>
      <c r="AB55" s="229">
        <v>2.5000000000000001E-3</v>
      </c>
      <c r="AC55" s="228">
        <v>4.9000000000000004</v>
      </c>
      <c r="AD55" s="228">
        <v>10.199999999999999</v>
      </c>
      <c r="AE55" s="228">
        <v>-5.3</v>
      </c>
      <c r="AF55" s="229">
        <v>2.5000000000000001E-3</v>
      </c>
      <c r="AG55" s="228">
        <v>10.5</v>
      </c>
      <c r="AH55" s="228">
        <v>18.100000000000001</v>
      </c>
      <c r="AI55" s="228">
        <v>-7.6</v>
      </c>
      <c r="AJ55" s="229">
        <v>5.3E-3</v>
      </c>
      <c r="AK55" s="228">
        <v>-55.4</v>
      </c>
      <c r="AL55" s="228">
        <v>21.6</v>
      </c>
      <c r="AM55" s="228">
        <v>-77</v>
      </c>
      <c r="AN55" s="229">
        <v>-2.7900000000000001E-2</v>
      </c>
      <c r="AO55" s="231">
        <v>1984.22</v>
      </c>
      <c r="AP55" s="231">
        <v>1986.67</v>
      </c>
      <c r="AQ55" s="228">
        <v>0</v>
      </c>
      <c r="AR55" s="230">
        <v>1411800</v>
      </c>
      <c r="AS55" s="230">
        <v>651300</v>
      </c>
      <c r="AT55" s="230">
        <v>760500</v>
      </c>
      <c r="AU55" s="229">
        <v>1.1677</v>
      </c>
      <c r="AV55" s="230">
        <v>1388400</v>
      </c>
      <c r="AW55" s="230">
        <v>634400</v>
      </c>
      <c r="AX55" s="230">
        <v>754000</v>
      </c>
      <c r="AY55" s="229">
        <v>1.1884999999999999</v>
      </c>
      <c r="AZ55" s="230">
        <v>23400</v>
      </c>
      <c r="BA55" s="230">
        <v>16575</v>
      </c>
      <c r="BB55" s="230">
        <v>6825</v>
      </c>
      <c r="BC55" s="229">
        <v>0.4118</v>
      </c>
      <c r="BD55" s="228">
        <v>0</v>
      </c>
      <c r="BE55" s="228">
        <v>325</v>
      </c>
      <c r="BF55" s="228">
        <v>-325</v>
      </c>
      <c r="BG55" s="229">
        <v>-1</v>
      </c>
      <c r="BH55" s="230">
        <v>2026700</v>
      </c>
      <c r="BI55" s="230">
        <v>1064700</v>
      </c>
      <c r="BJ55" s="230">
        <v>962000</v>
      </c>
      <c r="BK55" s="229">
        <v>0.90349999999999997</v>
      </c>
      <c r="BL55" s="230">
        <v>1058850</v>
      </c>
      <c r="BM55" s="230">
        <v>855725</v>
      </c>
      <c r="BN55" s="230">
        <v>203125</v>
      </c>
      <c r="BO55" s="229">
        <v>0.2374</v>
      </c>
      <c r="BP55" s="230">
        <v>4497350</v>
      </c>
      <c r="BQ55" s="230">
        <v>2571725</v>
      </c>
      <c r="BR55" s="230">
        <v>1925625</v>
      </c>
      <c r="BS55" s="229">
        <v>0.74880000000000002</v>
      </c>
      <c r="BT55" s="230">
        <v>425870</v>
      </c>
      <c r="BU55" s="230">
        <v>286130</v>
      </c>
      <c r="BV55" s="230">
        <v>139740</v>
      </c>
      <c r="BW55" s="229">
        <v>0.4884</v>
      </c>
      <c r="BX55" s="230">
        <v>2685150</v>
      </c>
      <c r="BY55" s="230">
        <v>2330900</v>
      </c>
      <c r="BZ55" s="230">
        <v>354250</v>
      </c>
      <c r="CA55" s="229">
        <v>0.152</v>
      </c>
      <c r="CB55" s="230">
        <v>2660125</v>
      </c>
      <c r="CC55" s="230">
        <v>2307825</v>
      </c>
      <c r="CD55" s="230">
        <v>352300</v>
      </c>
      <c r="CE55" s="229">
        <v>0.1527</v>
      </c>
      <c r="CF55" s="230">
        <v>24050</v>
      </c>
      <c r="CG55" s="230">
        <v>22100</v>
      </c>
      <c r="CH55" s="230">
        <v>1950</v>
      </c>
      <c r="CI55" s="229">
        <v>8.8200000000000001E-2</v>
      </c>
      <c r="CJ55" s="228">
        <v>975</v>
      </c>
      <c r="CK55" s="228">
        <v>975</v>
      </c>
      <c r="CL55" s="228">
        <v>0</v>
      </c>
      <c r="CM55" s="229">
        <v>0</v>
      </c>
      <c r="CN55" s="230">
        <v>790075</v>
      </c>
      <c r="CO55" s="230">
        <v>749125</v>
      </c>
      <c r="CP55" s="230">
        <v>40950</v>
      </c>
      <c r="CQ55" s="229">
        <v>5.4699999999999999E-2</v>
      </c>
      <c r="CR55" s="230">
        <v>507000</v>
      </c>
      <c r="CS55" s="230">
        <v>472550</v>
      </c>
      <c r="CT55" s="230">
        <v>34450</v>
      </c>
      <c r="CU55" s="229">
        <v>7.2900000000000006E-2</v>
      </c>
      <c r="CV55" s="230">
        <v>3982225</v>
      </c>
      <c r="CW55" s="230">
        <v>3552575</v>
      </c>
      <c r="CX55" s="230">
        <v>429650</v>
      </c>
      <c r="CY55" s="229">
        <v>0.12089999999999999</v>
      </c>
      <c r="CZ55" s="228">
        <v>32.21</v>
      </c>
      <c r="DA55" s="228">
        <v>31.81</v>
      </c>
      <c r="DB55" s="228">
        <v>0.4</v>
      </c>
      <c r="DC55" s="228">
        <v>0.4</v>
      </c>
      <c r="DD55" s="228">
        <v>34.11</v>
      </c>
      <c r="DE55" s="228">
        <v>33.83</v>
      </c>
      <c r="DF55" s="228">
        <v>-1.9</v>
      </c>
      <c r="DG55" s="228">
        <v>0.28000000000000003</v>
      </c>
      <c r="DH55" s="228">
        <v>31.71</v>
      </c>
      <c r="DI55" s="228">
        <v>31.88</v>
      </c>
      <c r="DJ55" s="228">
        <v>-0.17</v>
      </c>
      <c r="DK55" s="228">
        <v>-0.17</v>
      </c>
      <c r="DL55" s="228">
        <v>33.18</v>
      </c>
      <c r="DM55" s="228">
        <v>31.74</v>
      </c>
      <c r="DN55" s="228">
        <v>1.44</v>
      </c>
      <c r="DO55" s="228">
        <v>1.44</v>
      </c>
      <c r="DP55" s="228">
        <v>0.64</v>
      </c>
      <c r="DQ55" s="228">
        <v>0.63</v>
      </c>
      <c r="DR55" s="228">
        <v>0.01</v>
      </c>
      <c r="DS55" s="229">
        <v>1.5900000000000001E-2</v>
      </c>
      <c r="DT55" s="231">
        <v>2000</v>
      </c>
      <c r="DU55" s="231">
        <v>1900</v>
      </c>
      <c r="DV55" s="228">
        <v>0.52</v>
      </c>
      <c r="DW55" s="228">
        <v>0.8</v>
      </c>
      <c r="DX55" s="228">
        <v>-0.28000000000000003</v>
      </c>
      <c r="DY55" s="229">
        <v>-0.35</v>
      </c>
      <c r="DZ55" s="229">
        <v>9.2999999999999992E-3</v>
      </c>
      <c r="EA55" s="230">
        <v>23075</v>
      </c>
      <c r="EB55" s="229">
        <v>2.8E-3</v>
      </c>
      <c r="EC55" s="229">
        <v>9.2999999999999992E-3</v>
      </c>
      <c r="ED55" s="228">
        <v>2.4500000000000002</v>
      </c>
      <c r="EE55" s="229">
        <v>1.1999999999999999E-3</v>
      </c>
      <c r="EF55" s="230">
        <v>169551</v>
      </c>
      <c r="EG55" s="230">
        <v>127060</v>
      </c>
      <c r="EH55" s="229">
        <v>0.33439999999999998</v>
      </c>
      <c r="EI55" s="229">
        <v>0.39810000000000001</v>
      </c>
      <c r="EJ55" s="231">
        <v>42321.72</v>
      </c>
      <c r="EK55" s="231">
        <v>20521.78</v>
      </c>
      <c r="EL55" s="231">
        <v>28013.83</v>
      </c>
      <c r="EM55" s="231">
        <v>4260</v>
      </c>
      <c r="EN55" s="231">
        <v>90857.33</v>
      </c>
      <c r="EO55" s="231">
        <v>50643.07</v>
      </c>
      <c r="EP55" s="231">
        <v>40214.26</v>
      </c>
      <c r="EQ55" s="229">
        <v>0.79410000000000003</v>
      </c>
      <c r="ER55" s="231">
        <v>16192</v>
      </c>
      <c r="ES55" s="231">
        <v>9467</v>
      </c>
      <c r="ET55" s="231">
        <v>53387</v>
      </c>
      <c r="EU55" s="231">
        <v>12425160</v>
      </c>
      <c r="EV55" s="231">
        <v>79045</v>
      </c>
      <c r="EW55" s="231">
        <v>68714</v>
      </c>
      <c r="EX55" s="231">
        <v>10331</v>
      </c>
      <c r="EY55" s="229">
        <v>0.15029999999999999</v>
      </c>
      <c r="EZ55" s="229">
        <v>0.32050000000000001</v>
      </c>
      <c r="FA55" s="227" t="s">
        <v>555</v>
      </c>
      <c r="FB55" s="161">
        <f t="shared" si="0"/>
        <v>25025</v>
      </c>
    </row>
    <row r="56" spans="1:158" ht="17.25" thickBot="1" x14ac:dyDescent="0.3">
      <c r="A56" s="226">
        <v>46146</v>
      </c>
      <c r="B56" s="227" t="s">
        <v>614</v>
      </c>
      <c r="C56" s="227" t="s">
        <v>599</v>
      </c>
      <c r="D56" s="228">
        <v>2075</v>
      </c>
      <c r="E56" s="228">
        <v>469.4</v>
      </c>
      <c r="F56" s="228">
        <v>469.35</v>
      </c>
      <c r="G56" s="228">
        <v>0.05</v>
      </c>
      <c r="H56" s="229">
        <v>1E-4</v>
      </c>
      <c r="I56" s="228">
        <v>467.35</v>
      </c>
      <c r="J56" s="228">
        <v>467.05</v>
      </c>
      <c r="K56" s="228">
        <v>0.3</v>
      </c>
      <c r="L56" s="229">
        <v>5.9999999999999995E-4</v>
      </c>
      <c r="M56" s="228">
        <v>469.4</v>
      </c>
      <c r="N56" s="228">
        <v>469.35</v>
      </c>
      <c r="O56" s="228">
        <v>0.05</v>
      </c>
      <c r="P56" s="229">
        <v>1E-4</v>
      </c>
      <c r="Q56" s="228">
        <v>473.35</v>
      </c>
      <c r="R56" s="228">
        <v>472.1</v>
      </c>
      <c r="S56" s="228">
        <v>1.25</v>
      </c>
      <c r="T56" s="229">
        <v>2.5999999999999999E-3</v>
      </c>
      <c r="U56" s="228">
        <v>475.3</v>
      </c>
      <c r="V56" s="228">
        <v>475.05</v>
      </c>
      <c r="W56" s="228">
        <v>0.25</v>
      </c>
      <c r="X56" s="229">
        <v>5.0000000000000001E-4</v>
      </c>
      <c r="Y56" s="228">
        <v>2.0499999999999998</v>
      </c>
      <c r="Z56" s="228">
        <v>2.2999999999999998</v>
      </c>
      <c r="AA56" s="228">
        <v>-0.25</v>
      </c>
      <c r="AB56" s="229">
        <v>4.4000000000000003E-3</v>
      </c>
      <c r="AC56" s="228">
        <v>2.0499999999999998</v>
      </c>
      <c r="AD56" s="228">
        <v>2.2999999999999998</v>
      </c>
      <c r="AE56" s="228">
        <v>-0.25</v>
      </c>
      <c r="AF56" s="229">
        <v>4.4000000000000003E-3</v>
      </c>
      <c r="AG56" s="228">
        <v>6</v>
      </c>
      <c r="AH56" s="228">
        <v>5.05</v>
      </c>
      <c r="AI56" s="228">
        <v>0.95</v>
      </c>
      <c r="AJ56" s="229">
        <v>1.2800000000000001E-2</v>
      </c>
      <c r="AK56" s="228">
        <v>7.95</v>
      </c>
      <c r="AL56" s="228">
        <v>8</v>
      </c>
      <c r="AM56" s="228">
        <v>-0.05</v>
      </c>
      <c r="AN56" s="229">
        <v>1.7000000000000001E-2</v>
      </c>
      <c r="AO56" s="228">
        <v>470.23</v>
      </c>
      <c r="AP56" s="228">
        <v>473.43</v>
      </c>
      <c r="AQ56" s="228">
        <v>0</v>
      </c>
      <c r="AR56" s="230">
        <v>4029650</v>
      </c>
      <c r="AS56" s="230">
        <v>3388475</v>
      </c>
      <c r="AT56" s="230">
        <v>641175</v>
      </c>
      <c r="AU56" s="229">
        <v>0.18920000000000001</v>
      </c>
      <c r="AV56" s="230">
        <v>3927975</v>
      </c>
      <c r="AW56" s="230">
        <v>3241150</v>
      </c>
      <c r="AX56" s="230">
        <v>686825</v>
      </c>
      <c r="AY56" s="229">
        <v>0.21190000000000001</v>
      </c>
      <c r="AZ56" s="230">
        <v>95450</v>
      </c>
      <c r="BA56" s="230">
        <v>141100</v>
      </c>
      <c r="BB56" s="230">
        <v>-45650</v>
      </c>
      <c r="BC56" s="229">
        <v>-0.32350000000000001</v>
      </c>
      <c r="BD56" s="230">
        <v>6225</v>
      </c>
      <c r="BE56" s="230">
        <v>6225</v>
      </c>
      <c r="BF56" s="228">
        <v>0</v>
      </c>
      <c r="BG56" s="229">
        <v>0</v>
      </c>
      <c r="BH56" s="230">
        <v>4840975</v>
      </c>
      <c r="BI56" s="230">
        <v>4965475</v>
      </c>
      <c r="BJ56" s="230">
        <v>-124500</v>
      </c>
      <c r="BK56" s="229">
        <v>-2.5100000000000001E-2</v>
      </c>
      <c r="BL56" s="230">
        <v>1585300</v>
      </c>
      <c r="BM56" s="230">
        <v>2014825</v>
      </c>
      <c r="BN56" s="230">
        <v>-429525</v>
      </c>
      <c r="BO56" s="229">
        <v>-0.2132</v>
      </c>
      <c r="BP56" s="230">
        <v>10455925</v>
      </c>
      <c r="BQ56" s="230">
        <v>10368775</v>
      </c>
      <c r="BR56" s="230">
        <v>87150</v>
      </c>
      <c r="BS56" s="229">
        <v>8.3999999999999995E-3</v>
      </c>
      <c r="BT56" s="230">
        <v>1743814</v>
      </c>
      <c r="BU56" s="230">
        <v>2646159</v>
      </c>
      <c r="BV56" s="230">
        <v>-902345</v>
      </c>
      <c r="BW56" s="229">
        <v>-0.34100000000000003</v>
      </c>
      <c r="BX56" s="230">
        <v>29877925</v>
      </c>
      <c r="BY56" s="230">
        <v>30149750</v>
      </c>
      <c r="BZ56" s="230">
        <v>-271825</v>
      </c>
      <c r="CA56" s="229">
        <v>-8.9999999999999993E-3</v>
      </c>
      <c r="CB56" s="230">
        <v>29604025</v>
      </c>
      <c r="CC56" s="230">
        <v>29898675</v>
      </c>
      <c r="CD56" s="230">
        <v>-294650</v>
      </c>
      <c r="CE56" s="229">
        <v>-9.9000000000000008E-3</v>
      </c>
      <c r="CF56" s="230">
        <v>255225</v>
      </c>
      <c r="CG56" s="230">
        <v>234475</v>
      </c>
      <c r="CH56" s="230">
        <v>20750</v>
      </c>
      <c r="CI56" s="229">
        <v>8.8499999999999995E-2</v>
      </c>
      <c r="CJ56" s="230">
        <v>18675</v>
      </c>
      <c r="CK56" s="230">
        <v>16600</v>
      </c>
      <c r="CL56" s="230">
        <v>2075</v>
      </c>
      <c r="CM56" s="229">
        <v>0.125</v>
      </c>
      <c r="CN56" s="230">
        <v>5563075</v>
      </c>
      <c r="CO56" s="230">
        <v>5214475</v>
      </c>
      <c r="CP56" s="230">
        <v>348600</v>
      </c>
      <c r="CQ56" s="229">
        <v>6.6900000000000001E-2</v>
      </c>
      <c r="CR56" s="230">
        <v>2118575</v>
      </c>
      <c r="CS56" s="230">
        <v>2031425</v>
      </c>
      <c r="CT56" s="230">
        <v>87150</v>
      </c>
      <c r="CU56" s="229">
        <v>4.2900000000000001E-2</v>
      </c>
      <c r="CV56" s="230">
        <v>37559575</v>
      </c>
      <c r="CW56" s="230">
        <v>37395650</v>
      </c>
      <c r="CX56" s="230">
        <v>163925</v>
      </c>
      <c r="CY56" s="229">
        <v>4.4000000000000003E-3</v>
      </c>
      <c r="CZ56" s="228">
        <v>37.08</v>
      </c>
      <c r="DA56" s="228">
        <v>37.700000000000003</v>
      </c>
      <c r="DB56" s="228">
        <v>-0.62</v>
      </c>
      <c r="DC56" s="228">
        <v>-0.62</v>
      </c>
      <c r="DD56" s="228">
        <v>38.96</v>
      </c>
      <c r="DE56" s="228">
        <v>39.06</v>
      </c>
      <c r="DF56" s="228">
        <v>-1.88</v>
      </c>
      <c r="DG56" s="228">
        <v>-0.1</v>
      </c>
      <c r="DH56" s="228">
        <v>36.68</v>
      </c>
      <c r="DI56" s="228">
        <v>37.340000000000003</v>
      </c>
      <c r="DJ56" s="228">
        <v>-0.66</v>
      </c>
      <c r="DK56" s="228">
        <v>-0.66</v>
      </c>
      <c r="DL56" s="228">
        <v>38.299999999999997</v>
      </c>
      <c r="DM56" s="228">
        <v>38.58</v>
      </c>
      <c r="DN56" s="228">
        <v>-0.28000000000000003</v>
      </c>
      <c r="DO56" s="228">
        <v>-0.28000000000000003</v>
      </c>
      <c r="DP56" s="228">
        <v>0.38</v>
      </c>
      <c r="DQ56" s="228">
        <v>0.39</v>
      </c>
      <c r="DR56" s="228">
        <v>-0.01</v>
      </c>
      <c r="DS56" s="229">
        <v>-2.5600000000000001E-2</v>
      </c>
      <c r="DT56" s="228">
        <v>500</v>
      </c>
      <c r="DU56" s="228">
        <v>450</v>
      </c>
      <c r="DV56" s="228">
        <v>0.33</v>
      </c>
      <c r="DW56" s="228">
        <v>0.41</v>
      </c>
      <c r="DX56" s="228">
        <v>-0.08</v>
      </c>
      <c r="DY56" s="229">
        <v>-0.1951</v>
      </c>
      <c r="DZ56" s="229">
        <v>9.1999999999999998E-3</v>
      </c>
      <c r="EA56" s="230">
        <v>251075</v>
      </c>
      <c r="EB56" s="229">
        <v>8.3999999999999995E-3</v>
      </c>
      <c r="EC56" s="229">
        <v>9.1999999999999998E-3</v>
      </c>
      <c r="ED56" s="228">
        <v>3.2</v>
      </c>
      <c r="EE56" s="229">
        <v>6.7999999999999996E-3</v>
      </c>
      <c r="EF56" s="230">
        <v>814767</v>
      </c>
      <c r="EG56" s="230">
        <v>1402193</v>
      </c>
      <c r="EH56" s="229">
        <v>-0.41889999999999999</v>
      </c>
      <c r="EI56" s="229">
        <v>0.4672</v>
      </c>
      <c r="EJ56" s="231">
        <v>24437.56</v>
      </c>
      <c r="EK56" s="231">
        <v>7411.94</v>
      </c>
      <c r="EL56" s="231">
        <v>18952.23</v>
      </c>
      <c r="EM56" s="231">
        <v>5254</v>
      </c>
      <c r="EN56" s="231">
        <v>50801.73</v>
      </c>
      <c r="EO56" s="231">
        <v>49514.33</v>
      </c>
      <c r="EP56" s="231">
        <v>1287.4000000000001</v>
      </c>
      <c r="EQ56" s="229">
        <v>2.5999999999999999E-2</v>
      </c>
      <c r="ER56" s="231">
        <v>27118</v>
      </c>
      <c r="ES56" s="231">
        <v>9365</v>
      </c>
      <c r="ET56" s="231">
        <v>140258</v>
      </c>
      <c r="EU56" s="231">
        <v>83072620</v>
      </c>
      <c r="EV56" s="231">
        <v>176742</v>
      </c>
      <c r="EW56" s="231">
        <v>175842</v>
      </c>
      <c r="EX56" s="228">
        <v>900</v>
      </c>
      <c r="EY56" s="229">
        <v>5.1000000000000004E-3</v>
      </c>
      <c r="EZ56" s="229">
        <v>0.4521</v>
      </c>
      <c r="FA56" s="227" t="s">
        <v>691</v>
      </c>
      <c r="FB56" s="161">
        <f t="shared" si="0"/>
        <v>273900</v>
      </c>
    </row>
    <row r="57" spans="1:158" ht="17.25" thickBot="1" x14ac:dyDescent="0.3">
      <c r="A57" s="226">
        <v>46146</v>
      </c>
      <c r="B57" s="227" t="s">
        <v>170</v>
      </c>
      <c r="C57" s="227" t="s">
        <v>205</v>
      </c>
      <c r="D57" s="228">
        <v>100</v>
      </c>
      <c r="E57" s="231">
        <v>6639</v>
      </c>
      <c r="F57" s="231">
        <v>6541</v>
      </c>
      <c r="G57" s="228">
        <v>98</v>
      </c>
      <c r="H57" s="229">
        <v>1.4999999999999999E-2</v>
      </c>
      <c r="I57" s="231">
        <v>6619.5</v>
      </c>
      <c r="J57" s="231">
        <v>6502.5</v>
      </c>
      <c r="K57" s="228">
        <v>117</v>
      </c>
      <c r="L57" s="229">
        <v>1.7999999999999999E-2</v>
      </c>
      <c r="M57" s="231">
        <v>6639</v>
      </c>
      <c r="N57" s="231">
        <v>6541</v>
      </c>
      <c r="O57" s="228">
        <v>98</v>
      </c>
      <c r="P57" s="229">
        <v>1.4999999999999999E-2</v>
      </c>
      <c r="Q57" s="231">
        <v>6678</v>
      </c>
      <c r="R57" s="231">
        <v>6580</v>
      </c>
      <c r="S57" s="228">
        <v>98</v>
      </c>
      <c r="T57" s="229">
        <v>1.49E-2</v>
      </c>
      <c r="U57" s="231">
        <v>6683.5</v>
      </c>
      <c r="V57" s="228">
        <v>0</v>
      </c>
      <c r="W57" s="231">
        <v>6683.5</v>
      </c>
      <c r="X57" s="229">
        <v>0</v>
      </c>
      <c r="Y57" s="228">
        <v>19.5</v>
      </c>
      <c r="Z57" s="228">
        <v>38.5</v>
      </c>
      <c r="AA57" s="228">
        <v>-19</v>
      </c>
      <c r="AB57" s="229">
        <v>2.8999999999999998E-3</v>
      </c>
      <c r="AC57" s="228">
        <v>19.5</v>
      </c>
      <c r="AD57" s="228">
        <v>38.5</v>
      </c>
      <c r="AE57" s="228">
        <v>-19</v>
      </c>
      <c r="AF57" s="229">
        <v>2.8999999999999998E-3</v>
      </c>
      <c r="AG57" s="228">
        <v>58.5</v>
      </c>
      <c r="AH57" s="228">
        <v>77.5</v>
      </c>
      <c r="AI57" s="228">
        <v>-19</v>
      </c>
      <c r="AJ57" s="229">
        <v>8.8000000000000005E-3</v>
      </c>
      <c r="AK57" s="228">
        <v>64</v>
      </c>
      <c r="AL57" s="228">
        <v>0</v>
      </c>
      <c r="AM57" s="228">
        <v>64</v>
      </c>
      <c r="AN57" s="229">
        <v>9.7000000000000003E-3</v>
      </c>
      <c r="AO57" s="231">
        <v>6621.73</v>
      </c>
      <c r="AP57" s="231">
        <v>6653</v>
      </c>
      <c r="AQ57" s="228">
        <v>0</v>
      </c>
      <c r="AR57" s="230">
        <v>238000</v>
      </c>
      <c r="AS57" s="230">
        <v>198300</v>
      </c>
      <c r="AT57" s="230">
        <v>39700</v>
      </c>
      <c r="AU57" s="229">
        <v>0.20019999999999999</v>
      </c>
      <c r="AV57" s="230">
        <v>228900</v>
      </c>
      <c r="AW57" s="230">
        <v>191300</v>
      </c>
      <c r="AX57" s="230">
        <v>37600</v>
      </c>
      <c r="AY57" s="229">
        <v>0.19650000000000001</v>
      </c>
      <c r="AZ57" s="230">
        <v>8000</v>
      </c>
      <c r="BA57" s="230">
        <v>7000</v>
      </c>
      <c r="BB57" s="230">
        <v>1000</v>
      </c>
      <c r="BC57" s="229">
        <v>0.1429</v>
      </c>
      <c r="BD57" s="230">
        <v>1100</v>
      </c>
      <c r="BE57" s="228">
        <v>0</v>
      </c>
      <c r="BF57" s="230">
        <v>1100</v>
      </c>
      <c r="BG57" s="229">
        <v>0</v>
      </c>
      <c r="BH57" s="230">
        <v>1157600</v>
      </c>
      <c r="BI57" s="230">
        <v>553300</v>
      </c>
      <c r="BJ57" s="230">
        <v>604300</v>
      </c>
      <c r="BK57" s="229">
        <v>1.0922000000000001</v>
      </c>
      <c r="BL57" s="230">
        <v>401900</v>
      </c>
      <c r="BM57" s="230">
        <v>259900</v>
      </c>
      <c r="BN57" s="230">
        <v>142000</v>
      </c>
      <c r="BO57" s="229">
        <v>0.5464</v>
      </c>
      <c r="BP57" s="230">
        <v>1797500</v>
      </c>
      <c r="BQ57" s="230">
        <v>1011500</v>
      </c>
      <c r="BR57" s="230">
        <v>786000</v>
      </c>
      <c r="BS57" s="229">
        <v>0.77710000000000001</v>
      </c>
      <c r="BT57" s="230">
        <v>386800</v>
      </c>
      <c r="BU57" s="230">
        <v>393137</v>
      </c>
      <c r="BV57" s="230">
        <v>-6337</v>
      </c>
      <c r="BW57" s="229">
        <v>-1.61E-2</v>
      </c>
      <c r="BX57" s="230">
        <v>2428200</v>
      </c>
      <c r="BY57" s="230">
        <v>2443600</v>
      </c>
      <c r="BZ57" s="230">
        <v>-15400</v>
      </c>
      <c r="CA57" s="229">
        <v>-6.3E-3</v>
      </c>
      <c r="CB57" s="230">
        <v>2135700</v>
      </c>
      <c r="CC57" s="230">
        <v>2153500</v>
      </c>
      <c r="CD57" s="230">
        <v>-17800</v>
      </c>
      <c r="CE57" s="229">
        <v>-8.3000000000000001E-3</v>
      </c>
      <c r="CF57" s="230">
        <v>291800</v>
      </c>
      <c r="CG57" s="230">
        <v>290100</v>
      </c>
      <c r="CH57" s="230">
        <v>1700</v>
      </c>
      <c r="CI57" s="229">
        <v>5.8999999999999999E-3</v>
      </c>
      <c r="CJ57" s="228">
        <v>700</v>
      </c>
      <c r="CK57" s="228">
        <v>0</v>
      </c>
      <c r="CL57" s="228">
        <v>700</v>
      </c>
      <c r="CM57" s="229">
        <v>0</v>
      </c>
      <c r="CN57" s="230">
        <v>562100</v>
      </c>
      <c r="CO57" s="230">
        <v>452400</v>
      </c>
      <c r="CP57" s="230">
        <v>109700</v>
      </c>
      <c r="CQ57" s="229">
        <v>0.24249999999999999</v>
      </c>
      <c r="CR57" s="230">
        <v>415000</v>
      </c>
      <c r="CS57" s="230">
        <v>337400</v>
      </c>
      <c r="CT57" s="230">
        <v>77600</v>
      </c>
      <c r="CU57" s="229">
        <v>0.23</v>
      </c>
      <c r="CV57" s="230">
        <v>3405300</v>
      </c>
      <c r="CW57" s="230">
        <v>3233400</v>
      </c>
      <c r="CX57" s="230">
        <v>171900</v>
      </c>
      <c r="CY57" s="229">
        <v>5.3199999999999997E-2</v>
      </c>
      <c r="CZ57" s="228">
        <v>29.07</v>
      </c>
      <c r="DA57" s="228">
        <v>30.01</v>
      </c>
      <c r="DB57" s="228">
        <v>-0.94</v>
      </c>
      <c r="DC57" s="228">
        <v>-0.94</v>
      </c>
      <c r="DD57" s="228">
        <v>29.39</v>
      </c>
      <c r="DE57" s="228">
        <v>29.37</v>
      </c>
      <c r="DF57" s="228">
        <v>-0.32</v>
      </c>
      <c r="DG57" s="228">
        <v>0.02</v>
      </c>
      <c r="DH57" s="228">
        <v>28.9</v>
      </c>
      <c r="DI57" s="228">
        <v>29.93</v>
      </c>
      <c r="DJ57" s="228">
        <v>-1.03</v>
      </c>
      <c r="DK57" s="228">
        <v>-1.03</v>
      </c>
      <c r="DL57" s="228">
        <v>29.56</v>
      </c>
      <c r="DM57" s="228">
        <v>30.16</v>
      </c>
      <c r="DN57" s="228">
        <v>-0.6</v>
      </c>
      <c r="DO57" s="228">
        <v>-0.6</v>
      </c>
      <c r="DP57" s="228">
        <v>0.74</v>
      </c>
      <c r="DQ57" s="228">
        <v>0.75</v>
      </c>
      <c r="DR57" s="228">
        <v>-0.01</v>
      </c>
      <c r="DS57" s="229">
        <v>-1.3299999999999999E-2</v>
      </c>
      <c r="DT57" s="231">
        <v>7000</v>
      </c>
      <c r="DU57" s="231">
        <v>6500</v>
      </c>
      <c r="DV57" s="228">
        <v>0.35</v>
      </c>
      <c r="DW57" s="228">
        <v>0.47</v>
      </c>
      <c r="DX57" s="228">
        <v>-0.12</v>
      </c>
      <c r="DY57" s="229">
        <v>-0.25530000000000003</v>
      </c>
      <c r="DZ57" s="229">
        <v>0.1205</v>
      </c>
      <c r="EA57" s="230">
        <v>290100</v>
      </c>
      <c r="EB57" s="229">
        <v>5.8999999999999999E-3</v>
      </c>
      <c r="EC57" s="229">
        <v>0.1205</v>
      </c>
      <c r="ED57" s="228">
        <v>31.27</v>
      </c>
      <c r="EE57" s="229">
        <v>4.7000000000000002E-3</v>
      </c>
      <c r="EF57" s="230">
        <v>196956</v>
      </c>
      <c r="EG57" s="230">
        <v>243443</v>
      </c>
      <c r="EH57" s="229">
        <v>-0.191</v>
      </c>
      <c r="EI57" s="229">
        <v>0.50919999999999999</v>
      </c>
      <c r="EJ57" s="231">
        <v>80084.460000000006</v>
      </c>
      <c r="EK57" s="231">
        <v>26033.59</v>
      </c>
      <c r="EL57" s="231">
        <v>15762.93</v>
      </c>
      <c r="EM57" s="231">
        <v>5831</v>
      </c>
      <c r="EN57" s="231">
        <v>121880.98</v>
      </c>
      <c r="EO57" s="231">
        <v>67299.240000000005</v>
      </c>
      <c r="EP57" s="231">
        <v>54581.74</v>
      </c>
      <c r="EQ57" s="229">
        <v>0.81100000000000005</v>
      </c>
      <c r="ER57" s="231">
        <v>38025</v>
      </c>
      <c r="ES57" s="231">
        <v>25991</v>
      </c>
      <c r="ET57" s="231">
        <v>161322</v>
      </c>
      <c r="EU57" s="231">
        <v>15815194</v>
      </c>
      <c r="EV57" s="231">
        <v>225338</v>
      </c>
      <c r="EW57" s="231">
        <v>211169</v>
      </c>
      <c r="EX57" s="231">
        <v>14169</v>
      </c>
      <c r="EY57" s="229">
        <v>6.7100000000000007E-2</v>
      </c>
      <c r="EZ57" s="229">
        <v>0.21529999999999999</v>
      </c>
      <c r="FA57" s="227" t="s">
        <v>691</v>
      </c>
      <c r="FB57" s="161">
        <f t="shared" si="0"/>
        <v>292500</v>
      </c>
    </row>
    <row r="58" spans="1:158" ht="17.25" thickBot="1" x14ac:dyDescent="0.3">
      <c r="A58" s="226">
        <v>46146</v>
      </c>
      <c r="B58" s="227" t="s">
        <v>184</v>
      </c>
      <c r="C58" s="227" t="s">
        <v>512</v>
      </c>
      <c r="D58" s="228">
        <v>50</v>
      </c>
      <c r="E58" s="231">
        <v>11472</v>
      </c>
      <c r="F58" s="231">
        <v>11234.5</v>
      </c>
      <c r="G58" s="228">
        <v>237.5</v>
      </c>
      <c r="H58" s="229">
        <v>2.1100000000000001E-2</v>
      </c>
      <c r="I58" s="231">
        <v>11408</v>
      </c>
      <c r="J58" s="231">
        <v>11166.5</v>
      </c>
      <c r="K58" s="228">
        <v>241.5</v>
      </c>
      <c r="L58" s="229">
        <v>2.1600000000000001E-2</v>
      </c>
      <c r="M58" s="231">
        <v>11472</v>
      </c>
      <c r="N58" s="231">
        <v>11234.5</v>
      </c>
      <c r="O58" s="228">
        <v>237.5</v>
      </c>
      <c r="P58" s="229">
        <v>2.1100000000000001E-2</v>
      </c>
      <c r="Q58" s="231">
        <v>11427</v>
      </c>
      <c r="R58" s="231">
        <v>11191.5</v>
      </c>
      <c r="S58" s="228">
        <v>235.5</v>
      </c>
      <c r="T58" s="229">
        <v>2.1000000000000001E-2</v>
      </c>
      <c r="U58" s="231">
        <v>11364</v>
      </c>
      <c r="V58" s="231">
        <v>11170.5</v>
      </c>
      <c r="W58" s="228">
        <v>193.5</v>
      </c>
      <c r="X58" s="229">
        <v>1.7299999999999999E-2</v>
      </c>
      <c r="Y58" s="228">
        <v>64</v>
      </c>
      <c r="Z58" s="228">
        <v>68</v>
      </c>
      <c r="AA58" s="228">
        <v>-4</v>
      </c>
      <c r="AB58" s="229">
        <v>5.5999999999999999E-3</v>
      </c>
      <c r="AC58" s="228">
        <v>64</v>
      </c>
      <c r="AD58" s="228">
        <v>68</v>
      </c>
      <c r="AE58" s="228">
        <v>-4</v>
      </c>
      <c r="AF58" s="229">
        <v>5.5999999999999999E-3</v>
      </c>
      <c r="AG58" s="228">
        <v>19</v>
      </c>
      <c r="AH58" s="228">
        <v>25</v>
      </c>
      <c r="AI58" s="228">
        <v>-6</v>
      </c>
      <c r="AJ58" s="229">
        <v>1.6999999999999999E-3</v>
      </c>
      <c r="AK58" s="228">
        <v>-44</v>
      </c>
      <c r="AL58" s="228">
        <v>4</v>
      </c>
      <c r="AM58" s="228">
        <v>-48</v>
      </c>
      <c r="AN58" s="229">
        <v>-3.8999999999999998E-3</v>
      </c>
      <c r="AO58" s="231">
        <v>11353.18</v>
      </c>
      <c r="AP58" s="231">
        <v>11322.59</v>
      </c>
      <c r="AQ58" s="228">
        <v>0</v>
      </c>
      <c r="AR58" s="230">
        <v>507000</v>
      </c>
      <c r="AS58" s="230">
        <v>630750</v>
      </c>
      <c r="AT58" s="230">
        <v>-123750</v>
      </c>
      <c r="AU58" s="229">
        <v>-0.19620000000000001</v>
      </c>
      <c r="AV58" s="230">
        <v>468350</v>
      </c>
      <c r="AW58" s="230">
        <v>577500</v>
      </c>
      <c r="AX58" s="230">
        <v>-109150</v>
      </c>
      <c r="AY58" s="229">
        <v>-0.189</v>
      </c>
      <c r="AZ58" s="230">
        <v>32100</v>
      </c>
      <c r="BA58" s="230">
        <v>44650</v>
      </c>
      <c r="BB58" s="230">
        <v>-12550</v>
      </c>
      <c r="BC58" s="229">
        <v>-0.28110000000000002</v>
      </c>
      <c r="BD58" s="230">
        <v>6550</v>
      </c>
      <c r="BE58" s="230">
        <v>8600</v>
      </c>
      <c r="BF58" s="230">
        <v>-2050</v>
      </c>
      <c r="BG58" s="229">
        <v>-0.2384</v>
      </c>
      <c r="BH58" s="230">
        <v>922850</v>
      </c>
      <c r="BI58" s="230">
        <v>1173300</v>
      </c>
      <c r="BJ58" s="230">
        <v>-250450</v>
      </c>
      <c r="BK58" s="229">
        <v>-0.2135</v>
      </c>
      <c r="BL58" s="230">
        <v>679100</v>
      </c>
      <c r="BM58" s="230">
        <v>785400</v>
      </c>
      <c r="BN58" s="230">
        <v>-106300</v>
      </c>
      <c r="BO58" s="229">
        <v>-0.1353</v>
      </c>
      <c r="BP58" s="230">
        <v>2108950</v>
      </c>
      <c r="BQ58" s="230">
        <v>2589450</v>
      </c>
      <c r="BR58" s="230">
        <v>-480500</v>
      </c>
      <c r="BS58" s="229">
        <v>-0.18559999999999999</v>
      </c>
      <c r="BT58" s="230">
        <v>420504</v>
      </c>
      <c r="BU58" s="230">
        <v>484216</v>
      </c>
      <c r="BV58" s="230">
        <v>-63712</v>
      </c>
      <c r="BW58" s="229">
        <v>-0.13159999999999999</v>
      </c>
      <c r="BX58" s="230">
        <v>2968300</v>
      </c>
      <c r="BY58" s="230">
        <v>2967650</v>
      </c>
      <c r="BZ58" s="228">
        <v>650</v>
      </c>
      <c r="CA58" s="229">
        <v>2.0000000000000001E-4</v>
      </c>
      <c r="CB58" s="230">
        <v>2809900</v>
      </c>
      <c r="CC58" s="230">
        <v>2815350</v>
      </c>
      <c r="CD58" s="230">
        <v>-5450</v>
      </c>
      <c r="CE58" s="229">
        <v>-1.9E-3</v>
      </c>
      <c r="CF58" s="230">
        <v>147250</v>
      </c>
      <c r="CG58" s="230">
        <v>142750</v>
      </c>
      <c r="CH58" s="230">
        <v>4500</v>
      </c>
      <c r="CI58" s="229">
        <v>3.15E-2</v>
      </c>
      <c r="CJ58" s="230">
        <v>11150</v>
      </c>
      <c r="CK58" s="230">
        <v>9550</v>
      </c>
      <c r="CL58" s="230">
        <v>1600</v>
      </c>
      <c r="CM58" s="229">
        <v>0.16750000000000001</v>
      </c>
      <c r="CN58" s="230">
        <v>949650</v>
      </c>
      <c r="CO58" s="230">
        <v>926500</v>
      </c>
      <c r="CP58" s="230">
        <v>23150</v>
      </c>
      <c r="CQ58" s="229">
        <v>2.5000000000000001E-2</v>
      </c>
      <c r="CR58" s="230">
        <v>889250</v>
      </c>
      <c r="CS58" s="230">
        <v>849800</v>
      </c>
      <c r="CT58" s="230">
        <v>39450</v>
      </c>
      <c r="CU58" s="229">
        <v>4.6399999999999997E-2</v>
      </c>
      <c r="CV58" s="230">
        <v>4807200</v>
      </c>
      <c r="CW58" s="230">
        <v>4743950</v>
      </c>
      <c r="CX58" s="230">
        <v>63250</v>
      </c>
      <c r="CY58" s="229">
        <v>1.3299999999999999E-2</v>
      </c>
      <c r="CZ58" s="228">
        <v>49.27</v>
      </c>
      <c r="DA58" s="228">
        <v>49.79</v>
      </c>
      <c r="DB58" s="228">
        <v>-0.52</v>
      </c>
      <c r="DC58" s="228">
        <v>-0.52</v>
      </c>
      <c r="DD58" s="228">
        <v>48.89</v>
      </c>
      <c r="DE58" s="228">
        <v>48.93</v>
      </c>
      <c r="DF58" s="228">
        <v>0.38</v>
      </c>
      <c r="DG58" s="228">
        <v>-0.04</v>
      </c>
      <c r="DH58" s="228">
        <v>48.44</v>
      </c>
      <c r="DI58" s="228">
        <v>49.66</v>
      </c>
      <c r="DJ58" s="228">
        <v>-1.22</v>
      </c>
      <c r="DK58" s="228">
        <v>-1.22</v>
      </c>
      <c r="DL58" s="228">
        <v>50.39</v>
      </c>
      <c r="DM58" s="228">
        <v>49.98</v>
      </c>
      <c r="DN58" s="228">
        <v>0.41</v>
      </c>
      <c r="DO58" s="228">
        <v>0.41</v>
      </c>
      <c r="DP58" s="228">
        <v>0.94</v>
      </c>
      <c r="DQ58" s="228">
        <v>0.92</v>
      </c>
      <c r="DR58" s="228">
        <v>0.02</v>
      </c>
      <c r="DS58" s="229">
        <v>2.1700000000000001E-2</v>
      </c>
      <c r="DT58" s="231">
        <v>12000</v>
      </c>
      <c r="DU58" s="231">
        <v>11000</v>
      </c>
      <c r="DV58" s="228">
        <v>0.74</v>
      </c>
      <c r="DW58" s="228">
        <v>0.67</v>
      </c>
      <c r="DX58" s="228">
        <v>7.0000000000000007E-2</v>
      </c>
      <c r="DY58" s="229">
        <v>0.1045</v>
      </c>
      <c r="DZ58" s="229">
        <v>5.3400000000000003E-2</v>
      </c>
      <c r="EA58" s="230">
        <v>152300</v>
      </c>
      <c r="EB58" s="229">
        <v>-3.8999999999999998E-3</v>
      </c>
      <c r="EC58" s="229">
        <v>5.3400000000000003E-2</v>
      </c>
      <c r="ED58" s="228">
        <v>-30.59</v>
      </c>
      <c r="EE58" s="229">
        <v>-2.7000000000000001E-3</v>
      </c>
      <c r="EF58" s="230">
        <v>106827</v>
      </c>
      <c r="EG58" s="230">
        <v>113844</v>
      </c>
      <c r="EH58" s="229">
        <v>-6.1600000000000002E-2</v>
      </c>
      <c r="EI58" s="229">
        <v>0.254</v>
      </c>
      <c r="EJ58" s="231">
        <v>112962.04</v>
      </c>
      <c r="EK58" s="231">
        <v>73242.240000000005</v>
      </c>
      <c r="EL58" s="231">
        <v>57544.86</v>
      </c>
      <c r="EM58" s="231">
        <v>28973</v>
      </c>
      <c r="EN58" s="231">
        <v>243749.14</v>
      </c>
      <c r="EO58" s="231">
        <v>301066.36</v>
      </c>
      <c r="EP58" s="231">
        <v>-57317.22</v>
      </c>
      <c r="EQ58" s="229">
        <v>-0.19040000000000001</v>
      </c>
      <c r="ER58" s="231">
        <v>112090</v>
      </c>
      <c r="ES58" s="231">
        <v>94525</v>
      </c>
      <c r="ET58" s="231">
        <v>340445</v>
      </c>
      <c r="EU58" s="231">
        <v>6478285</v>
      </c>
      <c r="EV58" s="231">
        <v>547060</v>
      </c>
      <c r="EW58" s="231">
        <v>532203</v>
      </c>
      <c r="EX58" s="231">
        <v>14857</v>
      </c>
      <c r="EY58" s="229">
        <v>2.7900000000000001E-2</v>
      </c>
      <c r="EZ58" s="229">
        <v>0.74199999999999999</v>
      </c>
      <c r="FA58" s="227" t="s">
        <v>555</v>
      </c>
      <c r="FB58" s="161">
        <f t="shared" si="0"/>
        <v>158400</v>
      </c>
    </row>
    <row r="59" spans="1:158" ht="17.25" thickBot="1" x14ac:dyDescent="0.3">
      <c r="A59" s="226">
        <v>46146</v>
      </c>
      <c r="B59" s="227" t="s">
        <v>206</v>
      </c>
      <c r="C59" s="227" t="s">
        <v>207</v>
      </c>
      <c r="D59" s="228">
        <v>825</v>
      </c>
      <c r="E59" s="228">
        <v>608.79999999999995</v>
      </c>
      <c r="F59" s="228">
        <v>590.35</v>
      </c>
      <c r="G59" s="228">
        <v>18.45</v>
      </c>
      <c r="H59" s="229">
        <v>3.1300000000000001E-2</v>
      </c>
      <c r="I59" s="228">
        <v>607.20000000000005</v>
      </c>
      <c r="J59" s="228">
        <v>587</v>
      </c>
      <c r="K59" s="228">
        <v>20.2</v>
      </c>
      <c r="L59" s="229">
        <v>3.44E-2</v>
      </c>
      <c r="M59" s="228">
        <v>608.79999999999995</v>
      </c>
      <c r="N59" s="228">
        <v>590.35</v>
      </c>
      <c r="O59" s="228">
        <v>18.45</v>
      </c>
      <c r="P59" s="229">
        <v>3.1300000000000001E-2</v>
      </c>
      <c r="Q59" s="228">
        <v>611.95000000000005</v>
      </c>
      <c r="R59" s="228">
        <v>594</v>
      </c>
      <c r="S59" s="228">
        <v>17.95</v>
      </c>
      <c r="T59" s="229">
        <v>3.0200000000000001E-2</v>
      </c>
      <c r="U59" s="228">
        <v>613.70000000000005</v>
      </c>
      <c r="V59" s="228">
        <v>594</v>
      </c>
      <c r="W59" s="228">
        <v>19.7</v>
      </c>
      <c r="X59" s="229">
        <v>3.32E-2</v>
      </c>
      <c r="Y59" s="228">
        <v>1.6</v>
      </c>
      <c r="Z59" s="228">
        <v>3.35</v>
      </c>
      <c r="AA59" s="228">
        <v>-1.75</v>
      </c>
      <c r="AB59" s="229">
        <v>2.5999999999999999E-3</v>
      </c>
      <c r="AC59" s="228">
        <v>1.6</v>
      </c>
      <c r="AD59" s="228">
        <v>3.35</v>
      </c>
      <c r="AE59" s="228">
        <v>-1.75</v>
      </c>
      <c r="AF59" s="229">
        <v>2.5999999999999999E-3</v>
      </c>
      <c r="AG59" s="228">
        <v>4.75</v>
      </c>
      <c r="AH59" s="228">
        <v>7</v>
      </c>
      <c r="AI59" s="228">
        <v>-2.25</v>
      </c>
      <c r="AJ59" s="229">
        <v>7.7999999999999996E-3</v>
      </c>
      <c r="AK59" s="228">
        <v>6.5</v>
      </c>
      <c r="AL59" s="228">
        <v>7</v>
      </c>
      <c r="AM59" s="228">
        <v>-0.5</v>
      </c>
      <c r="AN59" s="229">
        <v>1.0699999999999999E-2</v>
      </c>
      <c r="AO59" s="228">
        <v>606.55999999999995</v>
      </c>
      <c r="AP59" s="228">
        <v>609.12</v>
      </c>
      <c r="AQ59" s="228">
        <v>0</v>
      </c>
      <c r="AR59" s="230">
        <v>5181825</v>
      </c>
      <c r="AS59" s="230">
        <v>4138200</v>
      </c>
      <c r="AT59" s="230">
        <v>1043625</v>
      </c>
      <c r="AU59" s="229">
        <v>0.25219999999999998</v>
      </c>
      <c r="AV59" s="230">
        <v>5012700</v>
      </c>
      <c r="AW59" s="230">
        <v>4016100</v>
      </c>
      <c r="AX59" s="230">
        <v>996600</v>
      </c>
      <c r="AY59" s="229">
        <v>0.2482</v>
      </c>
      <c r="AZ59" s="230">
        <v>153450</v>
      </c>
      <c r="BA59" s="230">
        <v>115500</v>
      </c>
      <c r="BB59" s="230">
        <v>37950</v>
      </c>
      <c r="BC59" s="229">
        <v>0.3286</v>
      </c>
      <c r="BD59" s="230">
        <v>15675</v>
      </c>
      <c r="BE59" s="230">
        <v>6600</v>
      </c>
      <c r="BF59" s="230">
        <v>9075</v>
      </c>
      <c r="BG59" s="229">
        <v>1.375</v>
      </c>
      <c r="BH59" s="230">
        <v>11549175</v>
      </c>
      <c r="BI59" s="230">
        <v>5560500</v>
      </c>
      <c r="BJ59" s="230">
        <v>5988675</v>
      </c>
      <c r="BK59" s="229">
        <v>1.077</v>
      </c>
      <c r="BL59" s="230">
        <v>4848525</v>
      </c>
      <c r="BM59" s="230">
        <v>7328475</v>
      </c>
      <c r="BN59" s="230">
        <v>-2479950</v>
      </c>
      <c r="BO59" s="229">
        <v>-0.33839999999999998</v>
      </c>
      <c r="BP59" s="230">
        <v>21579525</v>
      </c>
      <c r="BQ59" s="230">
        <v>17027175</v>
      </c>
      <c r="BR59" s="230">
        <v>4552350</v>
      </c>
      <c r="BS59" s="229">
        <v>0.26740000000000003</v>
      </c>
      <c r="BT59" s="230">
        <v>4338515</v>
      </c>
      <c r="BU59" s="230">
        <v>3676326</v>
      </c>
      <c r="BV59" s="230">
        <v>662189</v>
      </c>
      <c r="BW59" s="229">
        <v>0.18010000000000001</v>
      </c>
      <c r="BX59" s="230">
        <v>45643275</v>
      </c>
      <c r="BY59" s="230">
        <v>45350225</v>
      </c>
      <c r="BZ59" s="230">
        <v>293050</v>
      </c>
      <c r="CA59" s="229">
        <v>6.4999999999999997E-3</v>
      </c>
      <c r="CB59" s="230">
        <v>42663225</v>
      </c>
      <c r="CC59" s="230">
        <v>42383550</v>
      </c>
      <c r="CD59" s="230">
        <v>279675</v>
      </c>
      <c r="CE59" s="229">
        <v>6.6E-3</v>
      </c>
      <c r="CF59" s="230">
        <v>2960100</v>
      </c>
      <c r="CG59" s="230">
        <v>2954325</v>
      </c>
      <c r="CH59" s="230">
        <v>5775</v>
      </c>
      <c r="CI59" s="229">
        <v>2E-3</v>
      </c>
      <c r="CJ59" s="230">
        <v>19950</v>
      </c>
      <c r="CK59" s="230">
        <v>12350</v>
      </c>
      <c r="CL59" s="230">
        <v>7600</v>
      </c>
      <c r="CM59" s="229">
        <v>0.61539999999999995</v>
      </c>
      <c r="CN59" s="230">
        <v>7092525</v>
      </c>
      <c r="CO59" s="230">
        <v>6162750</v>
      </c>
      <c r="CP59" s="230">
        <v>929775</v>
      </c>
      <c r="CQ59" s="229">
        <v>0.15090000000000001</v>
      </c>
      <c r="CR59" s="230">
        <v>5711475</v>
      </c>
      <c r="CS59" s="230">
        <v>5401275</v>
      </c>
      <c r="CT59" s="230">
        <v>310200</v>
      </c>
      <c r="CU59" s="229">
        <v>5.74E-2</v>
      </c>
      <c r="CV59" s="230">
        <v>58447275</v>
      </c>
      <c r="CW59" s="230">
        <v>56914250</v>
      </c>
      <c r="CX59" s="230">
        <v>1533025</v>
      </c>
      <c r="CY59" s="229">
        <v>2.69E-2</v>
      </c>
      <c r="CZ59" s="228">
        <v>36.81</v>
      </c>
      <c r="DA59" s="228">
        <v>36.96</v>
      </c>
      <c r="DB59" s="228">
        <v>-0.15</v>
      </c>
      <c r="DC59" s="228">
        <v>-0.15</v>
      </c>
      <c r="DD59" s="228">
        <v>37.83</v>
      </c>
      <c r="DE59" s="228">
        <v>37.64</v>
      </c>
      <c r="DF59" s="228">
        <v>-1.02</v>
      </c>
      <c r="DG59" s="228">
        <v>0.19</v>
      </c>
      <c r="DH59" s="228">
        <v>36.58</v>
      </c>
      <c r="DI59" s="228">
        <v>36.729999999999997</v>
      </c>
      <c r="DJ59" s="228">
        <v>-0.15</v>
      </c>
      <c r="DK59" s="228">
        <v>-0.15</v>
      </c>
      <c r="DL59" s="228">
        <v>37.35</v>
      </c>
      <c r="DM59" s="228">
        <v>37.14</v>
      </c>
      <c r="DN59" s="228">
        <v>0.21</v>
      </c>
      <c r="DO59" s="228">
        <v>0.21</v>
      </c>
      <c r="DP59" s="228">
        <v>0.81</v>
      </c>
      <c r="DQ59" s="228">
        <v>0.88</v>
      </c>
      <c r="DR59" s="228">
        <v>-7.0000000000000007E-2</v>
      </c>
      <c r="DS59" s="229">
        <v>-7.9500000000000001E-2</v>
      </c>
      <c r="DT59" s="228">
        <v>600</v>
      </c>
      <c r="DU59" s="228">
        <v>600</v>
      </c>
      <c r="DV59" s="228">
        <v>0.42</v>
      </c>
      <c r="DW59" s="228">
        <v>1.32</v>
      </c>
      <c r="DX59" s="228">
        <v>-0.9</v>
      </c>
      <c r="DY59" s="229">
        <v>-0.68179999999999996</v>
      </c>
      <c r="DZ59" s="229">
        <v>6.5299999999999997E-2</v>
      </c>
      <c r="EA59" s="230">
        <v>2966675</v>
      </c>
      <c r="EB59" s="229">
        <v>5.1999999999999998E-3</v>
      </c>
      <c r="EC59" s="229">
        <v>6.5299999999999997E-2</v>
      </c>
      <c r="ED59" s="228">
        <v>2.56</v>
      </c>
      <c r="EE59" s="229">
        <v>4.1999999999999997E-3</v>
      </c>
      <c r="EF59" s="230">
        <v>1833300</v>
      </c>
      <c r="EG59" s="230">
        <v>1852536</v>
      </c>
      <c r="EH59" s="229">
        <v>-1.04E-2</v>
      </c>
      <c r="EI59" s="229">
        <v>0.42259999999999998</v>
      </c>
      <c r="EJ59" s="231">
        <v>73939.55</v>
      </c>
      <c r="EK59" s="231">
        <v>28757.57</v>
      </c>
      <c r="EL59" s="231">
        <v>31450.05</v>
      </c>
      <c r="EM59" s="231">
        <v>16784</v>
      </c>
      <c r="EN59" s="231">
        <v>134147.17000000001</v>
      </c>
      <c r="EO59" s="231">
        <v>102761.08</v>
      </c>
      <c r="EP59" s="231">
        <v>31386.09</v>
      </c>
      <c r="EQ59" s="229">
        <v>0.3054</v>
      </c>
      <c r="ER59" s="231">
        <v>44247</v>
      </c>
      <c r="ES59" s="231">
        <v>33550</v>
      </c>
      <c r="ET59" s="231">
        <v>277970</v>
      </c>
      <c r="EU59" s="231">
        <v>96251298</v>
      </c>
      <c r="EV59" s="231">
        <v>355767</v>
      </c>
      <c r="EW59" s="231">
        <v>337749</v>
      </c>
      <c r="EX59" s="231">
        <v>18018</v>
      </c>
      <c r="EY59" s="229">
        <v>5.33E-2</v>
      </c>
      <c r="EZ59" s="229">
        <v>0.60719999999999996</v>
      </c>
      <c r="FA59" s="227" t="s">
        <v>555</v>
      </c>
      <c r="FB59" s="161">
        <f t="shared" si="0"/>
        <v>2980050</v>
      </c>
    </row>
    <row r="60" spans="1:158" ht="17.25" thickBot="1" x14ac:dyDescent="0.3">
      <c r="A60" s="226">
        <v>46146</v>
      </c>
      <c r="B60" s="227" t="s">
        <v>614</v>
      </c>
      <c r="C60" s="227" t="s">
        <v>582</v>
      </c>
      <c r="D60" s="228">
        <v>150</v>
      </c>
      <c r="E60" s="231">
        <v>4362.2</v>
      </c>
      <c r="F60" s="231">
        <v>4615.8</v>
      </c>
      <c r="G60" s="228">
        <v>-253.6</v>
      </c>
      <c r="H60" s="229">
        <v>-5.4899999999999997E-2</v>
      </c>
      <c r="I60" s="231">
        <v>4376.5</v>
      </c>
      <c r="J60" s="231">
        <v>4585.8999999999996</v>
      </c>
      <c r="K60" s="228">
        <v>-209.4</v>
      </c>
      <c r="L60" s="229">
        <v>-4.5699999999999998E-2</v>
      </c>
      <c r="M60" s="231">
        <v>4362.2</v>
      </c>
      <c r="N60" s="231">
        <v>4615.8</v>
      </c>
      <c r="O60" s="228">
        <v>-253.6</v>
      </c>
      <c r="P60" s="229">
        <v>-5.4899999999999997E-2</v>
      </c>
      <c r="Q60" s="231">
        <v>4346.8999999999996</v>
      </c>
      <c r="R60" s="231">
        <v>4619</v>
      </c>
      <c r="S60" s="228">
        <v>-272.10000000000002</v>
      </c>
      <c r="T60" s="229">
        <v>-5.8900000000000001E-2</v>
      </c>
      <c r="U60" s="231">
        <v>4346.7</v>
      </c>
      <c r="V60" s="231">
        <v>4619.1000000000004</v>
      </c>
      <c r="W60" s="228">
        <v>-272.39999999999998</v>
      </c>
      <c r="X60" s="229">
        <v>-5.8999999999999997E-2</v>
      </c>
      <c r="Y60" s="228">
        <v>-14.3</v>
      </c>
      <c r="Z60" s="228">
        <v>29.9</v>
      </c>
      <c r="AA60" s="228">
        <v>-44.2</v>
      </c>
      <c r="AB60" s="229">
        <v>-3.3E-3</v>
      </c>
      <c r="AC60" s="228">
        <v>-14.3</v>
      </c>
      <c r="AD60" s="228">
        <v>29.9</v>
      </c>
      <c r="AE60" s="228">
        <v>-44.2</v>
      </c>
      <c r="AF60" s="229">
        <v>-3.3E-3</v>
      </c>
      <c r="AG60" s="228">
        <v>-29.6</v>
      </c>
      <c r="AH60" s="228">
        <v>33.1</v>
      </c>
      <c r="AI60" s="228">
        <v>-62.7</v>
      </c>
      <c r="AJ60" s="229">
        <v>-6.7999999999999996E-3</v>
      </c>
      <c r="AK60" s="228">
        <v>-29.8</v>
      </c>
      <c r="AL60" s="228">
        <v>33.200000000000003</v>
      </c>
      <c r="AM60" s="228">
        <v>-63</v>
      </c>
      <c r="AN60" s="229">
        <v>-6.7999999999999996E-3</v>
      </c>
      <c r="AO60" s="231">
        <v>4409.8900000000003</v>
      </c>
      <c r="AP60" s="231">
        <v>4372.29</v>
      </c>
      <c r="AQ60" s="228">
        <v>0</v>
      </c>
      <c r="AR60" s="230">
        <v>1885050</v>
      </c>
      <c r="AS60" s="230">
        <v>522300</v>
      </c>
      <c r="AT60" s="230">
        <v>1362750</v>
      </c>
      <c r="AU60" s="229">
        <v>2.6091000000000002</v>
      </c>
      <c r="AV60" s="230">
        <v>1737150</v>
      </c>
      <c r="AW60" s="230">
        <v>506100</v>
      </c>
      <c r="AX60" s="230">
        <v>1231050</v>
      </c>
      <c r="AY60" s="229">
        <v>2.4323999999999999</v>
      </c>
      <c r="AZ60" s="230">
        <v>135600</v>
      </c>
      <c r="BA60" s="230">
        <v>15600</v>
      </c>
      <c r="BB60" s="230">
        <v>120000</v>
      </c>
      <c r="BC60" s="229">
        <v>7.6923000000000004</v>
      </c>
      <c r="BD60" s="230">
        <v>12300</v>
      </c>
      <c r="BE60" s="228">
        <v>600</v>
      </c>
      <c r="BF60" s="230">
        <v>11700</v>
      </c>
      <c r="BG60" s="229">
        <v>19.5</v>
      </c>
      <c r="BH60" s="230">
        <v>8131800</v>
      </c>
      <c r="BI60" s="230">
        <v>1359450</v>
      </c>
      <c r="BJ60" s="230">
        <v>6772350</v>
      </c>
      <c r="BK60" s="229">
        <v>4.9817</v>
      </c>
      <c r="BL60" s="230">
        <v>3995100</v>
      </c>
      <c r="BM60" s="230">
        <v>760350</v>
      </c>
      <c r="BN60" s="230">
        <v>3234750</v>
      </c>
      <c r="BO60" s="229">
        <v>4.2542999999999997</v>
      </c>
      <c r="BP60" s="230">
        <v>14011950</v>
      </c>
      <c r="BQ60" s="230">
        <v>2642100</v>
      </c>
      <c r="BR60" s="230">
        <v>11369850</v>
      </c>
      <c r="BS60" s="229">
        <v>4.3033000000000001</v>
      </c>
      <c r="BT60" s="230">
        <v>1431067</v>
      </c>
      <c r="BU60" s="230">
        <v>543787</v>
      </c>
      <c r="BV60" s="230">
        <v>887280</v>
      </c>
      <c r="BW60" s="229">
        <v>1.6316999999999999</v>
      </c>
      <c r="BX60" s="230">
        <v>3965850</v>
      </c>
      <c r="BY60" s="230">
        <v>3354750</v>
      </c>
      <c r="BZ60" s="230">
        <v>611100</v>
      </c>
      <c r="CA60" s="229">
        <v>0.1822</v>
      </c>
      <c r="CB60" s="230">
        <v>3865200</v>
      </c>
      <c r="CC60" s="230">
        <v>3320850</v>
      </c>
      <c r="CD60" s="230">
        <v>544350</v>
      </c>
      <c r="CE60" s="229">
        <v>0.16389999999999999</v>
      </c>
      <c r="CF60" s="230">
        <v>92700</v>
      </c>
      <c r="CG60" s="230">
        <v>33300</v>
      </c>
      <c r="CH60" s="230">
        <v>59400</v>
      </c>
      <c r="CI60" s="229">
        <v>1.7838000000000001</v>
      </c>
      <c r="CJ60" s="230">
        <v>7950</v>
      </c>
      <c r="CK60" s="228">
        <v>600</v>
      </c>
      <c r="CL60" s="230">
        <v>7350</v>
      </c>
      <c r="CM60" s="229">
        <v>12.25</v>
      </c>
      <c r="CN60" s="230">
        <v>1853700</v>
      </c>
      <c r="CO60" s="230">
        <v>716250</v>
      </c>
      <c r="CP60" s="230">
        <v>1137450</v>
      </c>
      <c r="CQ60" s="229">
        <v>1.5881000000000001</v>
      </c>
      <c r="CR60" s="230">
        <v>889350</v>
      </c>
      <c r="CS60" s="230">
        <v>496650</v>
      </c>
      <c r="CT60" s="230">
        <v>392700</v>
      </c>
      <c r="CU60" s="229">
        <v>0.79069999999999996</v>
      </c>
      <c r="CV60" s="230">
        <v>6708900</v>
      </c>
      <c r="CW60" s="230">
        <v>4567650</v>
      </c>
      <c r="CX60" s="230">
        <v>2141250</v>
      </c>
      <c r="CY60" s="229">
        <v>0.46879999999999999</v>
      </c>
      <c r="CZ60" s="228">
        <v>30.51</v>
      </c>
      <c r="DA60" s="228">
        <v>32.5</v>
      </c>
      <c r="DB60" s="228">
        <v>-1.99</v>
      </c>
      <c r="DC60" s="228">
        <v>-1.99</v>
      </c>
      <c r="DD60" s="228">
        <v>33.53</v>
      </c>
      <c r="DE60" s="228">
        <v>32.729999999999997</v>
      </c>
      <c r="DF60" s="228">
        <v>-3.02</v>
      </c>
      <c r="DG60" s="228">
        <v>0.8</v>
      </c>
      <c r="DH60" s="228">
        <v>30.58</v>
      </c>
      <c r="DI60" s="228">
        <v>32.479999999999997</v>
      </c>
      <c r="DJ60" s="228">
        <v>-1.9</v>
      </c>
      <c r="DK60" s="228">
        <v>-1.9</v>
      </c>
      <c r="DL60" s="228">
        <v>30.39</v>
      </c>
      <c r="DM60" s="228">
        <v>32.54</v>
      </c>
      <c r="DN60" s="228">
        <v>-2.15</v>
      </c>
      <c r="DO60" s="228">
        <v>-2.15</v>
      </c>
      <c r="DP60" s="228">
        <v>0.48</v>
      </c>
      <c r="DQ60" s="228">
        <v>0.69</v>
      </c>
      <c r="DR60" s="228">
        <v>-0.21</v>
      </c>
      <c r="DS60" s="229">
        <v>-0.30430000000000001</v>
      </c>
      <c r="DT60" s="231">
        <v>5000</v>
      </c>
      <c r="DU60" s="231">
        <v>4000</v>
      </c>
      <c r="DV60" s="228">
        <v>0.49</v>
      </c>
      <c r="DW60" s="228">
        <v>0.56000000000000005</v>
      </c>
      <c r="DX60" s="228">
        <v>-7.0000000000000007E-2</v>
      </c>
      <c r="DY60" s="229">
        <v>-0.125</v>
      </c>
      <c r="DZ60" s="229">
        <v>2.5399999999999999E-2</v>
      </c>
      <c r="EA60" s="230">
        <v>33900</v>
      </c>
      <c r="EB60" s="229">
        <v>-3.5000000000000001E-3</v>
      </c>
      <c r="EC60" s="229">
        <v>2.5399999999999999E-2</v>
      </c>
      <c r="ED60" s="228">
        <v>-37.6</v>
      </c>
      <c r="EE60" s="229">
        <v>-8.5000000000000006E-3</v>
      </c>
      <c r="EF60" s="230">
        <v>606258</v>
      </c>
      <c r="EG60" s="230">
        <v>341440</v>
      </c>
      <c r="EH60" s="229">
        <v>0.77559999999999996</v>
      </c>
      <c r="EI60" s="229">
        <v>0.42359999999999998</v>
      </c>
      <c r="EJ60" s="231">
        <v>382883.87</v>
      </c>
      <c r="EK60" s="231">
        <v>174459.05</v>
      </c>
      <c r="EL60" s="231">
        <v>83076.100000000006</v>
      </c>
      <c r="EM60" s="231">
        <v>6590</v>
      </c>
      <c r="EN60" s="231">
        <v>640419.02</v>
      </c>
      <c r="EO60" s="231">
        <v>124369.71</v>
      </c>
      <c r="EP60" s="231">
        <v>516049.31</v>
      </c>
      <c r="EQ60" s="229">
        <v>4.1493000000000002</v>
      </c>
      <c r="ER60" s="231">
        <v>87017</v>
      </c>
      <c r="ES60" s="231">
        <v>37946</v>
      </c>
      <c r="ET60" s="231">
        <v>172983</v>
      </c>
      <c r="EU60" s="231">
        <v>16494391</v>
      </c>
      <c r="EV60" s="231">
        <v>297946</v>
      </c>
      <c r="EW60" s="231">
        <v>210874</v>
      </c>
      <c r="EX60" s="231">
        <v>87072</v>
      </c>
      <c r="EY60" s="229">
        <v>0.41289999999999999</v>
      </c>
      <c r="EZ60" s="229">
        <v>0.40670000000000001</v>
      </c>
      <c r="FA60" s="227" t="s">
        <v>566</v>
      </c>
      <c r="FB60" s="161">
        <f t="shared" si="0"/>
        <v>100650</v>
      </c>
    </row>
    <row r="61" spans="1:158" ht="17.25" thickBot="1" x14ac:dyDescent="0.3">
      <c r="A61" s="226">
        <v>46146</v>
      </c>
      <c r="B61" s="227" t="s">
        <v>170</v>
      </c>
      <c r="C61" s="227" t="s">
        <v>208</v>
      </c>
      <c r="D61" s="228">
        <v>625</v>
      </c>
      <c r="E61" s="231">
        <v>1281.2</v>
      </c>
      <c r="F61" s="231">
        <v>1321</v>
      </c>
      <c r="G61" s="228">
        <v>-39.799999999999997</v>
      </c>
      <c r="H61" s="229">
        <v>-3.0099999999999998E-2</v>
      </c>
      <c r="I61" s="231">
        <v>1287.2</v>
      </c>
      <c r="J61" s="231">
        <v>1322.9</v>
      </c>
      <c r="K61" s="228">
        <v>-35.700000000000003</v>
      </c>
      <c r="L61" s="229">
        <v>-2.7E-2</v>
      </c>
      <c r="M61" s="231">
        <v>1281.2</v>
      </c>
      <c r="N61" s="231">
        <v>1321</v>
      </c>
      <c r="O61" s="228">
        <v>-39.799999999999997</v>
      </c>
      <c r="P61" s="229">
        <v>-3.0099999999999998E-2</v>
      </c>
      <c r="Q61" s="231">
        <v>1282.2</v>
      </c>
      <c r="R61" s="231">
        <v>1320.7</v>
      </c>
      <c r="S61" s="228">
        <v>-38.5</v>
      </c>
      <c r="T61" s="229">
        <v>-2.92E-2</v>
      </c>
      <c r="U61" s="231">
        <v>1280</v>
      </c>
      <c r="V61" s="231">
        <v>1319.2</v>
      </c>
      <c r="W61" s="228">
        <v>-39.200000000000003</v>
      </c>
      <c r="X61" s="229">
        <v>-2.9700000000000001E-2</v>
      </c>
      <c r="Y61" s="228">
        <v>-6</v>
      </c>
      <c r="Z61" s="228">
        <v>-1.9</v>
      </c>
      <c r="AA61" s="228">
        <v>-4.0999999999999996</v>
      </c>
      <c r="AB61" s="229">
        <v>-4.7000000000000002E-3</v>
      </c>
      <c r="AC61" s="228">
        <v>-6</v>
      </c>
      <c r="AD61" s="228">
        <v>-1.9</v>
      </c>
      <c r="AE61" s="228">
        <v>-4.0999999999999996</v>
      </c>
      <c r="AF61" s="229">
        <v>-4.7000000000000002E-3</v>
      </c>
      <c r="AG61" s="228">
        <v>-5</v>
      </c>
      <c r="AH61" s="228">
        <v>-2.2000000000000002</v>
      </c>
      <c r="AI61" s="228">
        <v>-2.8</v>
      </c>
      <c r="AJ61" s="229">
        <v>-3.8999999999999998E-3</v>
      </c>
      <c r="AK61" s="228">
        <v>-7.2</v>
      </c>
      <c r="AL61" s="228">
        <v>-3.7</v>
      </c>
      <c r="AM61" s="228">
        <v>-3.5</v>
      </c>
      <c r="AN61" s="229">
        <v>-5.5999999999999999E-3</v>
      </c>
      <c r="AO61" s="231">
        <v>1289.1500000000001</v>
      </c>
      <c r="AP61" s="231">
        <v>1290.27</v>
      </c>
      <c r="AQ61" s="228">
        <v>0</v>
      </c>
      <c r="AR61" s="230">
        <v>4645625</v>
      </c>
      <c r="AS61" s="230">
        <v>2700000</v>
      </c>
      <c r="AT61" s="230">
        <v>1945625</v>
      </c>
      <c r="AU61" s="229">
        <v>0.72060000000000002</v>
      </c>
      <c r="AV61" s="230">
        <v>4455000</v>
      </c>
      <c r="AW61" s="230">
        <v>2624375</v>
      </c>
      <c r="AX61" s="230">
        <v>1830625</v>
      </c>
      <c r="AY61" s="229">
        <v>0.69750000000000001</v>
      </c>
      <c r="AZ61" s="230">
        <v>180000</v>
      </c>
      <c r="BA61" s="230">
        <v>69375</v>
      </c>
      <c r="BB61" s="230">
        <v>110625</v>
      </c>
      <c r="BC61" s="229">
        <v>1.5946</v>
      </c>
      <c r="BD61" s="230">
        <v>10625</v>
      </c>
      <c r="BE61" s="230">
        <v>6250</v>
      </c>
      <c r="BF61" s="230">
        <v>4375</v>
      </c>
      <c r="BG61" s="229">
        <v>0.7</v>
      </c>
      <c r="BH61" s="230">
        <v>11028125</v>
      </c>
      <c r="BI61" s="230">
        <v>6738750</v>
      </c>
      <c r="BJ61" s="230">
        <v>4289375</v>
      </c>
      <c r="BK61" s="229">
        <v>0.63649999999999995</v>
      </c>
      <c r="BL61" s="230">
        <v>6578125</v>
      </c>
      <c r="BM61" s="230">
        <v>4589375</v>
      </c>
      <c r="BN61" s="230">
        <v>1988750</v>
      </c>
      <c r="BO61" s="229">
        <v>0.43330000000000002</v>
      </c>
      <c r="BP61" s="230">
        <v>22251875</v>
      </c>
      <c r="BQ61" s="230">
        <v>14028125</v>
      </c>
      <c r="BR61" s="230">
        <v>8223750</v>
      </c>
      <c r="BS61" s="229">
        <v>0.58620000000000005</v>
      </c>
      <c r="BT61" s="230">
        <v>2487251</v>
      </c>
      <c r="BU61" s="230">
        <v>1289421</v>
      </c>
      <c r="BV61" s="230">
        <v>1197830</v>
      </c>
      <c r="BW61" s="229">
        <v>0.92900000000000005</v>
      </c>
      <c r="BX61" s="230">
        <v>16401250</v>
      </c>
      <c r="BY61" s="230">
        <v>15346875</v>
      </c>
      <c r="BZ61" s="230">
        <v>1054375</v>
      </c>
      <c r="CA61" s="229">
        <v>6.8699999999999997E-2</v>
      </c>
      <c r="CB61" s="230">
        <v>16027500</v>
      </c>
      <c r="CC61" s="230">
        <v>15055625</v>
      </c>
      <c r="CD61" s="230">
        <v>971875</v>
      </c>
      <c r="CE61" s="229">
        <v>6.4600000000000005E-2</v>
      </c>
      <c r="CF61" s="230">
        <v>346250</v>
      </c>
      <c r="CG61" s="230">
        <v>272500</v>
      </c>
      <c r="CH61" s="230">
        <v>73750</v>
      </c>
      <c r="CI61" s="229">
        <v>0.27060000000000001</v>
      </c>
      <c r="CJ61" s="230">
        <v>27500</v>
      </c>
      <c r="CK61" s="230">
        <v>18750</v>
      </c>
      <c r="CL61" s="230">
        <v>8750</v>
      </c>
      <c r="CM61" s="229">
        <v>0.4667</v>
      </c>
      <c r="CN61" s="230">
        <v>8417500</v>
      </c>
      <c r="CO61" s="230">
        <v>6848750</v>
      </c>
      <c r="CP61" s="230">
        <v>1568750</v>
      </c>
      <c r="CQ61" s="229">
        <v>0.2291</v>
      </c>
      <c r="CR61" s="230">
        <v>4275000</v>
      </c>
      <c r="CS61" s="230">
        <v>3970625</v>
      </c>
      <c r="CT61" s="230">
        <v>304375</v>
      </c>
      <c r="CU61" s="229">
        <v>7.6700000000000004E-2</v>
      </c>
      <c r="CV61" s="230">
        <v>29093750</v>
      </c>
      <c r="CW61" s="230">
        <v>26166250</v>
      </c>
      <c r="CX61" s="230">
        <v>2927500</v>
      </c>
      <c r="CY61" s="229">
        <v>0.1119</v>
      </c>
      <c r="CZ61" s="228">
        <v>32.1</v>
      </c>
      <c r="DA61" s="228">
        <v>30.04</v>
      </c>
      <c r="DB61" s="228">
        <v>2.06</v>
      </c>
      <c r="DC61" s="228">
        <v>2.06</v>
      </c>
      <c r="DD61" s="228">
        <v>28.62</v>
      </c>
      <c r="DE61" s="228">
        <v>28.44</v>
      </c>
      <c r="DF61" s="228">
        <v>3.48</v>
      </c>
      <c r="DG61" s="228">
        <v>0.18</v>
      </c>
      <c r="DH61" s="228">
        <v>32.33</v>
      </c>
      <c r="DI61" s="228">
        <v>30.32</v>
      </c>
      <c r="DJ61" s="228">
        <v>2.0099999999999998</v>
      </c>
      <c r="DK61" s="228">
        <v>2.0099999999999998</v>
      </c>
      <c r="DL61" s="228">
        <v>31.7</v>
      </c>
      <c r="DM61" s="228">
        <v>29.63</v>
      </c>
      <c r="DN61" s="228">
        <v>2.0699999999999998</v>
      </c>
      <c r="DO61" s="228">
        <v>2.0699999999999998</v>
      </c>
      <c r="DP61" s="228">
        <v>0.51</v>
      </c>
      <c r="DQ61" s="228">
        <v>0.57999999999999996</v>
      </c>
      <c r="DR61" s="228">
        <v>-7.0000000000000007E-2</v>
      </c>
      <c r="DS61" s="229">
        <v>-0.1207</v>
      </c>
      <c r="DT61" s="231">
        <v>1400</v>
      </c>
      <c r="DU61" s="231">
        <v>1200</v>
      </c>
      <c r="DV61" s="228">
        <v>0.6</v>
      </c>
      <c r="DW61" s="228">
        <v>0.68</v>
      </c>
      <c r="DX61" s="228">
        <v>-0.08</v>
      </c>
      <c r="DY61" s="229">
        <v>-0.1176</v>
      </c>
      <c r="DZ61" s="229">
        <v>2.2800000000000001E-2</v>
      </c>
      <c r="EA61" s="230">
        <v>291250</v>
      </c>
      <c r="EB61" s="229">
        <v>8.0000000000000004E-4</v>
      </c>
      <c r="EC61" s="229">
        <v>2.2800000000000001E-2</v>
      </c>
      <c r="ED61" s="228">
        <v>1.1200000000000001</v>
      </c>
      <c r="EE61" s="229">
        <v>8.9999999999999998E-4</v>
      </c>
      <c r="EF61" s="230">
        <v>1172866</v>
      </c>
      <c r="EG61" s="230">
        <v>461504</v>
      </c>
      <c r="EH61" s="229">
        <v>1.5414000000000001</v>
      </c>
      <c r="EI61" s="229">
        <v>0.47160000000000002</v>
      </c>
      <c r="EJ61" s="231">
        <v>152302.67000000001</v>
      </c>
      <c r="EK61" s="231">
        <v>85393.96</v>
      </c>
      <c r="EL61" s="231">
        <v>59890.55</v>
      </c>
      <c r="EM61" s="231">
        <v>11446</v>
      </c>
      <c r="EN61" s="231">
        <v>297587.18</v>
      </c>
      <c r="EO61" s="231">
        <v>190315.36</v>
      </c>
      <c r="EP61" s="231">
        <v>107271.82</v>
      </c>
      <c r="EQ61" s="229">
        <v>0.56369999999999998</v>
      </c>
      <c r="ER61" s="231">
        <v>116017</v>
      </c>
      <c r="ES61" s="231">
        <v>54305</v>
      </c>
      <c r="ET61" s="231">
        <v>210136</v>
      </c>
      <c r="EU61" s="231">
        <v>61026255</v>
      </c>
      <c r="EV61" s="231">
        <v>380458</v>
      </c>
      <c r="EW61" s="231">
        <v>348125</v>
      </c>
      <c r="EX61" s="231">
        <v>32333</v>
      </c>
      <c r="EY61" s="229">
        <v>9.2899999999999996E-2</v>
      </c>
      <c r="EZ61" s="229">
        <v>0.47670000000000001</v>
      </c>
      <c r="FA61" s="227" t="s">
        <v>566</v>
      </c>
      <c r="FB61" s="161">
        <f t="shared" si="0"/>
        <v>373750</v>
      </c>
    </row>
    <row r="62" spans="1:158" ht="17.25" thickBot="1" x14ac:dyDescent="0.3">
      <c r="A62" s="226">
        <v>46146</v>
      </c>
      <c r="B62" s="227" t="s">
        <v>162</v>
      </c>
      <c r="C62" s="227" t="s">
        <v>209</v>
      </c>
      <c r="D62" s="228">
        <v>100</v>
      </c>
      <c r="E62" s="231">
        <v>7346</v>
      </c>
      <c r="F62" s="231">
        <v>7149</v>
      </c>
      <c r="G62" s="228">
        <v>197</v>
      </c>
      <c r="H62" s="229">
        <v>2.76E-2</v>
      </c>
      <c r="I62" s="231">
        <v>7329</v>
      </c>
      <c r="J62" s="231">
        <v>7109</v>
      </c>
      <c r="K62" s="228">
        <v>220</v>
      </c>
      <c r="L62" s="229">
        <v>3.09E-2</v>
      </c>
      <c r="M62" s="231">
        <v>7346</v>
      </c>
      <c r="N62" s="231">
        <v>7149</v>
      </c>
      <c r="O62" s="228">
        <v>197</v>
      </c>
      <c r="P62" s="229">
        <v>2.76E-2</v>
      </c>
      <c r="Q62" s="231">
        <v>7397.5</v>
      </c>
      <c r="R62" s="231">
        <v>7196</v>
      </c>
      <c r="S62" s="228">
        <v>201.5</v>
      </c>
      <c r="T62" s="229">
        <v>2.8000000000000001E-2</v>
      </c>
      <c r="U62" s="231">
        <v>7421</v>
      </c>
      <c r="V62" s="231">
        <v>7227</v>
      </c>
      <c r="W62" s="228">
        <v>194</v>
      </c>
      <c r="X62" s="229">
        <v>2.6800000000000001E-2</v>
      </c>
      <c r="Y62" s="228">
        <v>17</v>
      </c>
      <c r="Z62" s="228">
        <v>40</v>
      </c>
      <c r="AA62" s="228">
        <v>-23</v>
      </c>
      <c r="AB62" s="229">
        <v>2.3E-3</v>
      </c>
      <c r="AC62" s="228">
        <v>17</v>
      </c>
      <c r="AD62" s="228">
        <v>40</v>
      </c>
      <c r="AE62" s="228">
        <v>-23</v>
      </c>
      <c r="AF62" s="229">
        <v>2.3E-3</v>
      </c>
      <c r="AG62" s="228">
        <v>68.5</v>
      </c>
      <c r="AH62" s="228">
        <v>87</v>
      </c>
      <c r="AI62" s="228">
        <v>-18.5</v>
      </c>
      <c r="AJ62" s="229">
        <v>9.2999999999999992E-3</v>
      </c>
      <c r="AK62" s="228">
        <v>92</v>
      </c>
      <c r="AL62" s="228">
        <v>118</v>
      </c>
      <c r="AM62" s="228">
        <v>-26</v>
      </c>
      <c r="AN62" s="229">
        <v>1.26E-2</v>
      </c>
      <c r="AO62" s="231">
        <v>7273.33</v>
      </c>
      <c r="AP62" s="231">
        <v>7332.17</v>
      </c>
      <c r="AQ62" s="228">
        <v>0</v>
      </c>
      <c r="AR62" s="230">
        <v>793200</v>
      </c>
      <c r="AS62" s="230">
        <v>525600</v>
      </c>
      <c r="AT62" s="230">
        <v>267600</v>
      </c>
      <c r="AU62" s="229">
        <v>0.5091</v>
      </c>
      <c r="AV62" s="230">
        <v>752900</v>
      </c>
      <c r="AW62" s="230">
        <v>496800</v>
      </c>
      <c r="AX62" s="230">
        <v>256100</v>
      </c>
      <c r="AY62" s="229">
        <v>0.51549999999999996</v>
      </c>
      <c r="AZ62" s="230">
        <v>36000</v>
      </c>
      <c r="BA62" s="230">
        <v>23300</v>
      </c>
      <c r="BB62" s="230">
        <v>12700</v>
      </c>
      <c r="BC62" s="229">
        <v>0.54510000000000003</v>
      </c>
      <c r="BD62" s="230">
        <v>4300</v>
      </c>
      <c r="BE62" s="230">
        <v>5500</v>
      </c>
      <c r="BF62" s="230">
        <v>-1200</v>
      </c>
      <c r="BG62" s="229">
        <v>-0.21820000000000001</v>
      </c>
      <c r="BH62" s="230">
        <v>2234500</v>
      </c>
      <c r="BI62" s="230">
        <v>1061000</v>
      </c>
      <c r="BJ62" s="230">
        <v>1173500</v>
      </c>
      <c r="BK62" s="229">
        <v>1.1060000000000001</v>
      </c>
      <c r="BL62" s="230">
        <v>762000</v>
      </c>
      <c r="BM62" s="230">
        <v>984800</v>
      </c>
      <c r="BN62" s="230">
        <v>-222800</v>
      </c>
      <c r="BO62" s="229">
        <v>-0.22620000000000001</v>
      </c>
      <c r="BP62" s="230">
        <v>3789700</v>
      </c>
      <c r="BQ62" s="230">
        <v>2571400</v>
      </c>
      <c r="BR62" s="230">
        <v>1218300</v>
      </c>
      <c r="BS62" s="229">
        <v>0.4738</v>
      </c>
      <c r="BT62" s="230">
        <v>717751</v>
      </c>
      <c r="BU62" s="230">
        <v>566675</v>
      </c>
      <c r="BV62" s="230">
        <v>151076</v>
      </c>
      <c r="BW62" s="229">
        <v>0.2666</v>
      </c>
      <c r="BX62" s="230">
        <v>3626400</v>
      </c>
      <c r="BY62" s="230">
        <v>3632300</v>
      </c>
      <c r="BZ62" s="230">
        <v>-5900</v>
      </c>
      <c r="CA62" s="229">
        <v>-1.6000000000000001E-3</v>
      </c>
      <c r="CB62" s="230">
        <v>3087000</v>
      </c>
      <c r="CC62" s="230">
        <v>3104600</v>
      </c>
      <c r="CD62" s="230">
        <v>-17600</v>
      </c>
      <c r="CE62" s="229">
        <v>-5.7000000000000002E-3</v>
      </c>
      <c r="CF62" s="230">
        <v>534800</v>
      </c>
      <c r="CG62" s="230">
        <v>524900</v>
      </c>
      <c r="CH62" s="230">
        <v>9900</v>
      </c>
      <c r="CI62" s="229">
        <v>1.89E-2</v>
      </c>
      <c r="CJ62" s="230">
        <v>4600</v>
      </c>
      <c r="CK62" s="230">
        <v>2800</v>
      </c>
      <c r="CL62" s="230">
        <v>1800</v>
      </c>
      <c r="CM62" s="229">
        <v>0.64290000000000003</v>
      </c>
      <c r="CN62" s="230">
        <v>979500</v>
      </c>
      <c r="CO62" s="230">
        <v>837800</v>
      </c>
      <c r="CP62" s="230">
        <v>141700</v>
      </c>
      <c r="CQ62" s="229">
        <v>0.1691</v>
      </c>
      <c r="CR62" s="230">
        <v>778200</v>
      </c>
      <c r="CS62" s="230">
        <v>725700</v>
      </c>
      <c r="CT62" s="230">
        <v>52500</v>
      </c>
      <c r="CU62" s="229">
        <v>7.2300000000000003E-2</v>
      </c>
      <c r="CV62" s="230">
        <v>5384100</v>
      </c>
      <c r="CW62" s="230">
        <v>5195800</v>
      </c>
      <c r="CX62" s="230">
        <v>188300</v>
      </c>
      <c r="CY62" s="229">
        <v>3.6200000000000003E-2</v>
      </c>
      <c r="CZ62" s="228">
        <v>33.17</v>
      </c>
      <c r="DA62" s="228">
        <v>33.82</v>
      </c>
      <c r="DB62" s="228">
        <v>-0.65</v>
      </c>
      <c r="DC62" s="228">
        <v>-0.65</v>
      </c>
      <c r="DD62" s="228">
        <v>33.58</v>
      </c>
      <c r="DE62" s="228">
        <v>33.409999999999997</v>
      </c>
      <c r="DF62" s="228">
        <v>-0.41</v>
      </c>
      <c r="DG62" s="228">
        <v>0.17</v>
      </c>
      <c r="DH62" s="228">
        <v>32.89</v>
      </c>
      <c r="DI62" s="228">
        <v>32.85</v>
      </c>
      <c r="DJ62" s="228">
        <v>0.04</v>
      </c>
      <c r="DK62" s="228">
        <v>0.04</v>
      </c>
      <c r="DL62" s="228">
        <v>34.020000000000003</v>
      </c>
      <c r="DM62" s="228">
        <v>34.86</v>
      </c>
      <c r="DN62" s="228">
        <v>-0.84</v>
      </c>
      <c r="DO62" s="228">
        <v>-0.84</v>
      </c>
      <c r="DP62" s="228">
        <v>0.79</v>
      </c>
      <c r="DQ62" s="228">
        <v>0.87</v>
      </c>
      <c r="DR62" s="228">
        <v>-0.08</v>
      </c>
      <c r="DS62" s="229">
        <v>-9.1999999999999998E-2</v>
      </c>
      <c r="DT62" s="231">
        <v>7400</v>
      </c>
      <c r="DU62" s="231">
        <v>6800</v>
      </c>
      <c r="DV62" s="228">
        <v>0.34</v>
      </c>
      <c r="DW62" s="228">
        <v>0.93</v>
      </c>
      <c r="DX62" s="228">
        <v>-0.59</v>
      </c>
      <c r="DY62" s="229">
        <v>-0.63439999999999996</v>
      </c>
      <c r="DZ62" s="229">
        <v>0.1487</v>
      </c>
      <c r="EA62" s="230">
        <v>527700</v>
      </c>
      <c r="EB62" s="229">
        <v>7.0000000000000001E-3</v>
      </c>
      <c r="EC62" s="229">
        <v>0.1487</v>
      </c>
      <c r="ED62" s="228">
        <v>58.84</v>
      </c>
      <c r="EE62" s="229">
        <v>8.0999999999999996E-3</v>
      </c>
      <c r="EF62" s="230">
        <v>399051</v>
      </c>
      <c r="EG62" s="230">
        <v>274844</v>
      </c>
      <c r="EH62" s="229">
        <v>0.45190000000000002</v>
      </c>
      <c r="EI62" s="229">
        <v>0.55600000000000005</v>
      </c>
      <c r="EJ62" s="231">
        <v>171312.71</v>
      </c>
      <c r="EK62" s="231">
        <v>54339.92</v>
      </c>
      <c r="EL62" s="231">
        <v>57716.76</v>
      </c>
      <c r="EM62" s="231">
        <v>9234</v>
      </c>
      <c r="EN62" s="231">
        <v>283369.39</v>
      </c>
      <c r="EO62" s="231">
        <v>184992</v>
      </c>
      <c r="EP62" s="231">
        <v>98377.39</v>
      </c>
      <c r="EQ62" s="229">
        <v>0.53180000000000005</v>
      </c>
      <c r="ER62" s="231">
        <v>73915</v>
      </c>
      <c r="ES62" s="231">
        <v>54319</v>
      </c>
      <c r="ET62" s="231">
        <v>266674</v>
      </c>
      <c r="EU62" s="231">
        <v>20960143</v>
      </c>
      <c r="EV62" s="231">
        <v>394908</v>
      </c>
      <c r="EW62" s="231">
        <v>373708</v>
      </c>
      <c r="EX62" s="231">
        <v>21200</v>
      </c>
      <c r="EY62" s="229">
        <v>5.67E-2</v>
      </c>
      <c r="EZ62" s="229">
        <v>0.25690000000000002</v>
      </c>
      <c r="FA62" s="227" t="s">
        <v>691</v>
      </c>
      <c r="FB62" s="161">
        <f t="shared" si="0"/>
        <v>539400</v>
      </c>
    </row>
    <row r="63" spans="1:158" ht="17.25" thickBot="1" x14ac:dyDescent="0.3">
      <c r="A63" s="226">
        <v>46146</v>
      </c>
      <c r="B63" s="227" t="s">
        <v>614</v>
      </c>
      <c r="C63" s="227" t="s">
        <v>664</v>
      </c>
      <c r="D63" s="228">
        <v>2425</v>
      </c>
      <c r="E63" s="228">
        <v>253.32</v>
      </c>
      <c r="F63" s="228">
        <v>248.46</v>
      </c>
      <c r="G63" s="228">
        <v>4.8600000000000003</v>
      </c>
      <c r="H63" s="229">
        <v>1.9599999999999999E-2</v>
      </c>
      <c r="I63" s="228">
        <v>251.9</v>
      </c>
      <c r="J63" s="228">
        <v>247.03</v>
      </c>
      <c r="K63" s="228">
        <v>4.87</v>
      </c>
      <c r="L63" s="229">
        <v>1.9699999999999999E-2</v>
      </c>
      <c r="M63" s="228">
        <v>253.32</v>
      </c>
      <c r="N63" s="228">
        <v>248.46</v>
      </c>
      <c r="O63" s="228">
        <v>4.8600000000000003</v>
      </c>
      <c r="P63" s="229">
        <v>1.9599999999999999E-2</v>
      </c>
      <c r="Q63" s="228">
        <v>254.95</v>
      </c>
      <c r="R63" s="228">
        <v>249.74</v>
      </c>
      <c r="S63" s="228">
        <v>5.21</v>
      </c>
      <c r="T63" s="229">
        <v>2.0899999999999998E-2</v>
      </c>
      <c r="U63" s="228">
        <v>256.02999999999997</v>
      </c>
      <c r="V63" s="228">
        <v>251.14</v>
      </c>
      <c r="W63" s="228">
        <v>4.8899999999999997</v>
      </c>
      <c r="X63" s="229">
        <v>1.95E-2</v>
      </c>
      <c r="Y63" s="228">
        <v>1.42</v>
      </c>
      <c r="Z63" s="228">
        <v>1.43</v>
      </c>
      <c r="AA63" s="228">
        <v>-0.01</v>
      </c>
      <c r="AB63" s="229">
        <v>5.5999999999999999E-3</v>
      </c>
      <c r="AC63" s="228">
        <v>1.42</v>
      </c>
      <c r="AD63" s="228">
        <v>1.43</v>
      </c>
      <c r="AE63" s="228">
        <v>-0.01</v>
      </c>
      <c r="AF63" s="229">
        <v>5.5999999999999999E-3</v>
      </c>
      <c r="AG63" s="228">
        <v>3.05</v>
      </c>
      <c r="AH63" s="228">
        <v>2.71</v>
      </c>
      <c r="AI63" s="228">
        <v>0.34</v>
      </c>
      <c r="AJ63" s="229">
        <v>1.21E-2</v>
      </c>
      <c r="AK63" s="228">
        <v>4.13</v>
      </c>
      <c r="AL63" s="228">
        <v>4.1100000000000003</v>
      </c>
      <c r="AM63" s="228">
        <v>0.02</v>
      </c>
      <c r="AN63" s="229">
        <v>1.6400000000000001E-2</v>
      </c>
      <c r="AO63" s="228">
        <v>250.98</v>
      </c>
      <c r="AP63" s="228">
        <v>252.71</v>
      </c>
      <c r="AQ63" s="228">
        <v>0</v>
      </c>
      <c r="AR63" s="230">
        <v>31134575</v>
      </c>
      <c r="AS63" s="230">
        <v>46768550</v>
      </c>
      <c r="AT63" s="230">
        <v>-15633975</v>
      </c>
      <c r="AU63" s="229">
        <v>-0.33429999999999999</v>
      </c>
      <c r="AV63" s="230">
        <v>29003000</v>
      </c>
      <c r="AW63" s="230">
        <v>43070425</v>
      </c>
      <c r="AX63" s="230">
        <v>-14067425</v>
      </c>
      <c r="AY63" s="229">
        <v>-0.3266</v>
      </c>
      <c r="AZ63" s="230">
        <v>1881800</v>
      </c>
      <c r="BA63" s="230">
        <v>2941525</v>
      </c>
      <c r="BB63" s="230">
        <v>-1059725</v>
      </c>
      <c r="BC63" s="229">
        <v>-0.36030000000000001</v>
      </c>
      <c r="BD63" s="230">
        <v>249775</v>
      </c>
      <c r="BE63" s="230">
        <v>756600</v>
      </c>
      <c r="BF63" s="230">
        <v>-506825</v>
      </c>
      <c r="BG63" s="229">
        <v>-0.66990000000000005</v>
      </c>
      <c r="BH63" s="230">
        <v>95933000</v>
      </c>
      <c r="BI63" s="230">
        <v>143916475</v>
      </c>
      <c r="BJ63" s="230">
        <v>-47983475</v>
      </c>
      <c r="BK63" s="229">
        <v>-0.33339999999999997</v>
      </c>
      <c r="BL63" s="230">
        <v>48752200</v>
      </c>
      <c r="BM63" s="230">
        <v>78960425</v>
      </c>
      <c r="BN63" s="230">
        <v>-30208225</v>
      </c>
      <c r="BO63" s="229">
        <v>-0.3826</v>
      </c>
      <c r="BP63" s="230">
        <v>175819775</v>
      </c>
      <c r="BQ63" s="230">
        <v>269645450</v>
      </c>
      <c r="BR63" s="230">
        <v>-93825675</v>
      </c>
      <c r="BS63" s="229">
        <v>-0.34799999999999998</v>
      </c>
      <c r="BT63" s="230">
        <v>46192864</v>
      </c>
      <c r="BU63" s="230">
        <v>75916583</v>
      </c>
      <c r="BV63" s="230">
        <v>-29723719</v>
      </c>
      <c r="BW63" s="229">
        <v>-0.39150000000000001</v>
      </c>
      <c r="BX63" s="230">
        <v>207495125</v>
      </c>
      <c r="BY63" s="230">
        <v>206428125</v>
      </c>
      <c r="BZ63" s="230">
        <v>1067000</v>
      </c>
      <c r="CA63" s="229">
        <v>5.1999999999999998E-3</v>
      </c>
      <c r="CB63" s="230">
        <v>190287325</v>
      </c>
      <c r="CC63" s="230">
        <v>189596200</v>
      </c>
      <c r="CD63" s="230">
        <v>691125</v>
      </c>
      <c r="CE63" s="229">
        <v>3.5999999999999999E-3</v>
      </c>
      <c r="CF63" s="230">
        <v>16441500</v>
      </c>
      <c r="CG63" s="230">
        <v>16099575</v>
      </c>
      <c r="CH63" s="230">
        <v>341925</v>
      </c>
      <c r="CI63" s="229">
        <v>2.12E-2</v>
      </c>
      <c r="CJ63" s="230">
        <v>766300</v>
      </c>
      <c r="CK63" s="230">
        <v>732350</v>
      </c>
      <c r="CL63" s="230">
        <v>33950</v>
      </c>
      <c r="CM63" s="229">
        <v>4.6399999999999997E-2</v>
      </c>
      <c r="CN63" s="230">
        <v>93343100</v>
      </c>
      <c r="CO63" s="230">
        <v>92571950</v>
      </c>
      <c r="CP63" s="230">
        <v>771150</v>
      </c>
      <c r="CQ63" s="229">
        <v>8.3000000000000001E-3</v>
      </c>
      <c r="CR63" s="230">
        <v>50847400</v>
      </c>
      <c r="CS63" s="230">
        <v>49443325</v>
      </c>
      <c r="CT63" s="230">
        <v>1404075</v>
      </c>
      <c r="CU63" s="229">
        <v>2.8400000000000002E-2</v>
      </c>
      <c r="CV63" s="230">
        <v>351685625</v>
      </c>
      <c r="CW63" s="230">
        <v>348443400</v>
      </c>
      <c r="CX63" s="230">
        <v>3242225</v>
      </c>
      <c r="CY63" s="229">
        <v>9.2999999999999992E-3</v>
      </c>
      <c r="CZ63" s="228">
        <v>39.43</v>
      </c>
      <c r="DA63" s="228">
        <v>40.94</v>
      </c>
      <c r="DB63" s="228">
        <v>-1.51</v>
      </c>
      <c r="DC63" s="228">
        <v>-1.51</v>
      </c>
      <c r="DD63" s="228">
        <v>45.53</v>
      </c>
      <c r="DE63" s="228">
        <v>45.56</v>
      </c>
      <c r="DF63" s="228">
        <v>-6.1</v>
      </c>
      <c r="DG63" s="228">
        <v>-0.03</v>
      </c>
      <c r="DH63" s="228">
        <v>39.49</v>
      </c>
      <c r="DI63" s="228">
        <v>41.41</v>
      </c>
      <c r="DJ63" s="228">
        <v>-1.92</v>
      </c>
      <c r="DK63" s="228">
        <v>-1.92</v>
      </c>
      <c r="DL63" s="228">
        <v>39.31</v>
      </c>
      <c r="DM63" s="228">
        <v>40.090000000000003</v>
      </c>
      <c r="DN63" s="228">
        <v>-0.78</v>
      </c>
      <c r="DO63" s="228">
        <v>-0.78</v>
      </c>
      <c r="DP63" s="228">
        <v>0.54</v>
      </c>
      <c r="DQ63" s="228">
        <v>0.53</v>
      </c>
      <c r="DR63" s="228">
        <v>0.01</v>
      </c>
      <c r="DS63" s="229">
        <v>1.89E-2</v>
      </c>
      <c r="DT63" s="228">
        <v>260</v>
      </c>
      <c r="DU63" s="228">
        <v>240</v>
      </c>
      <c r="DV63" s="228">
        <v>0.51</v>
      </c>
      <c r="DW63" s="228">
        <v>0.55000000000000004</v>
      </c>
      <c r="DX63" s="228">
        <v>-0.04</v>
      </c>
      <c r="DY63" s="229">
        <v>-7.2700000000000001E-2</v>
      </c>
      <c r="DZ63" s="229">
        <v>8.2900000000000001E-2</v>
      </c>
      <c r="EA63" s="230">
        <v>16831925</v>
      </c>
      <c r="EB63" s="229">
        <v>6.4000000000000003E-3</v>
      </c>
      <c r="EC63" s="229">
        <v>8.2900000000000001E-2</v>
      </c>
      <c r="ED63" s="228">
        <v>1.73</v>
      </c>
      <c r="EE63" s="229">
        <v>6.8999999999999999E-3</v>
      </c>
      <c r="EF63" s="230">
        <v>23143263</v>
      </c>
      <c r="EG63" s="230">
        <v>39381829</v>
      </c>
      <c r="EH63" s="229">
        <v>-0.4123</v>
      </c>
      <c r="EI63" s="229">
        <v>0.501</v>
      </c>
      <c r="EJ63" s="231">
        <v>256831.08</v>
      </c>
      <c r="EK63" s="231">
        <v>120204.9</v>
      </c>
      <c r="EL63" s="231">
        <v>78181.89</v>
      </c>
      <c r="EM63" s="231">
        <v>48508</v>
      </c>
      <c r="EN63" s="231">
        <v>455217.87</v>
      </c>
      <c r="EO63" s="231">
        <v>695685.81</v>
      </c>
      <c r="EP63" s="231">
        <v>-240467.94</v>
      </c>
      <c r="EQ63" s="229">
        <v>-0.34570000000000001</v>
      </c>
      <c r="ER63" s="231">
        <v>247681</v>
      </c>
      <c r="ES63" s="231">
        <v>124241</v>
      </c>
      <c r="ET63" s="231">
        <v>525915</v>
      </c>
      <c r="EU63" s="231">
        <v>1366821859</v>
      </c>
      <c r="EV63" s="231">
        <v>897837</v>
      </c>
      <c r="EW63" s="231">
        <v>879823</v>
      </c>
      <c r="EX63" s="231">
        <v>18014</v>
      </c>
      <c r="EY63" s="229">
        <v>2.0500000000000001E-2</v>
      </c>
      <c r="EZ63" s="229">
        <v>0.25729999999999997</v>
      </c>
      <c r="FA63" s="227" t="s">
        <v>555</v>
      </c>
      <c r="FB63" s="161">
        <f t="shared" si="0"/>
        <v>17207800</v>
      </c>
    </row>
    <row r="64" spans="1:158" ht="17.25" thickBot="1" x14ac:dyDescent="0.3">
      <c r="A64" s="226">
        <v>46146</v>
      </c>
      <c r="B64" s="227" t="s">
        <v>162</v>
      </c>
      <c r="C64" s="227" t="s">
        <v>211</v>
      </c>
      <c r="D64" s="228">
        <v>1800</v>
      </c>
      <c r="E64" s="228">
        <v>360.35</v>
      </c>
      <c r="F64" s="228">
        <v>361.9</v>
      </c>
      <c r="G64" s="228">
        <v>-1.55</v>
      </c>
      <c r="H64" s="229">
        <v>-4.3E-3</v>
      </c>
      <c r="I64" s="228">
        <v>359.05</v>
      </c>
      <c r="J64" s="228">
        <v>360.55</v>
      </c>
      <c r="K64" s="228">
        <v>-1.5</v>
      </c>
      <c r="L64" s="229">
        <v>-4.1999999999999997E-3</v>
      </c>
      <c r="M64" s="228">
        <v>360.35</v>
      </c>
      <c r="N64" s="228">
        <v>361.9</v>
      </c>
      <c r="O64" s="228">
        <v>-1.55</v>
      </c>
      <c r="P64" s="229">
        <v>-4.3E-3</v>
      </c>
      <c r="Q64" s="228">
        <v>362.4</v>
      </c>
      <c r="R64" s="228">
        <v>364.9</v>
      </c>
      <c r="S64" s="228">
        <v>-2.5</v>
      </c>
      <c r="T64" s="229">
        <v>-6.8999999999999999E-3</v>
      </c>
      <c r="U64" s="228">
        <v>359.2</v>
      </c>
      <c r="V64" s="228">
        <v>364.7</v>
      </c>
      <c r="W64" s="228">
        <v>-5.5</v>
      </c>
      <c r="X64" s="229">
        <v>-1.5100000000000001E-2</v>
      </c>
      <c r="Y64" s="228">
        <v>1.3</v>
      </c>
      <c r="Z64" s="228">
        <v>1.35</v>
      </c>
      <c r="AA64" s="228">
        <v>-0.05</v>
      </c>
      <c r="AB64" s="229">
        <v>3.5999999999999999E-3</v>
      </c>
      <c r="AC64" s="228">
        <v>1.3</v>
      </c>
      <c r="AD64" s="228">
        <v>1.35</v>
      </c>
      <c r="AE64" s="228">
        <v>-0.05</v>
      </c>
      <c r="AF64" s="229">
        <v>3.5999999999999999E-3</v>
      </c>
      <c r="AG64" s="228">
        <v>3.35</v>
      </c>
      <c r="AH64" s="228">
        <v>4.3499999999999996</v>
      </c>
      <c r="AI64" s="228">
        <v>-1</v>
      </c>
      <c r="AJ64" s="229">
        <v>9.2999999999999992E-3</v>
      </c>
      <c r="AK64" s="228">
        <v>0.15</v>
      </c>
      <c r="AL64" s="228">
        <v>4.1500000000000004</v>
      </c>
      <c r="AM64" s="228">
        <v>-4</v>
      </c>
      <c r="AN64" s="229">
        <v>4.0000000000000002E-4</v>
      </c>
      <c r="AO64" s="228">
        <v>366.4</v>
      </c>
      <c r="AP64" s="228">
        <v>369.47</v>
      </c>
      <c r="AQ64" s="228">
        <v>0</v>
      </c>
      <c r="AR64" s="230">
        <v>20982600</v>
      </c>
      <c r="AS64" s="230">
        <v>4064400</v>
      </c>
      <c r="AT64" s="230">
        <v>16918200</v>
      </c>
      <c r="AU64" s="229">
        <v>4.1624999999999996</v>
      </c>
      <c r="AV64" s="230">
        <v>20005200</v>
      </c>
      <c r="AW64" s="230">
        <v>3870000</v>
      </c>
      <c r="AX64" s="230">
        <v>16135200</v>
      </c>
      <c r="AY64" s="229">
        <v>4.1692999999999998</v>
      </c>
      <c r="AZ64" s="230">
        <v>874800</v>
      </c>
      <c r="BA64" s="230">
        <v>160200</v>
      </c>
      <c r="BB64" s="230">
        <v>714600</v>
      </c>
      <c r="BC64" s="229">
        <v>4.4607000000000001</v>
      </c>
      <c r="BD64" s="230">
        <v>102600</v>
      </c>
      <c r="BE64" s="230">
        <v>34200</v>
      </c>
      <c r="BF64" s="230">
        <v>68400</v>
      </c>
      <c r="BG64" s="229">
        <v>2</v>
      </c>
      <c r="BH64" s="230">
        <v>62591400</v>
      </c>
      <c r="BI64" s="230">
        <v>7718400</v>
      </c>
      <c r="BJ64" s="230">
        <v>54873000</v>
      </c>
      <c r="BK64" s="229">
        <v>7.1093999999999999</v>
      </c>
      <c r="BL64" s="230">
        <v>30468600</v>
      </c>
      <c r="BM64" s="230">
        <v>3592800</v>
      </c>
      <c r="BN64" s="230">
        <v>26875800</v>
      </c>
      <c r="BO64" s="229">
        <v>7.4805000000000001</v>
      </c>
      <c r="BP64" s="230">
        <v>114042600</v>
      </c>
      <c r="BQ64" s="230">
        <v>15375600</v>
      </c>
      <c r="BR64" s="230">
        <v>98667000</v>
      </c>
      <c r="BS64" s="229">
        <v>6.4170999999999996</v>
      </c>
      <c r="BT64" s="230">
        <v>11453095</v>
      </c>
      <c r="BU64" s="230">
        <v>2427465</v>
      </c>
      <c r="BV64" s="230">
        <v>9025630</v>
      </c>
      <c r="BW64" s="229">
        <v>3.7181000000000002</v>
      </c>
      <c r="BX64" s="230">
        <v>28782000</v>
      </c>
      <c r="BY64" s="230">
        <v>28180800</v>
      </c>
      <c r="BZ64" s="230">
        <v>601200</v>
      </c>
      <c r="CA64" s="229">
        <v>2.1299999999999999E-2</v>
      </c>
      <c r="CB64" s="230">
        <v>27680400</v>
      </c>
      <c r="CC64" s="230">
        <v>27154800</v>
      </c>
      <c r="CD64" s="230">
        <v>525600</v>
      </c>
      <c r="CE64" s="229">
        <v>1.9400000000000001E-2</v>
      </c>
      <c r="CF64" s="230">
        <v>1002600</v>
      </c>
      <c r="CG64" s="230">
        <v>968400</v>
      </c>
      <c r="CH64" s="230">
        <v>34200</v>
      </c>
      <c r="CI64" s="229">
        <v>3.5299999999999998E-2</v>
      </c>
      <c r="CJ64" s="230">
        <v>99000</v>
      </c>
      <c r="CK64" s="230">
        <v>57600</v>
      </c>
      <c r="CL64" s="230">
        <v>41400</v>
      </c>
      <c r="CM64" s="229">
        <v>0.71879999999999999</v>
      </c>
      <c r="CN64" s="230">
        <v>14580000</v>
      </c>
      <c r="CO64" s="230">
        <v>9545400</v>
      </c>
      <c r="CP64" s="230">
        <v>5034600</v>
      </c>
      <c r="CQ64" s="229">
        <v>0.52739999999999998</v>
      </c>
      <c r="CR64" s="230">
        <v>9021600</v>
      </c>
      <c r="CS64" s="230">
        <v>6440400</v>
      </c>
      <c r="CT64" s="230">
        <v>2581200</v>
      </c>
      <c r="CU64" s="229">
        <v>0.40079999999999999</v>
      </c>
      <c r="CV64" s="230">
        <v>52383600</v>
      </c>
      <c r="CW64" s="230">
        <v>44166600</v>
      </c>
      <c r="CX64" s="230">
        <v>8217000</v>
      </c>
      <c r="CY64" s="229">
        <v>0.186</v>
      </c>
      <c r="CZ64" s="228">
        <v>36.770000000000003</v>
      </c>
      <c r="DA64" s="228">
        <v>39.97</v>
      </c>
      <c r="DB64" s="228">
        <v>-3.2</v>
      </c>
      <c r="DC64" s="228">
        <v>-3.2</v>
      </c>
      <c r="DD64" s="228">
        <v>36.06</v>
      </c>
      <c r="DE64" s="228">
        <v>36.15</v>
      </c>
      <c r="DF64" s="228">
        <v>0.71</v>
      </c>
      <c r="DG64" s="228">
        <v>-0.09</v>
      </c>
      <c r="DH64" s="228">
        <v>36.69</v>
      </c>
      <c r="DI64" s="228">
        <v>39.86</v>
      </c>
      <c r="DJ64" s="228">
        <v>-3.17</v>
      </c>
      <c r="DK64" s="228">
        <v>-3.17</v>
      </c>
      <c r="DL64" s="228">
        <v>36.93</v>
      </c>
      <c r="DM64" s="228">
        <v>40.200000000000003</v>
      </c>
      <c r="DN64" s="228">
        <v>-3.27</v>
      </c>
      <c r="DO64" s="228">
        <v>-3.27</v>
      </c>
      <c r="DP64" s="228">
        <v>0.62</v>
      </c>
      <c r="DQ64" s="228">
        <v>0.67</v>
      </c>
      <c r="DR64" s="228">
        <v>-0.05</v>
      </c>
      <c r="DS64" s="229">
        <v>-7.46E-2</v>
      </c>
      <c r="DT64" s="228">
        <v>370</v>
      </c>
      <c r="DU64" s="228">
        <v>350</v>
      </c>
      <c r="DV64" s="228">
        <v>0.49</v>
      </c>
      <c r="DW64" s="228">
        <v>0.47</v>
      </c>
      <c r="DX64" s="228">
        <v>0.02</v>
      </c>
      <c r="DY64" s="229">
        <v>4.2599999999999999E-2</v>
      </c>
      <c r="DZ64" s="229">
        <v>3.8300000000000001E-2</v>
      </c>
      <c r="EA64" s="230">
        <v>1026000</v>
      </c>
      <c r="EB64" s="229">
        <v>5.7000000000000002E-3</v>
      </c>
      <c r="EC64" s="229">
        <v>3.8300000000000001E-2</v>
      </c>
      <c r="ED64" s="228">
        <v>3.07</v>
      </c>
      <c r="EE64" s="229">
        <v>8.3999999999999995E-3</v>
      </c>
      <c r="EF64" s="230">
        <v>3246671</v>
      </c>
      <c r="EG64" s="230">
        <v>1054596</v>
      </c>
      <c r="EH64" s="229">
        <v>2.0785999999999998</v>
      </c>
      <c r="EI64" s="229">
        <v>0.28349999999999997</v>
      </c>
      <c r="EJ64" s="231">
        <v>243843.54</v>
      </c>
      <c r="EK64" s="231">
        <v>110612.35</v>
      </c>
      <c r="EL64" s="231">
        <v>76909.13</v>
      </c>
      <c r="EM64" s="231">
        <v>5884</v>
      </c>
      <c r="EN64" s="231">
        <v>431365.02</v>
      </c>
      <c r="EO64" s="231">
        <v>57461.8</v>
      </c>
      <c r="EP64" s="231">
        <v>373903.22</v>
      </c>
      <c r="EQ64" s="229">
        <v>6.5069999999999997</v>
      </c>
      <c r="ER64" s="231">
        <v>54055</v>
      </c>
      <c r="ES64" s="231">
        <v>31515</v>
      </c>
      <c r="ET64" s="231">
        <v>103735</v>
      </c>
      <c r="EU64" s="231">
        <v>50211048</v>
      </c>
      <c r="EV64" s="231">
        <v>189305</v>
      </c>
      <c r="EW64" s="231">
        <v>158945</v>
      </c>
      <c r="EX64" s="231">
        <v>30360</v>
      </c>
      <c r="EY64" s="229">
        <v>0.191</v>
      </c>
      <c r="EZ64" s="229">
        <v>1.0432999999999999</v>
      </c>
      <c r="FA64" s="227" t="s">
        <v>566</v>
      </c>
      <c r="FB64" s="161">
        <f t="shared" si="0"/>
        <v>1101600</v>
      </c>
    </row>
    <row r="65" spans="1:158" ht="17.25" thickBot="1" x14ac:dyDescent="0.3">
      <c r="A65" s="226">
        <v>46146</v>
      </c>
      <c r="B65" s="227" t="s">
        <v>172</v>
      </c>
      <c r="C65" s="227" t="s">
        <v>212</v>
      </c>
      <c r="D65" s="228">
        <v>2500</v>
      </c>
      <c r="E65" s="228">
        <v>290.75</v>
      </c>
      <c r="F65" s="228">
        <v>287.8</v>
      </c>
      <c r="G65" s="228">
        <v>2.95</v>
      </c>
      <c r="H65" s="229">
        <v>1.03E-2</v>
      </c>
      <c r="I65" s="228">
        <v>289.14999999999998</v>
      </c>
      <c r="J65" s="228">
        <v>286.95</v>
      </c>
      <c r="K65" s="228">
        <v>2.2000000000000002</v>
      </c>
      <c r="L65" s="229">
        <v>7.7000000000000002E-3</v>
      </c>
      <c r="M65" s="228">
        <v>290.75</v>
      </c>
      <c r="N65" s="228">
        <v>287.8</v>
      </c>
      <c r="O65" s="228">
        <v>2.95</v>
      </c>
      <c r="P65" s="229">
        <v>1.03E-2</v>
      </c>
      <c r="Q65" s="228">
        <v>292.55</v>
      </c>
      <c r="R65" s="228">
        <v>289.39999999999998</v>
      </c>
      <c r="S65" s="228">
        <v>3.15</v>
      </c>
      <c r="T65" s="229">
        <v>1.09E-2</v>
      </c>
      <c r="U65" s="228">
        <v>293.2</v>
      </c>
      <c r="V65" s="228">
        <v>290.45</v>
      </c>
      <c r="W65" s="228">
        <v>2.75</v>
      </c>
      <c r="X65" s="229">
        <v>9.4999999999999998E-3</v>
      </c>
      <c r="Y65" s="228">
        <v>1.6</v>
      </c>
      <c r="Z65" s="228">
        <v>0.85</v>
      </c>
      <c r="AA65" s="228">
        <v>0.75</v>
      </c>
      <c r="AB65" s="229">
        <v>5.4999999999999997E-3</v>
      </c>
      <c r="AC65" s="228">
        <v>1.6</v>
      </c>
      <c r="AD65" s="228">
        <v>0.85</v>
      </c>
      <c r="AE65" s="228">
        <v>0.75</v>
      </c>
      <c r="AF65" s="229">
        <v>5.4999999999999997E-3</v>
      </c>
      <c r="AG65" s="228">
        <v>3.4</v>
      </c>
      <c r="AH65" s="228">
        <v>2.4500000000000002</v>
      </c>
      <c r="AI65" s="228">
        <v>0.95</v>
      </c>
      <c r="AJ65" s="229">
        <v>1.18E-2</v>
      </c>
      <c r="AK65" s="228">
        <v>4.05</v>
      </c>
      <c r="AL65" s="228">
        <v>3.5</v>
      </c>
      <c r="AM65" s="228">
        <v>0.55000000000000004</v>
      </c>
      <c r="AN65" s="229">
        <v>1.4E-2</v>
      </c>
      <c r="AO65" s="228">
        <v>291.07</v>
      </c>
      <c r="AP65" s="228">
        <v>293.07</v>
      </c>
      <c r="AQ65" s="228">
        <v>0</v>
      </c>
      <c r="AR65" s="230">
        <v>14707500</v>
      </c>
      <c r="AS65" s="230">
        <v>22842500</v>
      </c>
      <c r="AT65" s="230">
        <v>-8135000</v>
      </c>
      <c r="AU65" s="229">
        <v>-0.35610000000000003</v>
      </c>
      <c r="AV65" s="230">
        <v>13482500</v>
      </c>
      <c r="AW65" s="230">
        <v>20850000</v>
      </c>
      <c r="AX65" s="230">
        <v>-7367500</v>
      </c>
      <c r="AY65" s="229">
        <v>-0.35339999999999999</v>
      </c>
      <c r="AZ65" s="230">
        <v>1077500</v>
      </c>
      <c r="BA65" s="230">
        <v>1760000</v>
      </c>
      <c r="BB65" s="230">
        <v>-682500</v>
      </c>
      <c r="BC65" s="229">
        <v>-0.38779999999999998</v>
      </c>
      <c r="BD65" s="230">
        <v>147500</v>
      </c>
      <c r="BE65" s="230">
        <v>232500</v>
      </c>
      <c r="BF65" s="230">
        <v>-85000</v>
      </c>
      <c r="BG65" s="229">
        <v>-0.36559999999999998</v>
      </c>
      <c r="BH65" s="230">
        <v>39332500</v>
      </c>
      <c r="BI65" s="230">
        <v>76517500</v>
      </c>
      <c r="BJ65" s="230">
        <v>-37185000</v>
      </c>
      <c r="BK65" s="229">
        <v>-0.48599999999999999</v>
      </c>
      <c r="BL65" s="230">
        <v>17952500</v>
      </c>
      <c r="BM65" s="230">
        <v>30572500</v>
      </c>
      <c r="BN65" s="230">
        <v>-12620000</v>
      </c>
      <c r="BO65" s="229">
        <v>-0.4128</v>
      </c>
      <c r="BP65" s="230">
        <v>71992500</v>
      </c>
      <c r="BQ65" s="230">
        <v>129932500</v>
      </c>
      <c r="BR65" s="230">
        <v>-57940000</v>
      </c>
      <c r="BS65" s="229">
        <v>-0.44590000000000002</v>
      </c>
      <c r="BT65" s="230">
        <v>5701036</v>
      </c>
      <c r="BU65" s="230">
        <v>14209297</v>
      </c>
      <c r="BV65" s="230">
        <v>-8508261</v>
      </c>
      <c r="BW65" s="229">
        <v>-0.5988</v>
      </c>
      <c r="BX65" s="230">
        <v>83247500</v>
      </c>
      <c r="BY65" s="230">
        <v>80775000</v>
      </c>
      <c r="BZ65" s="230">
        <v>2472500</v>
      </c>
      <c r="CA65" s="229">
        <v>3.0599999999999999E-2</v>
      </c>
      <c r="CB65" s="230">
        <v>76357500</v>
      </c>
      <c r="CC65" s="230">
        <v>74387500</v>
      </c>
      <c r="CD65" s="230">
        <v>1970000</v>
      </c>
      <c r="CE65" s="229">
        <v>2.6499999999999999E-2</v>
      </c>
      <c r="CF65" s="230">
        <v>6660000</v>
      </c>
      <c r="CG65" s="230">
        <v>6185000</v>
      </c>
      <c r="CH65" s="230">
        <v>475000</v>
      </c>
      <c r="CI65" s="229">
        <v>7.6799999999999993E-2</v>
      </c>
      <c r="CJ65" s="230">
        <v>230000</v>
      </c>
      <c r="CK65" s="230">
        <v>202500</v>
      </c>
      <c r="CL65" s="230">
        <v>27500</v>
      </c>
      <c r="CM65" s="229">
        <v>0.1358</v>
      </c>
      <c r="CN65" s="230">
        <v>36250000</v>
      </c>
      <c r="CO65" s="230">
        <v>38312500</v>
      </c>
      <c r="CP65" s="230">
        <v>-2062500</v>
      </c>
      <c r="CQ65" s="229">
        <v>-5.3800000000000001E-2</v>
      </c>
      <c r="CR65" s="230">
        <v>19615000</v>
      </c>
      <c r="CS65" s="230">
        <v>19575000</v>
      </c>
      <c r="CT65" s="230">
        <v>40000</v>
      </c>
      <c r="CU65" s="229">
        <v>2E-3</v>
      </c>
      <c r="CV65" s="230">
        <v>139112500</v>
      </c>
      <c r="CW65" s="230">
        <v>138662500</v>
      </c>
      <c r="CX65" s="230">
        <v>450000</v>
      </c>
      <c r="CY65" s="229">
        <v>3.2000000000000002E-3</v>
      </c>
      <c r="CZ65" s="228">
        <v>29.6</v>
      </c>
      <c r="DA65" s="228">
        <v>30.72</v>
      </c>
      <c r="DB65" s="228">
        <v>-1.1200000000000001</v>
      </c>
      <c r="DC65" s="228">
        <v>-1.1200000000000001</v>
      </c>
      <c r="DD65" s="228">
        <v>31.83</v>
      </c>
      <c r="DE65" s="228">
        <v>31.89</v>
      </c>
      <c r="DF65" s="228">
        <v>-2.23</v>
      </c>
      <c r="DG65" s="228">
        <v>-0.06</v>
      </c>
      <c r="DH65" s="228">
        <v>29.56</v>
      </c>
      <c r="DI65" s="228">
        <v>30.76</v>
      </c>
      <c r="DJ65" s="228">
        <v>-1.2</v>
      </c>
      <c r="DK65" s="228">
        <v>-1.2</v>
      </c>
      <c r="DL65" s="228">
        <v>29.69</v>
      </c>
      <c r="DM65" s="228">
        <v>30.61</v>
      </c>
      <c r="DN65" s="228">
        <v>-0.92</v>
      </c>
      <c r="DO65" s="228">
        <v>-0.92</v>
      </c>
      <c r="DP65" s="228">
        <v>0.54</v>
      </c>
      <c r="DQ65" s="228">
        <v>0.51</v>
      </c>
      <c r="DR65" s="228">
        <v>0.03</v>
      </c>
      <c r="DS65" s="229">
        <v>5.8799999999999998E-2</v>
      </c>
      <c r="DT65" s="228">
        <v>300</v>
      </c>
      <c r="DU65" s="228">
        <v>290</v>
      </c>
      <c r="DV65" s="228">
        <v>0.46</v>
      </c>
      <c r="DW65" s="228">
        <v>0.4</v>
      </c>
      <c r="DX65" s="228">
        <v>0.06</v>
      </c>
      <c r="DY65" s="229">
        <v>0.15</v>
      </c>
      <c r="DZ65" s="229">
        <v>8.2799999999999999E-2</v>
      </c>
      <c r="EA65" s="230">
        <v>6387500</v>
      </c>
      <c r="EB65" s="229">
        <v>6.1999999999999998E-3</v>
      </c>
      <c r="EC65" s="229">
        <v>8.2799999999999999E-2</v>
      </c>
      <c r="ED65" s="228">
        <v>2</v>
      </c>
      <c r="EE65" s="229">
        <v>6.8999999999999999E-3</v>
      </c>
      <c r="EF65" s="230">
        <v>2737236</v>
      </c>
      <c r="EG65" s="230">
        <v>7367685</v>
      </c>
      <c r="EH65" s="229">
        <v>-0.62849999999999995</v>
      </c>
      <c r="EI65" s="229">
        <v>0.48010000000000003</v>
      </c>
      <c r="EJ65" s="231">
        <v>122057.88</v>
      </c>
      <c r="EK65" s="231">
        <v>50979.72</v>
      </c>
      <c r="EL65" s="231">
        <v>42834.25</v>
      </c>
      <c r="EM65" s="231">
        <v>13000</v>
      </c>
      <c r="EN65" s="231">
        <v>215871.85</v>
      </c>
      <c r="EO65" s="231">
        <v>386342.99</v>
      </c>
      <c r="EP65" s="231">
        <v>-170471.14</v>
      </c>
      <c r="EQ65" s="229">
        <v>-0.44119999999999998</v>
      </c>
      <c r="ER65" s="231">
        <v>110526</v>
      </c>
      <c r="ES65" s="231">
        <v>55562</v>
      </c>
      <c r="ET65" s="231">
        <v>242168</v>
      </c>
      <c r="EU65" s="231">
        <v>359450597</v>
      </c>
      <c r="EV65" s="231">
        <v>408255</v>
      </c>
      <c r="EW65" s="231">
        <v>404582</v>
      </c>
      <c r="EX65" s="231">
        <v>3673</v>
      </c>
      <c r="EY65" s="229">
        <v>9.1000000000000004E-3</v>
      </c>
      <c r="EZ65" s="229">
        <v>0.38700000000000001</v>
      </c>
      <c r="FA65" s="227" t="s">
        <v>555</v>
      </c>
      <c r="FB65" s="161">
        <f t="shared" si="0"/>
        <v>6890000</v>
      </c>
    </row>
    <row r="66" spans="1:158" ht="17.25" thickBot="1" x14ac:dyDescent="0.3">
      <c r="A66" s="226">
        <v>46146</v>
      </c>
      <c r="B66" s="227" t="s">
        <v>181</v>
      </c>
      <c r="C66" s="227" t="s">
        <v>480</v>
      </c>
      <c r="D66" s="228">
        <v>60</v>
      </c>
      <c r="E66" s="231">
        <v>25943.200000000001</v>
      </c>
      <c r="F66" s="231">
        <v>25782.799999999999</v>
      </c>
      <c r="G66" s="228">
        <v>160.4</v>
      </c>
      <c r="H66" s="229">
        <v>6.1999999999999998E-3</v>
      </c>
      <c r="I66" s="231">
        <v>25814.400000000001</v>
      </c>
      <c r="J66" s="231">
        <v>25657.35</v>
      </c>
      <c r="K66" s="228">
        <v>157.05000000000001</v>
      </c>
      <c r="L66" s="229">
        <v>6.1000000000000004E-3</v>
      </c>
      <c r="M66" s="231">
        <v>25943.200000000001</v>
      </c>
      <c r="N66" s="231">
        <v>25782.799999999999</v>
      </c>
      <c r="O66" s="228">
        <v>160.4</v>
      </c>
      <c r="P66" s="229">
        <v>6.1999999999999998E-3</v>
      </c>
      <c r="Q66" s="228">
        <v>0</v>
      </c>
      <c r="R66" s="228">
        <v>0</v>
      </c>
      <c r="S66" s="228">
        <v>0</v>
      </c>
      <c r="T66" s="229">
        <v>0</v>
      </c>
      <c r="U66" s="228">
        <v>0</v>
      </c>
      <c r="V66" s="228">
        <v>0</v>
      </c>
      <c r="W66" s="228">
        <v>0</v>
      </c>
      <c r="X66" s="229">
        <v>0</v>
      </c>
      <c r="Y66" s="228">
        <v>128.80000000000001</v>
      </c>
      <c r="Z66" s="228">
        <v>125.45</v>
      </c>
      <c r="AA66" s="228">
        <v>3.35</v>
      </c>
      <c r="AB66" s="229">
        <v>5.0000000000000001E-3</v>
      </c>
      <c r="AC66" s="228">
        <v>128.80000000000001</v>
      </c>
      <c r="AD66" s="228">
        <v>125.45</v>
      </c>
      <c r="AE66" s="228">
        <v>3.35</v>
      </c>
      <c r="AF66" s="229">
        <v>5.0000000000000001E-3</v>
      </c>
      <c r="AG66" s="228">
        <v>0</v>
      </c>
      <c r="AH66" s="228">
        <v>0</v>
      </c>
      <c r="AI66" s="228">
        <v>0</v>
      </c>
      <c r="AJ66" s="229">
        <v>0</v>
      </c>
      <c r="AK66" s="228">
        <v>0</v>
      </c>
      <c r="AL66" s="228">
        <v>0</v>
      </c>
      <c r="AM66" s="228">
        <v>0</v>
      </c>
      <c r="AN66" s="229">
        <v>0</v>
      </c>
      <c r="AO66" s="231">
        <v>25991.08</v>
      </c>
      <c r="AP66" s="228">
        <v>0</v>
      </c>
      <c r="AQ66" s="228">
        <v>0</v>
      </c>
      <c r="AR66" s="230">
        <v>5940</v>
      </c>
      <c r="AS66" s="230">
        <v>12180</v>
      </c>
      <c r="AT66" s="230">
        <v>-6240</v>
      </c>
      <c r="AU66" s="229">
        <v>-0.51229999999999998</v>
      </c>
      <c r="AV66" s="230">
        <v>5940</v>
      </c>
      <c r="AW66" s="230">
        <v>12180</v>
      </c>
      <c r="AX66" s="230">
        <v>-6240</v>
      </c>
      <c r="AY66" s="229">
        <v>-0.51229999999999998</v>
      </c>
      <c r="AZ66" s="228">
        <v>0</v>
      </c>
      <c r="BA66" s="228">
        <v>0</v>
      </c>
      <c r="BB66" s="228">
        <v>0</v>
      </c>
      <c r="BC66" s="229">
        <v>0</v>
      </c>
      <c r="BD66" s="228">
        <v>0</v>
      </c>
      <c r="BE66" s="228">
        <v>0</v>
      </c>
      <c r="BF66" s="228">
        <v>0</v>
      </c>
      <c r="BG66" s="229">
        <v>0</v>
      </c>
      <c r="BH66" s="230">
        <v>285840</v>
      </c>
      <c r="BI66" s="230">
        <v>177060</v>
      </c>
      <c r="BJ66" s="230">
        <v>108780</v>
      </c>
      <c r="BK66" s="229">
        <v>0.61439999999999995</v>
      </c>
      <c r="BL66" s="230">
        <v>178260</v>
      </c>
      <c r="BM66" s="230">
        <v>134940</v>
      </c>
      <c r="BN66" s="230">
        <v>43320</v>
      </c>
      <c r="BO66" s="229">
        <v>0.32100000000000001</v>
      </c>
      <c r="BP66" s="230">
        <v>470040</v>
      </c>
      <c r="BQ66" s="230">
        <v>324180</v>
      </c>
      <c r="BR66" s="230">
        <v>145860</v>
      </c>
      <c r="BS66" s="229">
        <v>0.44990000000000002</v>
      </c>
      <c r="BT66" s="228">
        <v>0</v>
      </c>
      <c r="BU66" s="228">
        <v>0</v>
      </c>
      <c r="BV66" s="228">
        <v>0</v>
      </c>
      <c r="BW66" s="229">
        <v>0</v>
      </c>
      <c r="BX66" s="230">
        <v>26520</v>
      </c>
      <c r="BY66" s="230">
        <v>25920</v>
      </c>
      <c r="BZ66" s="228">
        <v>600</v>
      </c>
      <c r="CA66" s="229">
        <v>2.3099999999999999E-2</v>
      </c>
      <c r="CB66" s="230">
        <v>26520</v>
      </c>
      <c r="CC66" s="230">
        <v>25920</v>
      </c>
      <c r="CD66" s="228">
        <v>600</v>
      </c>
      <c r="CE66" s="229">
        <v>2.3099999999999999E-2</v>
      </c>
      <c r="CF66" s="228">
        <v>0</v>
      </c>
      <c r="CG66" s="228">
        <v>0</v>
      </c>
      <c r="CH66" s="228">
        <v>0</v>
      </c>
      <c r="CI66" s="229">
        <v>0</v>
      </c>
      <c r="CJ66" s="228">
        <v>0</v>
      </c>
      <c r="CK66" s="228">
        <v>0</v>
      </c>
      <c r="CL66" s="228">
        <v>0</v>
      </c>
      <c r="CM66" s="229">
        <v>0</v>
      </c>
      <c r="CN66" s="230">
        <v>145620</v>
      </c>
      <c r="CO66" s="230">
        <v>107280</v>
      </c>
      <c r="CP66" s="230">
        <v>38340</v>
      </c>
      <c r="CQ66" s="229">
        <v>0.3574</v>
      </c>
      <c r="CR66" s="230">
        <v>88740</v>
      </c>
      <c r="CS66" s="230">
        <v>47700</v>
      </c>
      <c r="CT66" s="230">
        <v>41040</v>
      </c>
      <c r="CU66" s="229">
        <v>0.86040000000000005</v>
      </c>
      <c r="CV66" s="230">
        <v>260880</v>
      </c>
      <c r="CW66" s="230">
        <v>180900</v>
      </c>
      <c r="CX66" s="230">
        <v>79980</v>
      </c>
      <c r="CY66" s="229">
        <v>0.44209999999999999</v>
      </c>
      <c r="CZ66" s="228">
        <v>21.6</v>
      </c>
      <c r="DA66" s="228">
        <v>21.55</v>
      </c>
      <c r="DB66" s="228">
        <v>0.05</v>
      </c>
      <c r="DC66" s="228">
        <v>0.05</v>
      </c>
      <c r="DD66" s="228">
        <v>21.49</v>
      </c>
      <c r="DE66" s="228">
        <v>21.53</v>
      </c>
      <c r="DF66" s="228">
        <v>0.11</v>
      </c>
      <c r="DG66" s="228">
        <v>-0.04</v>
      </c>
      <c r="DH66" s="228">
        <v>20.239999999999998</v>
      </c>
      <c r="DI66" s="228">
        <v>20.94</v>
      </c>
      <c r="DJ66" s="228">
        <v>-0.7</v>
      </c>
      <c r="DK66" s="228">
        <v>-0.7</v>
      </c>
      <c r="DL66" s="228">
        <v>23.8</v>
      </c>
      <c r="DM66" s="228">
        <v>22.34</v>
      </c>
      <c r="DN66" s="228">
        <v>1.46</v>
      </c>
      <c r="DO66" s="228">
        <v>1.46</v>
      </c>
      <c r="DP66" s="228">
        <v>0.61</v>
      </c>
      <c r="DQ66" s="228">
        <v>0.44</v>
      </c>
      <c r="DR66" s="228">
        <v>0.17</v>
      </c>
      <c r="DS66" s="229">
        <v>0.38640000000000002</v>
      </c>
      <c r="DT66" s="231">
        <v>26000</v>
      </c>
      <c r="DU66" s="231">
        <v>26000</v>
      </c>
      <c r="DV66" s="228">
        <v>0.62</v>
      </c>
      <c r="DW66" s="228">
        <v>0.76</v>
      </c>
      <c r="DX66" s="228">
        <v>-0.14000000000000001</v>
      </c>
      <c r="DY66" s="229">
        <v>-0.1842</v>
      </c>
      <c r="DZ66" s="229">
        <v>0</v>
      </c>
      <c r="EA66" s="228">
        <v>0</v>
      </c>
      <c r="EB66" s="229">
        <v>0</v>
      </c>
      <c r="EC66" s="229">
        <v>0</v>
      </c>
      <c r="ED66" s="228">
        <v>0</v>
      </c>
      <c r="EE66" s="229">
        <v>0</v>
      </c>
      <c r="EF66" s="228">
        <v>0</v>
      </c>
      <c r="EG66" s="228">
        <v>0</v>
      </c>
      <c r="EH66" s="229">
        <v>0</v>
      </c>
      <c r="EI66" s="229">
        <v>0</v>
      </c>
      <c r="EJ66" s="231">
        <v>77756.86</v>
      </c>
      <c r="EK66" s="231">
        <v>44932.19</v>
      </c>
      <c r="EL66" s="231">
        <v>1543.87</v>
      </c>
      <c r="EM66" s="228">
        <v>0</v>
      </c>
      <c r="EN66" s="231">
        <v>124232.92</v>
      </c>
      <c r="EO66" s="231">
        <v>85662.34</v>
      </c>
      <c r="EP66" s="231">
        <v>38570.58</v>
      </c>
      <c r="EQ66" s="229">
        <v>0.45029999999999998</v>
      </c>
      <c r="ER66" s="231">
        <v>39818</v>
      </c>
      <c r="ES66" s="231">
        <v>21635</v>
      </c>
      <c r="ET66" s="231">
        <v>6880</v>
      </c>
      <c r="EU66" s="228">
        <v>0</v>
      </c>
      <c r="EV66" s="231">
        <v>68334</v>
      </c>
      <c r="EW66" s="231">
        <v>47955</v>
      </c>
      <c r="EX66" s="231">
        <v>20379</v>
      </c>
      <c r="EY66" s="229">
        <v>0.42499999999999999</v>
      </c>
      <c r="EZ66" s="229">
        <v>0</v>
      </c>
      <c r="FA66" s="227" t="s">
        <v>555</v>
      </c>
      <c r="FB66" s="161">
        <f t="shared" si="0"/>
        <v>0</v>
      </c>
    </row>
    <row r="67" spans="1:158" ht="17.25" thickBot="1" x14ac:dyDescent="0.3">
      <c r="A67" s="226">
        <v>46146</v>
      </c>
      <c r="B67" s="227" t="s">
        <v>162</v>
      </c>
      <c r="C67" s="227" t="s">
        <v>698</v>
      </c>
      <c r="D67" s="228">
        <v>25</v>
      </c>
      <c r="E67" s="231">
        <v>19109</v>
      </c>
      <c r="F67" s="231">
        <v>19594</v>
      </c>
      <c r="G67" s="228">
        <v>-485</v>
      </c>
      <c r="H67" s="229">
        <v>-2.4799999999999999E-2</v>
      </c>
      <c r="I67" s="231">
        <v>19331</v>
      </c>
      <c r="J67" s="231">
        <v>19904</v>
      </c>
      <c r="K67" s="228">
        <v>-573</v>
      </c>
      <c r="L67" s="229">
        <v>-2.8799999999999999E-2</v>
      </c>
      <c r="M67" s="231">
        <v>19109</v>
      </c>
      <c r="N67" s="231">
        <v>19594</v>
      </c>
      <c r="O67" s="228">
        <v>-485</v>
      </c>
      <c r="P67" s="229">
        <v>-2.4799999999999999E-2</v>
      </c>
      <c r="Q67" s="231">
        <v>18807</v>
      </c>
      <c r="R67" s="231">
        <v>19307</v>
      </c>
      <c r="S67" s="228">
        <v>-500</v>
      </c>
      <c r="T67" s="229">
        <v>-2.5899999999999999E-2</v>
      </c>
      <c r="U67" s="231">
        <v>18660</v>
      </c>
      <c r="V67" s="231">
        <v>19165</v>
      </c>
      <c r="W67" s="228">
        <v>-505</v>
      </c>
      <c r="X67" s="229">
        <v>-2.64E-2</v>
      </c>
      <c r="Y67" s="228">
        <v>-222</v>
      </c>
      <c r="Z67" s="228">
        <v>-310</v>
      </c>
      <c r="AA67" s="228">
        <v>88</v>
      </c>
      <c r="AB67" s="229">
        <v>-1.15E-2</v>
      </c>
      <c r="AC67" s="228">
        <v>-222</v>
      </c>
      <c r="AD67" s="228">
        <v>-310</v>
      </c>
      <c r="AE67" s="228">
        <v>88</v>
      </c>
      <c r="AF67" s="229">
        <v>-1.15E-2</v>
      </c>
      <c r="AG67" s="228">
        <v>-524</v>
      </c>
      <c r="AH67" s="228">
        <v>-597</v>
      </c>
      <c r="AI67" s="228">
        <v>73</v>
      </c>
      <c r="AJ67" s="229">
        <v>-2.7099999999999999E-2</v>
      </c>
      <c r="AK67" s="228">
        <v>-671</v>
      </c>
      <c r="AL67" s="228">
        <v>-739</v>
      </c>
      <c r="AM67" s="228">
        <v>68</v>
      </c>
      <c r="AN67" s="229">
        <v>-3.4700000000000002E-2</v>
      </c>
      <c r="AO67" s="231">
        <v>19090.91</v>
      </c>
      <c r="AP67" s="231">
        <v>18768.669999999998</v>
      </c>
      <c r="AQ67" s="228">
        <v>0</v>
      </c>
      <c r="AR67" s="230">
        <v>86400</v>
      </c>
      <c r="AS67" s="230">
        <v>142075</v>
      </c>
      <c r="AT67" s="230">
        <v>-55675</v>
      </c>
      <c r="AU67" s="229">
        <v>-0.39190000000000003</v>
      </c>
      <c r="AV67" s="230">
        <v>77875</v>
      </c>
      <c r="AW67" s="230">
        <v>128325</v>
      </c>
      <c r="AX67" s="230">
        <v>-50450</v>
      </c>
      <c r="AY67" s="229">
        <v>-0.3931</v>
      </c>
      <c r="AZ67" s="230">
        <v>7150</v>
      </c>
      <c r="BA67" s="230">
        <v>13300</v>
      </c>
      <c r="BB67" s="230">
        <v>-6150</v>
      </c>
      <c r="BC67" s="229">
        <v>-0.46239999999999998</v>
      </c>
      <c r="BD67" s="230">
        <v>1375</v>
      </c>
      <c r="BE67" s="228">
        <v>450</v>
      </c>
      <c r="BF67" s="228">
        <v>925</v>
      </c>
      <c r="BG67" s="229">
        <v>2.0556000000000001</v>
      </c>
      <c r="BH67" s="230">
        <v>210875</v>
      </c>
      <c r="BI67" s="230">
        <v>304475</v>
      </c>
      <c r="BJ67" s="230">
        <v>-93600</v>
      </c>
      <c r="BK67" s="229">
        <v>-0.30740000000000001</v>
      </c>
      <c r="BL67" s="230">
        <v>55950</v>
      </c>
      <c r="BM67" s="230">
        <v>174025</v>
      </c>
      <c r="BN67" s="230">
        <v>-118075</v>
      </c>
      <c r="BO67" s="229">
        <v>-0.67849999999999999</v>
      </c>
      <c r="BP67" s="230">
        <v>353225</v>
      </c>
      <c r="BQ67" s="230">
        <v>620575</v>
      </c>
      <c r="BR67" s="230">
        <v>-267350</v>
      </c>
      <c r="BS67" s="229">
        <v>-0.43080000000000002</v>
      </c>
      <c r="BT67" s="230">
        <v>171097</v>
      </c>
      <c r="BU67" s="230">
        <v>279496</v>
      </c>
      <c r="BV67" s="230">
        <v>-108399</v>
      </c>
      <c r="BW67" s="229">
        <v>-0.38779999999999998</v>
      </c>
      <c r="BX67" s="230">
        <v>296500</v>
      </c>
      <c r="BY67" s="230">
        <v>287100</v>
      </c>
      <c r="BZ67" s="230">
        <v>9400</v>
      </c>
      <c r="CA67" s="229">
        <v>3.27E-2</v>
      </c>
      <c r="CB67" s="230">
        <v>283150</v>
      </c>
      <c r="CC67" s="230">
        <v>276575</v>
      </c>
      <c r="CD67" s="230">
        <v>6575</v>
      </c>
      <c r="CE67" s="229">
        <v>2.3800000000000002E-2</v>
      </c>
      <c r="CF67" s="230">
        <v>11950</v>
      </c>
      <c r="CG67" s="230">
        <v>10050</v>
      </c>
      <c r="CH67" s="230">
        <v>1900</v>
      </c>
      <c r="CI67" s="229">
        <v>0.18909999999999999</v>
      </c>
      <c r="CJ67" s="230">
        <v>1400</v>
      </c>
      <c r="CK67" s="228">
        <v>475</v>
      </c>
      <c r="CL67" s="228">
        <v>925</v>
      </c>
      <c r="CM67" s="229">
        <v>1.9474</v>
      </c>
      <c r="CN67" s="230">
        <v>150225</v>
      </c>
      <c r="CO67" s="230">
        <v>121425</v>
      </c>
      <c r="CP67" s="230">
        <v>28800</v>
      </c>
      <c r="CQ67" s="229">
        <v>0.23719999999999999</v>
      </c>
      <c r="CR67" s="230">
        <v>50350</v>
      </c>
      <c r="CS67" s="230">
        <v>48275</v>
      </c>
      <c r="CT67" s="230">
        <v>2075</v>
      </c>
      <c r="CU67" s="229">
        <v>4.2999999999999997E-2</v>
      </c>
      <c r="CV67" s="230">
        <v>497075</v>
      </c>
      <c r="CW67" s="230">
        <v>456800</v>
      </c>
      <c r="CX67" s="230">
        <v>40275</v>
      </c>
      <c r="CY67" s="229">
        <v>8.8200000000000001E-2</v>
      </c>
      <c r="CZ67" s="228">
        <v>55.97</v>
      </c>
      <c r="DA67" s="228">
        <v>56.56</v>
      </c>
      <c r="DB67" s="228">
        <v>-0.59</v>
      </c>
      <c r="DC67" s="228">
        <v>-0.59</v>
      </c>
      <c r="DD67" s="228">
        <v>65.52</v>
      </c>
      <c r="DE67" s="228">
        <v>65.599999999999994</v>
      </c>
      <c r="DF67" s="228">
        <v>-9.5500000000000007</v>
      </c>
      <c r="DG67" s="228">
        <v>-0.08</v>
      </c>
      <c r="DH67" s="228">
        <v>56.52</v>
      </c>
      <c r="DI67" s="228">
        <v>56.9</v>
      </c>
      <c r="DJ67" s="228">
        <v>-0.38</v>
      </c>
      <c r="DK67" s="228">
        <v>-0.38</v>
      </c>
      <c r="DL67" s="228">
        <v>53.88</v>
      </c>
      <c r="DM67" s="228">
        <v>55.97</v>
      </c>
      <c r="DN67" s="228">
        <v>-2.09</v>
      </c>
      <c r="DO67" s="228">
        <v>-2.09</v>
      </c>
      <c r="DP67" s="228">
        <v>0.34</v>
      </c>
      <c r="DQ67" s="228">
        <v>0.4</v>
      </c>
      <c r="DR67" s="228">
        <v>-0.06</v>
      </c>
      <c r="DS67" s="229">
        <v>-0.15</v>
      </c>
      <c r="DT67" s="231">
        <v>23000</v>
      </c>
      <c r="DU67" s="231">
        <v>17000</v>
      </c>
      <c r="DV67" s="228">
        <v>0.27</v>
      </c>
      <c r="DW67" s="228">
        <v>0.56999999999999995</v>
      </c>
      <c r="DX67" s="228">
        <v>-0.3</v>
      </c>
      <c r="DY67" s="229">
        <v>-0.52629999999999999</v>
      </c>
      <c r="DZ67" s="229">
        <v>4.4999999999999998E-2</v>
      </c>
      <c r="EA67" s="230">
        <v>10525</v>
      </c>
      <c r="EB67" s="229">
        <v>-1.5800000000000002E-2</v>
      </c>
      <c r="EC67" s="229">
        <v>4.4999999999999998E-2</v>
      </c>
      <c r="ED67" s="228">
        <v>-322.24</v>
      </c>
      <c r="EE67" s="229">
        <v>-1.6899999999999998E-2</v>
      </c>
      <c r="EF67" s="230">
        <v>43870</v>
      </c>
      <c r="EG67" s="230">
        <v>76583</v>
      </c>
      <c r="EH67" s="229">
        <v>-0.42720000000000002</v>
      </c>
      <c r="EI67" s="229">
        <v>0.25640000000000002</v>
      </c>
      <c r="EJ67" s="231">
        <v>47046.82</v>
      </c>
      <c r="EK67" s="231">
        <v>10617.48</v>
      </c>
      <c r="EL67" s="231">
        <v>16464.7</v>
      </c>
      <c r="EM67" s="231">
        <v>5019</v>
      </c>
      <c r="EN67" s="231">
        <v>74129</v>
      </c>
      <c r="EO67" s="231">
        <v>131165.87</v>
      </c>
      <c r="EP67" s="231">
        <v>-57036.87</v>
      </c>
      <c r="EQ67" s="229">
        <v>-0.43480000000000002</v>
      </c>
      <c r="ER67" s="231">
        <v>33773</v>
      </c>
      <c r="ES67" s="231">
        <v>9381</v>
      </c>
      <c r="ET67" s="231">
        <v>56616</v>
      </c>
      <c r="EU67" s="231">
        <v>736885</v>
      </c>
      <c r="EV67" s="231">
        <v>99770</v>
      </c>
      <c r="EW67" s="231">
        <v>92779</v>
      </c>
      <c r="EX67" s="231">
        <v>6991</v>
      </c>
      <c r="EY67" s="229">
        <v>7.5399999999999995E-2</v>
      </c>
      <c r="EZ67" s="229">
        <v>0.67459999999999998</v>
      </c>
      <c r="FA67" s="227" t="s">
        <v>566</v>
      </c>
      <c r="FB67" s="161">
        <f t="shared" ref="FB67:FB130" si="1">BX67-CB67</f>
        <v>13350</v>
      </c>
    </row>
    <row r="68" spans="1:158" ht="17.25" thickBot="1" x14ac:dyDescent="0.3">
      <c r="A68" s="226">
        <v>46146</v>
      </c>
      <c r="B68" s="227" t="s">
        <v>170</v>
      </c>
      <c r="C68" s="227" t="s">
        <v>674</v>
      </c>
      <c r="D68" s="228">
        <v>775</v>
      </c>
      <c r="E68" s="228">
        <v>956.15</v>
      </c>
      <c r="F68" s="228">
        <v>927.9</v>
      </c>
      <c r="G68" s="228">
        <v>28.25</v>
      </c>
      <c r="H68" s="229">
        <v>3.04E-2</v>
      </c>
      <c r="I68" s="228">
        <v>952.9</v>
      </c>
      <c r="J68" s="228">
        <v>922.95</v>
      </c>
      <c r="K68" s="228">
        <v>29.95</v>
      </c>
      <c r="L68" s="229">
        <v>3.2500000000000001E-2</v>
      </c>
      <c r="M68" s="228">
        <v>956.15</v>
      </c>
      <c r="N68" s="228">
        <v>927.9</v>
      </c>
      <c r="O68" s="228">
        <v>28.25</v>
      </c>
      <c r="P68" s="229">
        <v>3.04E-2</v>
      </c>
      <c r="Q68" s="228">
        <v>962.65</v>
      </c>
      <c r="R68" s="228">
        <v>933.85</v>
      </c>
      <c r="S68" s="228">
        <v>28.8</v>
      </c>
      <c r="T68" s="229">
        <v>3.0800000000000001E-2</v>
      </c>
      <c r="U68" s="228">
        <v>935.75</v>
      </c>
      <c r="V68" s="228">
        <v>935.75</v>
      </c>
      <c r="W68" s="228">
        <v>0</v>
      </c>
      <c r="X68" s="229">
        <v>0</v>
      </c>
      <c r="Y68" s="228">
        <v>3.25</v>
      </c>
      <c r="Z68" s="228">
        <v>4.95</v>
      </c>
      <c r="AA68" s="228">
        <v>-1.7</v>
      </c>
      <c r="AB68" s="229">
        <v>3.3999999999999998E-3</v>
      </c>
      <c r="AC68" s="228">
        <v>3.25</v>
      </c>
      <c r="AD68" s="228">
        <v>4.95</v>
      </c>
      <c r="AE68" s="228">
        <v>-1.7</v>
      </c>
      <c r="AF68" s="229">
        <v>3.3999999999999998E-3</v>
      </c>
      <c r="AG68" s="228">
        <v>9.75</v>
      </c>
      <c r="AH68" s="228">
        <v>10.9</v>
      </c>
      <c r="AI68" s="228">
        <v>-1.1499999999999999</v>
      </c>
      <c r="AJ68" s="229">
        <v>1.0200000000000001E-2</v>
      </c>
      <c r="AK68" s="228">
        <v>-17.149999999999999</v>
      </c>
      <c r="AL68" s="228">
        <v>12.8</v>
      </c>
      <c r="AM68" s="228">
        <v>-29.95</v>
      </c>
      <c r="AN68" s="229">
        <v>-1.7999999999999999E-2</v>
      </c>
      <c r="AO68" s="228">
        <v>954.76</v>
      </c>
      <c r="AP68" s="228">
        <v>960.3</v>
      </c>
      <c r="AQ68" s="228">
        <v>0</v>
      </c>
      <c r="AR68" s="230">
        <v>1057100</v>
      </c>
      <c r="AS68" s="230">
        <v>981150</v>
      </c>
      <c r="AT68" s="230">
        <v>75950</v>
      </c>
      <c r="AU68" s="229">
        <v>7.7399999999999997E-2</v>
      </c>
      <c r="AV68" s="230">
        <v>1033850</v>
      </c>
      <c r="AW68" s="230">
        <v>963325</v>
      </c>
      <c r="AX68" s="230">
        <v>70525</v>
      </c>
      <c r="AY68" s="229">
        <v>7.3200000000000001E-2</v>
      </c>
      <c r="AZ68" s="230">
        <v>23250</v>
      </c>
      <c r="BA68" s="230">
        <v>15500</v>
      </c>
      <c r="BB68" s="230">
        <v>7750</v>
      </c>
      <c r="BC68" s="229">
        <v>0.5</v>
      </c>
      <c r="BD68" s="228">
        <v>0</v>
      </c>
      <c r="BE68" s="230">
        <v>2325</v>
      </c>
      <c r="BF68" s="230">
        <v>-2325</v>
      </c>
      <c r="BG68" s="229">
        <v>-1</v>
      </c>
      <c r="BH68" s="230">
        <v>2993050</v>
      </c>
      <c r="BI68" s="230">
        <v>729275</v>
      </c>
      <c r="BJ68" s="230">
        <v>2263775</v>
      </c>
      <c r="BK68" s="229">
        <v>3.1040999999999999</v>
      </c>
      <c r="BL68" s="230">
        <v>1094300</v>
      </c>
      <c r="BM68" s="230">
        <v>770350</v>
      </c>
      <c r="BN68" s="230">
        <v>323950</v>
      </c>
      <c r="BO68" s="229">
        <v>0.42049999999999998</v>
      </c>
      <c r="BP68" s="230">
        <v>5144450</v>
      </c>
      <c r="BQ68" s="230">
        <v>2480775</v>
      </c>
      <c r="BR68" s="230">
        <v>2663675</v>
      </c>
      <c r="BS68" s="229">
        <v>1.0737000000000001</v>
      </c>
      <c r="BT68" s="230">
        <v>1428920</v>
      </c>
      <c r="BU68" s="230">
        <v>1077160</v>
      </c>
      <c r="BV68" s="230">
        <v>351760</v>
      </c>
      <c r="BW68" s="229">
        <v>0.3266</v>
      </c>
      <c r="BX68" s="230">
        <v>9403075</v>
      </c>
      <c r="BY68" s="230">
        <v>9439500</v>
      </c>
      <c r="BZ68" s="230">
        <v>-36425</v>
      </c>
      <c r="CA68" s="229">
        <v>-3.8999999999999998E-3</v>
      </c>
      <c r="CB68" s="230">
        <v>7516725</v>
      </c>
      <c r="CC68" s="230">
        <v>7553925</v>
      </c>
      <c r="CD68" s="230">
        <v>-37200</v>
      </c>
      <c r="CE68" s="229">
        <v>-4.8999999999999998E-3</v>
      </c>
      <c r="CF68" s="230">
        <v>1884025</v>
      </c>
      <c r="CG68" s="230">
        <v>1883250</v>
      </c>
      <c r="CH68" s="228">
        <v>775</v>
      </c>
      <c r="CI68" s="229">
        <v>4.0000000000000002E-4</v>
      </c>
      <c r="CJ68" s="230">
        <v>2325</v>
      </c>
      <c r="CK68" s="230">
        <v>2325</v>
      </c>
      <c r="CL68" s="228">
        <v>0</v>
      </c>
      <c r="CM68" s="229">
        <v>0</v>
      </c>
      <c r="CN68" s="230">
        <v>1518225</v>
      </c>
      <c r="CO68" s="230">
        <v>1143125</v>
      </c>
      <c r="CP68" s="230">
        <v>375100</v>
      </c>
      <c r="CQ68" s="229">
        <v>0.3281</v>
      </c>
      <c r="CR68" s="230">
        <v>808325</v>
      </c>
      <c r="CS68" s="230">
        <v>644025</v>
      </c>
      <c r="CT68" s="230">
        <v>164300</v>
      </c>
      <c r="CU68" s="229">
        <v>0.25509999999999999</v>
      </c>
      <c r="CV68" s="230">
        <v>11729625</v>
      </c>
      <c r="CW68" s="230">
        <v>11226650</v>
      </c>
      <c r="CX68" s="230">
        <v>502975</v>
      </c>
      <c r="CY68" s="229">
        <v>4.48E-2</v>
      </c>
      <c r="CZ68" s="228">
        <v>31.32</v>
      </c>
      <c r="DA68" s="228">
        <v>30.13</v>
      </c>
      <c r="DB68" s="228">
        <v>1.19</v>
      </c>
      <c r="DC68" s="228">
        <v>1.19</v>
      </c>
      <c r="DD68" s="228">
        <v>35.31</v>
      </c>
      <c r="DE68" s="228">
        <v>35.130000000000003</v>
      </c>
      <c r="DF68" s="228">
        <v>-3.99</v>
      </c>
      <c r="DG68" s="228">
        <v>0.18</v>
      </c>
      <c r="DH68" s="228">
        <v>31.29</v>
      </c>
      <c r="DI68" s="228">
        <v>29.7</v>
      </c>
      <c r="DJ68" s="228">
        <v>1.59</v>
      </c>
      <c r="DK68" s="228">
        <v>1.59</v>
      </c>
      <c r="DL68" s="228">
        <v>31.39</v>
      </c>
      <c r="DM68" s="228">
        <v>30.54</v>
      </c>
      <c r="DN68" s="228">
        <v>0.85</v>
      </c>
      <c r="DO68" s="228">
        <v>0.85</v>
      </c>
      <c r="DP68" s="228">
        <v>0.53</v>
      </c>
      <c r="DQ68" s="228">
        <v>0.56000000000000005</v>
      </c>
      <c r="DR68" s="228">
        <v>-0.03</v>
      </c>
      <c r="DS68" s="229">
        <v>-5.3600000000000002E-2</v>
      </c>
      <c r="DT68" s="231">
        <v>1000</v>
      </c>
      <c r="DU68" s="228">
        <v>900</v>
      </c>
      <c r="DV68" s="228">
        <v>0.37</v>
      </c>
      <c r="DW68" s="228">
        <v>1.06</v>
      </c>
      <c r="DX68" s="228">
        <v>-0.69</v>
      </c>
      <c r="DY68" s="229">
        <v>-0.65090000000000003</v>
      </c>
      <c r="DZ68" s="229">
        <v>0.2006</v>
      </c>
      <c r="EA68" s="230">
        <v>1885575</v>
      </c>
      <c r="EB68" s="229">
        <v>6.7999999999999996E-3</v>
      </c>
      <c r="EC68" s="229">
        <v>0.2006</v>
      </c>
      <c r="ED68" s="228">
        <v>5.54</v>
      </c>
      <c r="EE68" s="229">
        <v>5.7999999999999996E-3</v>
      </c>
      <c r="EF68" s="230">
        <v>667805</v>
      </c>
      <c r="EG68" s="230">
        <v>511192</v>
      </c>
      <c r="EH68" s="229">
        <v>0.30640000000000001</v>
      </c>
      <c r="EI68" s="229">
        <v>0.46729999999999999</v>
      </c>
      <c r="EJ68" s="231">
        <v>29927.61</v>
      </c>
      <c r="EK68" s="231">
        <v>10354.709999999999</v>
      </c>
      <c r="EL68" s="231">
        <v>10094.1</v>
      </c>
      <c r="EM68" s="231">
        <v>3584</v>
      </c>
      <c r="EN68" s="231">
        <v>50376.42</v>
      </c>
      <c r="EO68" s="231">
        <v>23264.080000000002</v>
      </c>
      <c r="EP68" s="231">
        <v>27112.34</v>
      </c>
      <c r="EQ68" s="229">
        <v>1.1654</v>
      </c>
      <c r="ER68" s="231">
        <v>14479</v>
      </c>
      <c r="ES68" s="231">
        <v>7363</v>
      </c>
      <c r="ET68" s="231">
        <v>90029</v>
      </c>
      <c r="EU68" s="231">
        <v>70894446</v>
      </c>
      <c r="EV68" s="231">
        <v>111872</v>
      </c>
      <c r="EW68" s="231">
        <v>104231</v>
      </c>
      <c r="EX68" s="231">
        <v>7641</v>
      </c>
      <c r="EY68" s="229">
        <v>7.3300000000000004E-2</v>
      </c>
      <c r="EZ68" s="229">
        <v>0.16550000000000001</v>
      </c>
      <c r="FA68" s="227" t="s">
        <v>691</v>
      </c>
      <c r="FB68" s="161">
        <f t="shared" si="1"/>
        <v>1886350</v>
      </c>
    </row>
    <row r="69" spans="1:158" ht="17.25" thickBot="1" x14ac:dyDescent="0.3">
      <c r="A69" s="226">
        <v>46146</v>
      </c>
      <c r="B69" s="227" t="s">
        <v>193</v>
      </c>
      <c r="C69" s="227" t="s">
        <v>213</v>
      </c>
      <c r="D69" s="228">
        <v>3150</v>
      </c>
      <c r="E69" s="228">
        <v>165.37</v>
      </c>
      <c r="F69" s="228">
        <v>163.84</v>
      </c>
      <c r="G69" s="228">
        <v>1.53</v>
      </c>
      <c r="H69" s="229">
        <v>9.2999999999999992E-3</v>
      </c>
      <c r="I69" s="228">
        <v>164.48</v>
      </c>
      <c r="J69" s="228">
        <v>163.22999999999999</v>
      </c>
      <c r="K69" s="228">
        <v>1.25</v>
      </c>
      <c r="L69" s="229">
        <v>7.7000000000000002E-3</v>
      </c>
      <c r="M69" s="228">
        <v>165.37</v>
      </c>
      <c r="N69" s="228">
        <v>163.84</v>
      </c>
      <c r="O69" s="228">
        <v>1.53</v>
      </c>
      <c r="P69" s="229">
        <v>9.2999999999999992E-3</v>
      </c>
      <c r="Q69" s="228">
        <v>166.26</v>
      </c>
      <c r="R69" s="228">
        <v>164.92</v>
      </c>
      <c r="S69" s="228">
        <v>1.34</v>
      </c>
      <c r="T69" s="229">
        <v>8.0999999999999996E-3</v>
      </c>
      <c r="U69" s="228">
        <v>167.71</v>
      </c>
      <c r="V69" s="228">
        <v>166</v>
      </c>
      <c r="W69" s="228">
        <v>1.71</v>
      </c>
      <c r="X69" s="229">
        <v>1.03E-2</v>
      </c>
      <c r="Y69" s="228">
        <v>0.89</v>
      </c>
      <c r="Z69" s="228">
        <v>0.61</v>
      </c>
      <c r="AA69" s="228">
        <v>0.28000000000000003</v>
      </c>
      <c r="AB69" s="229">
        <v>5.4000000000000003E-3</v>
      </c>
      <c r="AC69" s="228">
        <v>0.89</v>
      </c>
      <c r="AD69" s="228">
        <v>0.61</v>
      </c>
      <c r="AE69" s="228">
        <v>0.28000000000000003</v>
      </c>
      <c r="AF69" s="229">
        <v>5.4000000000000003E-3</v>
      </c>
      <c r="AG69" s="228">
        <v>1.78</v>
      </c>
      <c r="AH69" s="228">
        <v>1.69</v>
      </c>
      <c r="AI69" s="228">
        <v>0.09</v>
      </c>
      <c r="AJ69" s="229">
        <v>1.0800000000000001E-2</v>
      </c>
      <c r="AK69" s="228">
        <v>3.23</v>
      </c>
      <c r="AL69" s="228">
        <v>2.77</v>
      </c>
      <c r="AM69" s="228">
        <v>0.46</v>
      </c>
      <c r="AN69" s="229">
        <v>1.9599999999999999E-2</v>
      </c>
      <c r="AO69" s="228">
        <v>166.83</v>
      </c>
      <c r="AP69" s="228">
        <v>168.02</v>
      </c>
      <c r="AQ69" s="228">
        <v>0</v>
      </c>
      <c r="AR69" s="230">
        <v>9094050</v>
      </c>
      <c r="AS69" s="230">
        <v>7982100</v>
      </c>
      <c r="AT69" s="230">
        <v>1111950</v>
      </c>
      <c r="AU69" s="229">
        <v>0.13930000000000001</v>
      </c>
      <c r="AV69" s="230">
        <v>8426250</v>
      </c>
      <c r="AW69" s="230">
        <v>7560000</v>
      </c>
      <c r="AX69" s="230">
        <v>866250</v>
      </c>
      <c r="AY69" s="229">
        <v>0.11459999999999999</v>
      </c>
      <c r="AZ69" s="230">
        <v>636300</v>
      </c>
      <c r="BA69" s="230">
        <v>396900</v>
      </c>
      <c r="BB69" s="230">
        <v>239400</v>
      </c>
      <c r="BC69" s="229">
        <v>0.60319999999999996</v>
      </c>
      <c r="BD69" s="230">
        <v>31500</v>
      </c>
      <c r="BE69" s="230">
        <v>25200</v>
      </c>
      <c r="BF69" s="230">
        <v>6300</v>
      </c>
      <c r="BG69" s="229">
        <v>0.25</v>
      </c>
      <c r="BH69" s="230">
        <v>17394300</v>
      </c>
      <c r="BI69" s="230">
        <v>12401550</v>
      </c>
      <c r="BJ69" s="230">
        <v>4992750</v>
      </c>
      <c r="BK69" s="229">
        <v>0.40260000000000001</v>
      </c>
      <c r="BL69" s="230">
        <v>8177400</v>
      </c>
      <c r="BM69" s="230">
        <v>8807400</v>
      </c>
      <c r="BN69" s="230">
        <v>-630000</v>
      </c>
      <c r="BO69" s="229">
        <v>-7.1499999999999994E-2</v>
      </c>
      <c r="BP69" s="230">
        <v>34665750</v>
      </c>
      <c r="BQ69" s="230">
        <v>29191050</v>
      </c>
      <c r="BR69" s="230">
        <v>5474700</v>
      </c>
      <c r="BS69" s="229">
        <v>0.1875</v>
      </c>
      <c r="BT69" s="230">
        <v>9212025</v>
      </c>
      <c r="BU69" s="230">
        <v>7841736</v>
      </c>
      <c r="BV69" s="230">
        <v>1370289</v>
      </c>
      <c r="BW69" s="229">
        <v>0.17469999999999999</v>
      </c>
      <c r="BX69" s="230">
        <v>75475650</v>
      </c>
      <c r="BY69" s="230">
        <v>75429550</v>
      </c>
      <c r="BZ69" s="230">
        <v>46100</v>
      </c>
      <c r="CA69" s="229">
        <v>5.9999999999999995E-4</v>
      </c>
      <c r="CB69" s="230">
        <v>69542550</v>
      </c>
      <c r="CC69" s="230">
        <v>69479550</v>
      </c>
      <c r="CD69" s="230">
        <v>63000</v>
      </c>
      <c r="CE69" s="229">
        <v>8.9999999999999998E-4</v>
      </c>
      <c r="CF69" s="230">
        <v>5890500</v>
      </c>
      <c r="CG69" s="230">
        <v>5925150</v>
      </c>
      <c r="CH69" s="230">
        <v>-34650</v>
      </c>
      <c r="CI69" s="229">
        <v>-5.7999999999999996E-3</v>
      </c>
      <c r="CJ69" s="230">
        <v>42600</v>
      </c>
      <c r="CK69" s="230">
        <v>24850</v>
      </c>
      <c r="CL69" s="230">
        <v>17750</v>
      </c>
      <c r="CM69" s="229">
        <v>0.71430000000000005</v>
      </c>
      <c r="CN69" s="230">
        <v>16855650</v>
      </c>
      <c r="CO69" s="230">
        <v>16420950</v>
      </c>
      <c r="CP69" s="230">
        <v>434700</v>
      </c>
      <c r="CQ69" s="229">
        <v>2.6499999999999999E-2</v>
      </c>
      <c r="CR69" s="230">
        <v>17847900</v>
      </c>
      <c r="CS69" s="230">
        <v>17548650</v>
      </c>
      <c r="CT69" s="230">
        <v>299250</v>
      </c>
      <c r="CU69" s="229">
        <v>1.7100000000000001E-2</v>
      </c>
      <c r="CV69" s="230">
        <v>110179200</v>
      </c>
      <c r="CW69" s="230">
        <v>109399150</v>
      </c>
      <c r="CX69" s="230">
        <v>780050</v>
      </c>
      <c r="CY69" s="229">
        <v>7.1000000000000004E-3</v>
      </c>
      <c r="CZ69" s="228">
        <v>31.2</v>
      </c>
      <c r="DA69" s="228">
        <v>31.05</v>
      </c>
      <c r="DB69" s="228">
        <v>0.15</v>
      </c>
      <c r="DC69" s="228">
        <v>0.15</v>
      </c>
      <c r="DD69" s="228">
        <v>35.17</v>
      </c>
      <c r="DE69" s="228">
        <v>35.24</v>
      </c>
      <c r="DF69" s="228">
        <v>-3.97</v>
      </c>
      <c r="DG69" s="228">
        <v>-7.0000000000000007E-2</v>
      </c>
      <c r="DH69" s="228">
        <v>30.97</v>
      </c>
      <c r="DI69" s="228">
        <v>30.42</v>
      </c>
      <c r="DJ69" s="228">
        <v>0.55000000000000004</v>
      </c>
      <c r="DK69" s="228">
        <v>0.55000000000000004</v>
      </c>
      <c r="DL69" s="228">
        <v>31.71</v>
      </c>
      <c r="DM69" s="228">
        <v>31.94</v>
      </c>
      <c r="DN69" s="228">
        <v>-0.23</v>
      </c>
      <c r="DO69" s="228">
        <v>-0.23</v>
      </c>
      <c r="DP69" s="228">
        <v>1.06</v>
      </c>
      <c r="DQ69" s="228">
        <v>1.07</v>
      </c>
      <c r="DR69" s="228">
        <v>-0.01</v>
      </c>
      <c r="DS69" s="229">
        <v>-9.2999999999999992E-3</v>
      </c>
      <c r="DT69" s="228">
        <v>170</v>
      </c>
      <c r="DU69" s="228">
        <v>192</v>
      </c>
      <c r="DV69" s="228">
        <v>0.47</v>
      </c>
      <c r="DW69" s="228">
        <v>0.71</v>
      </c>
      <c r="DX69" s="228">
        <v>-0.24</v>
      </c>
      <c r="DY69" s="229">
        <v>-0.33800000000000002</v>
      </c>
      <c r="DZ69" s="229">
        <v>7.8600000000000003E-2</v>
      </c>
      <c r="EA69" s="230">
        <v>5950000</v>
      </c>
      <c r="EB69" s="229">
        <v>5.4000000000000003E-3</v>
      </c>
      <c r="EC69" s="229">
        <v>7.8600000000000003E-2</v>
      </c>
      <c r="ED69" s="228">
        <v>1.19</v>
      </c>
      <c r="EE69" s="229">
        <v>7.1000000000000004E-3</v>
      </c>
      <c r="EF69" s="230">
        <v>4793084</v>
      </c>
      <c r="EG69" s="230">
        <v>4450516</v>
      </c>
      <c r="EH69" s="229">
        <v>7.6999999999999999E-2</v>
      </c>
      <c r="EI69" s="229">
        <v>0.52029999999999998</v>
      </c>
      <c r="EJ69" s="231">
        <v>30544.51</v>
      </c>
      <c r="EK69" s="231">
        <v>13405.44</v>
      </c>
      <c r="EL69" s="231">
        <v>15186.16</v>
      </c>
      <c r="EM69" s="231">
        <v>6305</v>
      </c>
      <c r="EN69" s="231">
        <v>59136.11</v>
      </c>
      <c r="EO69" s="231">
        <v>48741.77</v>
      </c>
      <c r="EP69" s="231">
        <v>10394.34</v>
      </c>
      <c r="EQ69" s="229">
        <v>0.21329999999999999</v>
      </c>
      <c r="ER69" s="231">
        <v>28667</v>
      </c>
      <c r="ES69" s="231">
        <v>29646</v>
      </c>
      <c r="ET69" s="231">
        <v>124868</v>
      </c>
      <c r="EU69" s="231">
        <v>471255857</v>
      </c>
      <c r="EV69" s="231">
        <v>183181</v>
      </c>
      <c r="EW69" s="231">
        <v>180577</v>
      </c>
      <c r="EX69" s="231">
        <v>2604</v>
      </c>
      <c r="EY69" s="229">
        <v>1.44E-2</v>
      </c>
      <c r="EZ69" s="229">
        <v>0.23380000000000001</v>
      </c>
      <c r="FA69" s="227" t="s">
        <v>555</v>
      </c>
      <c r="FB69" s="161">
        <f t="shared" si="1"/>
        <v>5933100</v>
      </c>
    </row>
    <row r="70" spans="1:158" ht="17.25" thickBot="1" x14ac:dyDescent="0.3">
      <c r="A70" s="226">
        <v>46146</v>
      </c>
      <c r="B70" s="227" t="s">
        <v>170</v>
      </c>
      <c r="C70" s="227" t="s">
        <v>214</v>
      </c>
      <c r="D70" s="228">
        <v>375</v>
      </c>
      <c r="E70" s="231">
        <v>2404.9</v>
      </c>
      <c r="F70" s="231">
        <v>2420.8000000000002</v>
      </c>
      <c r="G70" s="228">
        <v>-15.9</v>
      </c>
      <c r="H70" s="229">
        <v>-6.6E-3</v>
      </c>
      <c r="I70" s="231">
        <v>2393.6999999999998</v>
      </c>
      <c r="J70" s="231">
        <v>2406.3000000000002</v>
      </c>
      <c r="K70" s="228">
        <v>-12.6</v>
      </c>
      <c r="L70" s="229">
        <v>-5.1999999999999998E-3</v>
      </c>
      <c r="M70" s="231">
        <v>2404.9</v>
      </c>
      <c r="N70" s="231">
        <v>2420.8000000000002</v>
      </c>
      <c r="O70" s="228">
        <v>-15.9</v>
      </c>
      <c r="P70" s="229">
        <v>-6.6E-3</v>
      </c>
      <c r="Q70" s="231">
        <v>2419.8000000000002</v>
      </c>
      <c r="R70" s="231">
        <v>2438.6</v>
      </c>
      <c r="S70" s="228">
        <v>-18.8</v>
      </c>
      <c r="T70" s="229">
        <v>-7.7000000000000002E-3</v>
      </c>
      <c r="U70" s="231">
        <v>2451</v>
      </c>
      <c r="V70" s="231">
        <v>2449.6</v>
      </c>
      <c r="W70" s="228">
        <v>1.4</v>
      </c>
      <c r="X70" s="229">
        <v>5.9999999999999995E-4</v>
      </c>
      <c r="Y70" s="228">
        <v>11.2</v>
      </c>
      <c r="Z70" s="228">
        <v>14.5</v>
      </c>
      <c r="AA70" s="228">
        <v>-3.3</v>
      </c>
      <c r="AB70" s="229">
        <v>4.7000000000000002E-3</v>
      </c>
      <c r="AC70" s="228">
        <v>11.2</v>
      </c>
      <c r="AD70" s="228">
        <v>14.5</v>
      </c>
      <c r="AE70" s="228">
        <v>-3.3</v>
      </c>
      <c r="AF70" s="229">
        <v>4.7000000000000002E-3</v>
      </c>
      <c r="AG70" s="228">
        <v>26.1</v>
      </c>
      <c r="AH70" s="228">
        <v>32.299999999999997</v>
      </c>
      <c r="AI70" s="228">
        <v>-6.2</v>
      </c>
      <c r="AJ70" s="229">
        <v>1.09E-2</v>
      </c>
      <c r="AK70" s="228">
        <v>57.3</v>
      </c>
      <c r="AL70" s="228">
        <v>43.3</v>
      </c>
      <c r="AM70" s="228">
        <v>14</v>
      </c>
      <c r="AN70" s="229">
        <v>2.3900000000000001E-2</v>
      </c>
      <c r="AO70" s="231">
        <v>2414.0500000000002</v>
      </c>
      <c r="AP70" s="231">
        <v>2427.0300000000002</v>
      </c>
      <c r="AQ70" s="228">
        <v>0</v>
      </c>
      <c r="AR70" s="230">
        <v>777000</v>
      </c>
      <c r="AS70" s="230">
        <v>1318500</v>
      </c>
      <c r="AT70" s="230">
        <v>-541500</v>
      </c>
      <c r="AU70" s="229">
        <v>-0.41070000000000001</v>
      </c>
      <c r="AV70" s="230">
        <v>761250</v>
      </c>
      <c r="AW70" s="230">
        <v>1291875</v>
      </c>
      <c r="AX70" s="230">
        <v>-530625</v>
      </c>
      <c r="AY70" s="229">
        <v>-0.41070000000000001</v>
      </c>
      <c r="AZ70" s="230">
        <v>13875</v>
      </c>
      <c r="BA70" s="230">
        <v>24375</v>
      </c>
      <c r="BB70" s="230">
        <v>-10500</v>
      </c>
      <c r="BC70" s="229">
        <v>-0.43080000000000002</v>
      </c>
      <c r="BD70" s="230">
        <v>1875</v>
      </c>
      <c r="BE70" s="230">
        <v>2250</v>
      </c>
      <c r="BF70" s="228">
        <v>-375</v>
      </c>
      <c r="BG70" s="229">
        <v>-0.16669999999999999</v>
      </c>
      <c r="BH70" s="230">
        <v>1182000</v>
      </c>
      <c r="BI70" s="230">
        <v>2199375</v>
      </c>
      <c r="BJ70" s="230">
        <v>-1017375</v>
      </c>
      <c r="BK70" s="229">
        <v>-0.46260000000000001</v>
      </c>
      <c r="BL70" s="230">
        <v>667125</v>
      </c>
      <c r="BM70" s="230">
        <v>945000</v>
      </c>
      <c r="BN70" s="230">
        <v>-277875</v>
      </c>
      <c r="BO70" s="229">
        <v>-0.29399999999999998</v>
      </c>
      <c r="BP70" s="230">
        <v>2626125</v>
      </c>
      <c r="BQ70" s="230">
        <v>4462875</v>
      </c>
      <c r="BR70" s="230">
        <v>-1836750</v>
      </c>
      <c r="BS70" s="229">
        <v>-0.41160000000000002</v>
      </c>
      <c r="BT70" s="230">
        <v>465777</v>
      </c>
      <c r="BU70" s="230">
        <v>813703</v>
      </c>
      <c r="BV70" s="230">
        <v>-347926</v>
      </c>
      <c r="BW70" s="229">
        <v>-0.42759999999999998</v>
      </c>
      <c r="BX70" s="230">
        <v>11227125</v>
      </c>
      <c r="BY70" s="230">
        <v>11255250</v>
      </c>
      <c r="BZ70" s="230">
        <v>-28125</v>
      </c>
      <c r="CA70" s="229">
        <v>-2.5000000000000001E-3</v>
      </c>
      <c r="CB70" s="230">
        <v>11172750</v>
      </c>
      <c r="CC70" s="230">
        <v>11202750</v>
      </c>
      <c r="CD70" s="230">
        <v>-30000</v>
      </c>
      <c r="CE70" s="229">
        <v>-2.7000000000000001E-3</v>
      </c>
      <c r="CF70" s="230">
        <v>49875</v>
      </c>
      <c r="CG70" s="230">
        <v>49500</v>
      </c>
      <c r="CH70" s="228">
        <v>375</v>
      </c>
      <c r="CI70" s="229">
        <v>7.6E-3</v>
      </c>
      <c r="CJ70" s="230">
        <v>4500</v>
      </c>
      <c r="CK70" s="230">
        <v>3000</v>
      </c>
      <c r="CL70" s="230">
        <v>1500</v>
      </c>
      <c r="CM70" s="229">
        <v>0.5</v>
      </c>
      <c r="CN70" s="230">
        <v>1700625</v>
      </c>
      <c r="CO70" s="230">
        <v>1558125</v>
      </c>
      <c r="CP70" s="230">
        <v>142500</v>
      </c>
      <c r="CQ70" s="229">
        <v>9.1499999999999998E-2</v>
      </c>
      <c r="CR70" s="230">
        <v>925875</v>
      </c>
      <c r="CS70" s="230">
        <v>892875</v>
      </c>
      <c r="CT70" s="230">
        <v>33000</v>
      </c>
      <c r="CU70" s="229">
        <v>3.6999999999999998E-2</v>
      </c>
      <c r="CV70" s="230">
        <v>13853625</v>
      </c>
      <c r="CW70" s="230">
        <v>13706250</v>
      </c>
      <c r="CX70" s="230">
        <v>147375</v>
      </c>
      <c r="CY70" s="229">
        <v>1.0800000000000001E-2</v>
      </c>
      <c r="CZ70" s="228">
        <v>37.89</v>
      </c>
      <c r="DA70" s="228">
        <v>37.43</v>
      </c>
      <c r="DB70" s="228">
        <v>0.46</v>
      </c>
      <c r="DC70" s="228">
        <v>0.46</v>
      </c>
      <c r="DD70" s="228">
        <v>36</v>
      </c>
      <c r="DE70" s="228">
        <v>36.08</v>
      </c>
      <c r="DF70" s="228">
        <v>1.89</v>
      </c>
      <c r="DG70" s="228">
        <v>-0.08</v>
      </c>
      <c r="DH70" s="228">
        <v>37.58</v>
      </c>
      <c r="DI70" s="228">
        <v>37.33</v>
      </c>
      <c r="DJ70" s="228">
        <v>0.25</v>
      </c>
      <c r="DK70" s="228">
        <v>0.25</v>
      </c>
      <c r="DL70" s="228">
        <v>38.450000000000003</v>
      </c>
      <c r="DM70" s="228">
        <v>37.67</v>
      </c>
      <c r="DN70" s="228">
        <v>0.78</v>
      </c>
      <c r="DO70" s="228">
        <v>0.78</v>
      </c>
      <c r="DP70" s="228">
        <v>0.54</v>
      </c>
      <c r="DQ70" s="228">
        <v>0.56999999999999995</v>
      </c>
      <c r="DR70" s="228">
        <v>-0.03</v>
      </c>
      <c r="DS70" s="229">
        <v>-5.2600000000000001E-2</v>
      </c>
      <c r="DT70" s="231">
        <v>2400</v>
      </c>
      <c r="DU70" s="231">
        <v>2300</v>
      </c>
      <c r="DV70" s="228">
        <v>0.56000000000000005</v>
      </c>
      <c r="DW70" s="228">
        <v>0.43</v>
      </c>
      <c r="DX70" s="228">
        <v>0.13</v>
      </c>
      <c r="DY70" s="229">
        <v>0.30230000000000001</v>
      </c>
      <c r="DZ70" s="229">
        <v>4.7999999999999996E-3</v>
      </c>
      <c r="EA70" s="230">
        <v>52500</v>
      </c>
      <c r="EB70" s="229">
        <v>6.1999999999999998E-3</v>
      </c>
      <c r="EC70" s="229">
        <v>4.7999999999999996E-3</v>
      </c>
      <c r="ED70" s="228">
        <v>12.98</v>
      </c>
      <c r="EE70" s="229">
        <v>5.4000000000000003E-3</v>
      </c>
      <c r="EF70" s="230">
        <v>231940</v>
      </c>
      <c r="EG70" s="230">
        <v>394682</v>
      </c>
      <c r="EH70" s="229">
        <v>-0.4123</v>
      </c>
      <c r="EI70" s="229">
        <v>0.498</v>
      </c>
      <c r="EJ70" s="231">
        <v>30213.39</v>
      </c>
      <c r="EK70" s="231">
        <v>15694.96</v>
      </c>
      <c r="EL70" s="231">
        <v>18759.8</v>
      </c>
      <c r="EM70" s="231">
        <v>8938</v>
      </c>
      <c r="EN70" s="231">
        <v>64668.15</v>
      </c>
      <c r="EO70" s="231">
        <v>110871.86</v>
      </c>
      <c r="EP70" s="231">
        <v>-46203.71</v>
      </c>
      <c r="EQ70" s="229">
        <v>-0.41670000000000001</v>
      </c>
      <c r="ER70" s="231">
        <v>41476</v>
      </c>
      <c r="ES70" s="231">
        <v>20758</v>
      </c>
      <c r="ET70" s="231">
        <v>270011</v>
      </c>
      <c r="EU70" s="231">
        <v>15844372</v>
      </c>
      <c r="EV70" s="231">
        <v>332245</v>
      </c>
      <c r="EW70" s="231">
        <v>330413</v>
      </c>
      <c r="EX70" s="231">
        <v>1832</v>
      </c>
      <c r="EY70" s="229">
        <v>5.4999999999999997E-3</v>
      </c>
      <c r="EZ70" s="229">
        <v>0.87439999999999996</v>
      </c>
      <c r="FA70" s="227" t="s">
        <v>567</v>
      </c>
      <c r="FB70" s="161">
        <f t="shared" si="1"/>
        <v>54375</v>
      </c>
    </row>
    <row r="71" spans="1:158" ht="17.25" thickBot="1" x14ac:dyDescent="0.3">
      <c r="A71" s="226">
        <v>46146</v>
      </c>
      <c r="B71" s="227" t="s">
        <v>215</v>
      </c>
      <c r="C71" s="227" t="s">
        <v>630</v>
      </c>
      <c r="D71" s="228">
        <v>6975</v>
      </c>
      <c r="E71" s="228">
        <v>99.1</v>
      </c>
      <c r="F71" s="228">
        <v>96.96</v>
      </c>
      <c r="G71" s="228">
        <v>2.14</v>
      </c>
      <c r="H71" s="229">
        <v>2.2100000000000002E-2</v>
      </c>
      <c r="I71" s="228">
        <v>98.9</v>
      </c>
      <c r="J71" s="228">
        <v>96.43</v>
      </c>
      <c r="K71" s="228">
        <v>2.4700000000000002</v>
      </c>
      <c r="L71" s="229">
        <v>2.5600000000000001E-2</v>
      </c>
      <c r="M71" s="228">
        <v>99.1</v>
      </c>
      <c r="N71" s="228">
        <v>96.96</v>
      </c>
      <c r="O71" s="228">
        <v>2.14</v>
      </c>
      <c r="P71" s="229">
        <v>2.2100000000000002E-2</v>
      </c>
      <c r="Q71" s="228">
        <v>99.83</v>
      </c>
      <c r="R71" s="228">
        <v>97.66</v>
      </c>
      <c r="S71" s="228">
        <v>2.17</v>
      </c>
      <c r="T71" s="229">
        <v>2.2200000000000001E-2</v>
      </c>
      <c r="U71" s="228">
        <v>100.01</v>
      </c>
      <c r="V71" s="228">
        <v>98.06</v>
      </c>
      <c r="W71" s="228">
        <v>1.95</v>
      </c>
      <c r="X71" s="229">
        <v>1.9900000000000001E-2</v>
      </c>
      <c r="Y71" s="228">
        <v>0.2</v>
      </c>
      <c r="Z71" s="228">
        <v>0.53</v>
      </c>
      <c r="AA71" s="228">
        <v>-0.33</v>
      </c>
      <c r="AB71" s="229">
        <v>2E-3</v>
      </c>
      <c r="AC71" s="228">
        <v>0.2</v>
      </c>
      <c r="AD71" s="228">
        <v>0.53</v>
      </c>
      <c r="AE71" s="228">
        <v>-0.33</v>
      </c>
      <c r="AF71" s="229">
        <v>2E-3</v>
      </c>
      <c r="AG71" s="228">
        <v>0.93</v>
      </c>
      <c r="AH71" s="228">
        <v>1.23</v>
      </c>
      <c r="AI71" s="228">
        <v>-0.3</v>
      </c>
      <c r="AJ71" s="229">
        <v>9.4000000000000004E-3</v>
      </c>
      <c r="AK71" s="228">
        <v>1.1100000000000001</v>
      </c>
      <c r="AL71" s="228">
        <v>1.63</v>
      </c>
      <c r="AM71" s="228">
        <v>-0.52</v>
      </c>
      <c r="AN71" s="229">
        <v>1.12E-2</v>
      </c>
      <c r="AO71" s="228">
        <v>98.95</v>
      </c>
      <c r="AP71" s="228">
        <v>99.41</v>
      </c>
      <c r="AQ71" s="228">
        <v>0</v>
      </c>
      <c r="AR71" s="230">
        <v>25577325</v>
      </c>
      <c r="AS71" s="230">
        <v>14773050</v>
      </c>
      <c r="AT71" s="230">
        <v>10804275</v>
      </c>
      <c r="AU71" s="229">
        <v>0.73140000000000005</v>
      </c>
      <c r="AV71" s="230">
        <v>23826600</v>
      </c>
      <c r="AW71" s="230">
        <v>13740750</v>
      </c>
      <c r="AX71" s="230">
        <v>10085850</v>
      </c>
      <c r="AY71" s="229">
        <v>0.73399999999999999</v>
      </c>
      <c r="AZ71" s="230">
        <v>1632150</v>
      </c>
      <c r="BA71" s="230">
        <v>990450</v>
      </c>
      <c r="BB71" s="230">
        <v>641700</v>
      </c>
      <c r="BC71" s="229">
        <v>0.64790000000000003</v>
      </c>
      <c r="BD71" s="230">
        <v>118575</v>
      </c>
      <c r="BE71" s="230">
        <v>41850</v>
      </c>
      <c r="BF71" s="230">
        <v>76725</v>
      </c>
      <c r="BG71" s="229">
        <v>1.8332999999999999</v>
      </c>
      <c r="BH71" s="230">
        <v>72658575</v>
      </c>
      <c r="BI71" s="230">
        <v>28081350</v>
      </c>
      <c r="BJ71" s="230">
        <v>44577225</v>
      </c>
      <c r="BK71" s="229">
        <v>1.5873999999999999</v>
      </c>
      <c r="BL71" s="230">
        <v>31185225</v>
      </c>
      <c r="BM71" s="230">
        <v>15603075</v>
      </c>
      <c r="BN71" s="230">
        <v>15582150</v>
      </c>
      <c r="BO71" s="229">
        <v>0.99870000000000003</v>
      </c>
      <c r="BP71" s="230">
        <v>129421125</v>
      </c>
      <c r="BQ71" s="230">
        <v>58457475</v>
      </c>
      <c r="BR71" s="230">
        <v>70963650</v>
      </c>
      <c r="BS71" s="229">
        <v>1.2139</v>
      </c>
      <c r="BT71" s="230">
        <v>20672000</v>
      </c>
      <c r="BU71" s="230">
        <v>9110130</v>
      </c>
      <c r="BV71" s="230">
        <v>11561870</v>
      </c>
      <c r="BW71" s="229">
        <v>1.2690999999999999</v>
      </c>
      <c r="BX71" s="230">
        <v>133661925</v>
      </c>
      <c r="BY71" s="230">
        <v>133661925</v>
      </c>
      <c r="BZ71" s="228">
        <v>0</v>
      </c>
      <c r="CA71" s="229">
        <v>0</v>
      </c>
      <c r="CB71" s="230">
        <v>126986850</v>
      </c>
      <c r="CC71" s="230">
        <v>126882225</v>
      </c>
      <c r="CD71" s="230">
        <v>104625</v>
      </c>
      <c r="CE71" s="229">
        <v>8.0000000000000004E-4</v>
      </c>
      <c r="CF71" s="230">
        <v>6542550</v>
      </c>
      <c r="CG71" s="230">
        <v>6661125</v>
      </c>
      <c r="CH71" s="230">
        <v>-118575</v>
      </c>
      <c r="CI71" s="229">
        <v>-1.78E-2</v>
      </c>
      <c r="CJ71" s="230">
        <v>132525</v>
      </c>
      <c r="CK71" s="230">
        <v>118575</v>
      </c>
      <c r="CL71" s="230">
        <v>13950</v>
      </c>
      <c r="CM71" s="229">
        <v>0.1176</v>
      </c>
      <c r="CN71" s="230">
        <v>59524650</v>
      </c>
      <c r="CO71" s="230">
        <v>50171175</v>
      </c>
      <c r="CP71" s="230">
        <v>9353475</v>
      </c>
      <c r="CQ71" s="229">
        <v>0.18640000000000001</v>
      </c>
      <c r="CR71" s="230">
        <v>35174925</v>
      </c>
      <c r="CS71" s="230">
        <v>30341250</v>
      </c>
      <c r="CT71" s="230">
        <v>4833675</v>
      </c>
      <c r="CU71" s="229">
        <v>0.1593</v>
      </c>
      <c r="CV71" s="230">
        <v>228361500</v>
      </c>
      <c r="CW71" s="230">
        <v>214174350</v>
      </c>
      <c r="CX71" s="230">
        <v>14187150</v>
      </c>
      <c r="CY71" s="229">
        <v>6.6199999999999995E-2</v>
      </c>
      <c r="CZ71" s="228">
        <v>40.33</v>
      </c>
      <c r="DA71" s="228">
        <v>39.53</v>
      </c>
      <c r="DB71" s="228">
        <v>0.8</v>
      </c>
      <c r="DC71" s="228">
        <v>0.8</v>
      </c>
      <c r="DD71" s="228">
        <v>40.869999999999997</v>
      </c>
      <c r="DE71" s="228">
        <v>40.86</v>
      </c>
      <c r="DF71" s="228">
        <v>-0.54</v>
      </c>
      <c r="DG71" s="228">
        <v>0.01</v>
      </c>
      <c r="DH71" s="228">
        <v>40.200000000000003</v>
      </c>
      <c r="DI71" s="228">
        <v>39.69</v>
      </c>
      <c r="DJ71" s="228">
        <v>0.51</v>
      </c>
      <c r="DK71" s="228">
        <v>0.51</v>
      </c>
      <c r="DL71" s="228">
        <v>40.64</v>
      </c>
      <c r="DM71" s="228">
        <v>39.229999999999997</v>
      </c>
      <c r="DN71" s="228">
        <v>1.41</v>
      </c>
      <c r="DO71" s="228">
        <v>1.41</v>
      </c>
      <c r="DP71" s="228">
        <v>0.59</v>
      </c>
      <c r="DQ71" s="228">
        <v>0.6</v>
      </c>
      <c r="DR71" s="228">
        <v>-0.01</v>
      </c>
      <c r="DS71" s="229">
        <v>-1.67E-2</v>
      </c>
      <c r="DT71" s="228">
        <v>100</v>
      </c>
      <c r="DU71" s="228">
        <v>90</v>
      </c>
      <c r="DV71" s="228">
        <v>0.43</v>
      </c>
      <c r="DW71" s="228">
        <v>0.56000000000000005</v>
      </c>
      <c r="DX71" s="228">
        <v>-0.13</v>
      </c>
      <c r="DY71" s="229">
        <v>-0.2321</v>
      </c>
      <c r="DZ71" s="229">
        <v>4.99E-2</v>
      </c>
      <c r="EA71" s="230">
        <v>6779700</v>
      </c>
      <c r="EB71" s="229">
        <v>7.4000000000000003E-3</v>
      </c>
      <c r="EC71" s="229">
        <v>4.99E-2</v>
      </c>
      <c r="ED71" s="228">
        <v>0.46</v>
      </c>
      <c r="EE71" s="229">
        <v>4.5999999999999999E-3</v>
      </c>
      <c r="EF71" s="230">
        <v>10411841</v>
      </c>
      <c r="EG71" s="230">
        <v>3539498</v>
      </c>
      <c r="EH71" s="229">
        <v>1.9416</v>
      </c>
      <c r="EI71" s="229">
        <v>0.50370000000000004</v>
      </c>
      <c r="EJ71" s="231">
        <v>76704.41</v>
      </c>
      <c r="EK71" s="231">
        <v>29964.52</v>
      </c>
      <c r="EL71" s="231">
        <v>25317.13</v>
      </c>
      <c r="EM71" s="231">
        <v>6150</v>
      </c>
      <c r="EN71" s="231">
        <v>131986.06</v>
      </c>
      <c r="EO71" s="231">
        <v>57752.91</v>
      </c>
      <c r="EP71" s="231">
        <v>74233.149999999994</v>
      </c>
      <c r="EQ71" s="229">
        <v>1.2854000000000001</v>
      </c>
      <c r="ER71" s="231">
        <v>60839</v>
      </c>
      <c r="ES71" s="231">
        <v>33016</v>
      </c>
      <c r="ET71" s="231">
        <v>132508</v>
      </c>
      <c r="EU71" s="231">
        <v>534704421</v>
      </c>
      <c r="EV71" s="231">
        <v>226363</v>
      </c>
      <c r="EW71" s="231">
        <v>209063</v>
      </c>
      <c r="EX71" s="231">
        <v>17300</v>
      </c>
      <c r="EY71" s="229">
        <v>8.2799999999999999E-2</v>
      </c>
      <c r="EZ71" s="229">
        <v>0.42709999999999998</v>
      </c>
      <c r="FA71" s="227" t="s">
        <v>237</v>
      </c>
      <c r="FB71" s="161">
        <f t="shared" si="1"/>
        <v>6675075</v>
      </c>
    </row>
    <row r="72" spans="1:158" ht="17.25" thickBot="1" x14ac:dyDescent="0.3">
      <c r="A72" s="226">
        <v>46146</v>
      </c>
      <c r="B72" s="227" t="s">
        <v>168</v>
      </c>
      <c r="C72" s="227" t="s">
        <v>697</v>
      </c>
      <c r="D72" s="228">
        <v>275</v>
      </c>
      <c r="E72" s="231">
        <v>2216.6</v>
      </c>
      <c r="F72" s="231">
        <v>2253.3000000000002</v>
      </c>
      <c r="G72" s="228">
        <v>-36.700000000000003</v>
      </c>
      <c r="H72" s="229">
        <v>-1.6299999999999999E-2</v>
      </c>
      <c r="I72" s="231">
        <v>2216.3000000000002</v>
      </c>
      <c r="J72" s="231">
        <v>2251</v>
      </c>
      <c r="K72" s="228">
        <v>-34.700000000000003</v>
      </c>
      <c r="L72" s="229">
        <v>-1.54E-2</v>
      </c>
      <c r="M72" s="231">
        <v>2216.6</v>
      </c>
      <c r="N72" s="231">
        <v>2253.3000000000002</v>
      </c>
      <c r="O72" s="228">
        <v>-36.700000000000003</v>
      </c>
      <c r="P72" s="229">
        <v>-1.6299999999999999E-2</v>
      </c>
      <c r="Q72" s="231">
        <v>2203.8000000000002</v>
      </c>
      <c r="R72" s="231">
        <v>2236.6</v>
      </c>
      <c r="S72" s="228">
        <v>-32.799999999999997</v>
      </c>
      <c r="T72" s="229">
        <v>-1.47E-2</v>
      </c>
      <c r="U72" s="231">
        <v>2205.1</v>
      </c>
      <c r="V72" s="231">
        <v>2237</v>
      </c>
      <c r="W72" s="228">
        <v>-31.9</v>
      </c>
      <c r="X72" s="229">
        <v>-1.43E-2</v>
      </c>
      <c r="Y72" s="228">
        <v>0.3</v>
      </c>
      <c r="Z72" s="228">
        <v>2.2999999999999998</v>
      </c>
      <c r="AA72" s="228">
        <v>-2</v>
      </c>
      <c r="AB72" s="229">
        <v>1E-4</v>
      </c>
      <c r="AC72" s="228">
        <v>0.3</v>
      </c>
      <c r="AD72" s="228">
        <v>2.2999999999999998</v>
      </c>
      <c r="AE72" s="228">
        <v>-2</v>
      </c>
      <c r="AF72" s="229">
        <v>1E-4</v>
      </c>
      <c r="AG72" s="228">
        <v>-12.5</v>
      </c>
      <c r="AH72" s="228">
        <v>-14.4</v>
      </c>
      <c r="AI72" s="228">
        <v>1.9</v>
      </c>
      <c r="AJ72" s="229">
        <v>-5.5999999999999999E-3</v>
      </c>
      <c r="AK72" s="228">
        <v>-11.2</v>
      </c>
      <c r="AL72" s="228">
        <v>-14</v>
      </c>
      <c r="AM72" s="228">
        <v>2.8</v>
      </c>
      <c r="AN72" s="229">
        <v>-5.1000000000000004E-3</v>
      </c>
      <c r="AO72" s="231">
        <v>2246.33</v>
      </c>
      <c r="AP72" s="231">
        <v>2231.42</v>
      </c>
      <c r="AQ72" s="228">
        <v>0</v>
      </c>
      <c r="AR72" s="230">
        <v>311300</v>
      </c>
      <c r="AS72" s="230">
        <v>629200</v>
      </c>
      <c r="AT72" s="230">
        <v>-317900</v>
      </c>
      <c r="AU72" s="229">
        <v>-0.50519999999999998</v>
      </c>
      <c r="AV72" s="230">
        <v>292600</v>
      </c>
      <c r="AW72" s="230">
        <v>606650</v>
      </c>
      <c r="AX72" s="230">
        <v>-314050</v>
      </c>
      <c r="AY72" s="229">
        <v>-0.51770000000000005</v>
      </c>
      <c r="AZ72" s="230">
        <v>17600</v>
      </c>
      <c r="BA72" s="230">
        <v>21725</v>
      </c>
      <c r="BB72" s="230">
        <v>-4125</v>
      </c>
      <c r="BC72" s="229">
        <v>-0.18990000000000001</v>
      </c>
      <c r="BD72" s="230">
        <v>1100</v>
      </c>
      <c r="BE72" s="228">
        <v>825</v>
      </c>
      <c r="BF72" s="228">
        <v>275</v>
      </c>
      <c r="BG72" s="229">
        <v>0.33329999999999999</v>
      </c>
      <c r="BH72" s="230">
        <v>489775</v>
      </c>
      <c r="BI72" s="230">
        <v>1050775</v>
      </c>
      <c r="BJ72" s="230">
        <v>-561000</v>
      </c>
      <c r="BK72" s="229">
        <v>-0.53390000000000004</v>
      </c>
      <c r="BL72" s="230">
        <v>135850</v>
      </c>
      <c r="BM72" s="230">
        <v>289575</v>
      </c>
      <c r="BN72" s="230">
        <v>-153725</v>
      </c>
      <c r="BO72" s="229">
        <v>-0.53090000000000004</v>
      </c>
      <c r="BP72" s="230">
        <v>936925</v>
      </c>
      <c r="BQ72" s="230">
        <v>1969550</v>
      </c>
      <c r="BR72" s="230">
        <v>-1032625</v>
      </c>
      <c r="BS72" s="229">
        <v>-0.52429999999999999</v>
      </c>
      <c r="BT72" s="230">
        <v>493580</v>
      </c>
      <c r="BU72" s="230">
        <v>1147739</v>
      </c>
      <c r="BV72" s="230">
        <v>-654159</v>
      </c>
      <c r="BW72" s="229">
        <v>-0.56999999999999995</v>
      </c>
      <c r="BX72" s="230">
        <v>1600775</v>
      </c>
      <c r="BY72" s="230">
        <v>1565025</v>
      </c>
      <c r="BZ72" s="230">
        <v>35750</v>
      </c>
      <c r="CA72" s="229">
        <v>2.2800000000000001E-2</v>
      </c>
      <c r="CB72" s="230">
        <v>1560075</v>
      </c>
      <c r="CC72" s="230">
        <v>1527900</v>
      </c>
      <c r="CD72" s="230">
        <v>32175</v>
      </c>
      <c r="CE72" s="229">
        <v>2.1100000000000001E-2</v>
      </c>
      <c r="CF72" s="230">
        <v>36850</v>
      </c>
      <c r="CG72" s="230">
        <v>34375</v>
      </c>
      <c r="CH72" s="230">
        <v>2475</v>
      </c>
      <c r="CI72" s="229">
        <v>7.1999999999999995E-2</v>
      </c>
      <c r="CJ72" s="230">
        <v>3850</v>
      </c>
      <c r="CK72" s="230">
        <v>2750</v>
      </c>
      <c r="CL72" s="230">
        <v>1100</v>
      </c>
      <c r="CM72" s="229">
        <v>0.4</v>
      </c>
      <c r="CN72" s="230">
        <v>562925</v>
      </c>
      <c r="CO72" s="230">
        <v>542025</v>
      </c>
      <c r="CP72" s="230">
        <v>20900</v>
      </c>
      <c r="CQ72" s="229">
        <v>3.8600000000000002E-2</v>
      </c>
      <c r="CR72" s="230">
        <v>223025</v>
      </c>
      <c r="CS72" s="230">
        <v>220000</v>
      </c>
      <c r="CT72" s="230">
        <v>3025</v>
      </c>
      <c r="CU72" s="229">
        <v>1.38E-2</v>
      </c>
      <c r="CV72" s="230">
        <v>2386725</v>
      </c>
      <c r="CW72" s="230">
        <v>2327050</v>
      </c>
      <c r="CX72" s="230">
        <v>59675</v>
      </c>
      <c r="CY72" s="229">
        <v>2.5600000000000001E-2</v>
      </c>
      <c r="CZ72" s="228">
        <v>54.96</v>
      </c>
      <c r="DA72" s="228">
        <v>54.67</v>
      </c>
      <c r="DB72" s="228">
        <v>0.28999999999999998</v>
      </c>
      <c r="DC72" s="228">
        <v>0.28999999999999998</v>
      </c>
      <c r="DD72" s="228">
        <v>70.52</v>
      </c>
      <c r="DE72" s="228">
        <v>70.66</v>
      </c>
      <c r="DF72" s="228">
        <v>-15.56</v>
      </c>
      <c r="DG72" s="228">
        <v>-0.14000000000000001</v>
      </c>
      <c r="DH72" s="228">
        <v>54.35</v>
      </c>
      <c r="DI72" s="228">
        <v>54.22</v>
      </c>
      <c r="DJ72" s="228">
        <v>0.13</v>
      </c>
      <c r="DK72" s="228">
        <v>0.13</v>
      </c>
      <c r="DL72" s="228">
        <v>57.13</v>
      </c>
      <c r="DM72" s="228">
        <v>56.31</v>
      </c>
      <c r="DN72" s="228">
        <v>0.82</v>
      </c>
      <c r="DO72" s="228">
        <v>0.82</v>
      </c>
      <c r="DP72" s="228">
        <v>0.4</v>
      </c>
      <c r="DQ72" s="228">
        <v>0.41</v>
      </c>
      <c r="DR72" s="228">
        <v>-0.01</v>
      </c>
      <c r="DS72" s="229">
        <v>-2.4400000000000002E-2</v>
      </c>
      <c r="DT72" s="231">
        <v>2500</v>
      </c>
      <c r="DU72" s="231">
        <v>2200</v>
      </c>
      <c r="DV72" s="228">
        <v>0.28000000000000003</v>
      </c>
      <c r="DW72" s="228">
        <v>0.28000000000000003</v>
      </c>
      <c r="DX72" s="228">
        <v>0</v>
      </c>
      <c r="DY72" s="229">
        <v>0</v>
      </c>
      <c r="DZ72" s="229">
        <v>2.5399999999999999E-2</v>
      </c>
      <c r="EA72" s="230">
        <v>37125</v>
      </c>
      <c r="EB72" s="229">
        <v>-5.7999999999999996E-3</v>
      </c>
      <c r="EC72" s="229">
        <v>2.5399999999999999E-2</v>
      </c>
      <c r="ED72" s="228">
        <v>-14.91</v>
      </c>
      <c r="EE72" s="229">
        <v>-6.6E-3</v>
      </c>
      <c r="EF72" s="230">
        <v>153523</v>
      </c>
      <c r="EG72" s="230">
        <v>318703</v>
      </c>
      <c r="EH72" s="229">
        <v>-0.51829999999999998</v>
      </c>
      <c r="EI72" s="229">
        <v>0.311</v>
      </c>
      <c r="EJ72" s="231">
        <v>11910.09</v>
      </c>
      <c r="EK72" s="231">
        <v>2936.53</v>
      </c>
      <c r="EL72" s="231">
        <v>6989.86</v>
      </c>
      <c r="EM72" s="231">
        <v>4495</v>
      </c>
      <c r="EN72" s="231">
        <v>21836.48</v>
      </c>
      <c r="EO72" s="231">
        <v>46281.599999999999</v>
      </c>
      <c r="EP72" s="231">
        <v>-24445.119999999999</v>
      </c>
      <c r="EQ72" s="229">
        <v>-0.5282</v>
      </c>
      <c r="ER72" s="231">
        <v>13176</v>
      </c>
      <c r="ES72" s="231">
        <v>4709</v>
      </c>
      <c r="ET72" s="231">
        <v>35478</v>
      </c>
      <c r="EU72" s="231">
        <v>6329596</v>
      </c>
      <c r="EV72" s="231">
        <v>53362</v>
      </c>
      <c r="EW72" s="231">
        <v>52565</v>
      </c>
      <c r="EX72" s="228">
        <v>797</v>
      </c>
      <c r="EY72" s="229">
        <v>1.52E-2</v>
      </c>
      <c r="EZ72" s="229">
        <v>0.37709999999999999</v>
      </c>
      <c r="FA72" s="227" t="s">
        <v>566</v>
      </c>
      <c r="FB72" s="161">
        <f t="shared" si="1"/>
        <v>40700</v>
      </c>
    </row>
    <row r="73" spans="1:158" ht="17.25" thickBot="1" x14ac:dyDescent="0.3">
      <c r="A73" s="226">
        <v>46146</v>
      </c>
      <c r="B73" s="227" t="s">
        <v>168</v>
      </c>
      <c r="C73" s="227" t="s">
        <v>217</v>
      </c>
      <c r="D73" s="228">
        <v>500</v>
      </c>
      <c r="E73" s="231">
        <v>1073.9000000000001</v>
      </c>
      <c r="F73" s="231">
        <v>1064.8</v>
      </c>
      <c r="G73" s="228">
        <v>9.1</v>
      </c>
      <c r="H73" s="229">
        <v>8.5000000000000006E-3</v>
      </c>
      <c r="I73" s="231">
        <v>1072.5</v>
      </c>
      <c r="J73" s="231">
        <v>1067.0999999999999</v>
      </c>
      <c r="K73" s="228">
        <v>5.4</v>
      </c>
      <c r="L73" s="229">
        <v>5.1000000000000004E-3</v>
      </c>
      <c r="M73" s="231">
        <v>1073.9000000000001</v>
      </c>
      <c r="N73" s="231">
        <v>1064.8</v>
      </c>
      <c r="O73" s="228">
        <v>9.1</v>
      </c>
      <c r="P73" s="229">
        <v>8.5000000000000006E-3</v>
      </c>
      <c r="Q73" s="231">
        <v>1081.5</v>
      </c>
      <c r="R73" s="231">
        <v>1070.45</v>
      </c>
      <c r="S73" s="228">
        <v>11.05</v>
      </c>
      <c r="T73" s="229">
        <v>1.03E-2</v>
      </c>
      <c r="U73" s="231">
        <v>1090</v>
      </c>
      <c r="V73" s="231">
        <v>1076.9000000000001</v>
      </c>
      <c r="W73" s="228">
        <v>13.1</v>
      </c>
      <c r="X73" s="229">
        <v>1.2200000000000001E-2</v>
      </c>
      <c r="Y73" s="228">
        <v>1.4</v>
      </c>
      <c r="Z73" s="228">
        <v>-2.2999999999999998</v>
      </c>
      <c r="AA73" s="228">
        <v>3.7</v>
      </c>
      <c r="AB73" s="229">
        <v>1.2999999999999999E-3</v>
      </c>
      <c r="AC73" s="228">
        <v>1.4</v>
      </c>
      <c r="AD73" s="228">
        <v>-2.2999999999999998</v>
      </c>
      <c r="AE73" s="228">
        <v>3.7</v>
      </c>
      <c r="AF73" s="229">
        <v>1.2999999999999999E-3</v>
      </c>
      <c r="AG73" s="228">
        <v>9</v>
      </c>
      <c r="AH73" s="228">
        <v>3.35</v>
      </c>
      <c r="AI73" s="228">
        <v>5.65</v>
      </c>
      <c r="AJ73" s="229">
        <v>8.3999999999999995E-3</v>
      </c>
      <c r="AK73" s="228">
        <v>17.5</v>
      </c>
      <c r="AL73" s="228">
        <v>9.8000000000000007</v>
      </c>
      <c r="AM73" s="228">
        <v>7.7</v>
      </c>
      <c r="AN73" s="229">
        <v>1.6299999999999999E-2</v>
      </c>
      <c r="AO73" s="231">
        <v>1079.29</v>
      </c>
      <c r="AP73" s="231">
        <v>1087.07</v>
      </c>
      <c r="AQ73" s="228">
        <v>0</v>
      </c>
      <c r="AR73" s="230">
        <v>1415000</v>
      </c>
      <c r="AS73" s="230">
        <v>2362000</v>
      </c>
      <c r="AT73" s="230">
        <v>-947000</v>
      </c>
      <c r="AU73" s="229">
        <v>-0.40089999999999998</v>
      </c>
      <c r="AV73" s="230">
        <v>1385500</v>
      </c>
      <c r="AW73" s="230">
        <v>2318000</v>
      </c>
      <c r="AX73" s="230">
        <v>-932500</v>
      </c>
      <c r="AY73" s="229">
        <v>-0.40229999999999999</v>
      </c>
      <c r="AZ73" s="230">
        <v>29000</v>
      </c>
      <c r="BA73" s="230">
        <v>40000</v>
      </c>
      <c r="BB73" s="230">
        <v>-11000</v>
      </c>
      <c r="BC73" s="229">
        <v>-0.27500000000000002</v>
      </c>
      <c r="BD73" s="228">
        <v>500</v>
      </c>
      <c r="BE73" s="230">
        <v>4000</v>
      </c>
      <c r="BF73" s="230">
        <v>-3500</v>
      </c>
      <c r="BG73" s="229">
        <v>-0.875</v>
      </c>
      <c r="BH73" s="230">
        <v>1419000</v>
      </c>
      <c r="BI73" s="230">
        <v>1416000</v>
      </c>
      <c r="BJ73" s="230">
        <v>3000</v>
      </c>
      <c r="BK73" s="229">
        <v>2.0999999999999999E-3</v>
      </c>
      <c r="BL73" s="230">
        <v>496500</v>
      </c>
      <c r="BM73" s="230">
        <v>1513000</v>
      </c>
      <c r="BN73" s="230">
        <v>-1016500</v>
      </c>
      <c r="BO73" s="229">
        <v>-0.67179999999999995</v>
      </c>
      <c r="BP73" s="230">
        <v>3330500</v>
      </c>
      <c r="BQ73" s="230">
        <v>5291000</v>
      </c>
      <c r="BR73" s="230">
        <v>-1960500</v>
      </c>
      <c r="BS73" s="229">
        <v>-0.3705</v>
      </c>
      <c r="BT73" s="230">
        <v>1027990</v>
      </c>
      <c r="BU73" s="230">
        <v>1768931</v>
      </c>
      <c r="BV73" s="230">
        <v>-740941</v>
      </c>
      <c r="BW73" s="229">
        <v>-0.41889999999999999</v>
      </c>
      <c r="BX73" s="230">
        <v>13245500</v>
      </c>
      <c r="BY73" s="230">
        <v>13126000</v>
      </c>
      <c r="BZ73" s="230">
        <v>119500</v>
      </c>
      <c r="CA73" s="229">
        <v>9.1000000000000004E-3</v>
      </c>
      <c r="CB73" s="230">
        <v>12577000</v>
      </c>
      <c r="CC73" s="230">
        <v>12463000</v>
      </c>
      <c r="CD73" s="230">
        <v>114000</v>
      </c>
      <c r="CE73" s="229">
        <v>9.1000000000000004E-3</v>
      </c>
      <c r="CF73" s="230">
        <v>666000</v>
      </c>
      <c r="CG73" s="230">
        <v>660000</v>
      </c>
      <c r="CH73" s="230">
        <v>6000</v>
      </c>
      <c r="CI73" s="229">
        <v>9.1000000000000004E-3</v>
      </c>
      <c r="CJ73" s="230">
        <v>2500</v>
      </c>
      <c r="CK73" s="230">
        <v>3000</v>
      </c>
      <c r="CL73" s="228">
        <v>-500</v>
      </c>
      <c r="CM73" s="229">
        <v>-0.16669999999999999</v>
      </c>
      <c r="CN73" s="230">
        <v>1075500</v>
      </c>
      <c r="CO73" s="230">
        <v>846500</v>
      </c>
      <c r="CP73" s="230">
        <v>229000</v>
      </c>
      <c r="CQ73" s="229">
        <v>0.27050000000000002</v>
      </c>
      <c r="CR73" s="230">
        <v>819000</v>
      </c>
      <c r="CS73" s="230">
        <v>794500</v>
      </c>
      <c r="CT73" s="230">
        <v>24500</v>
      </c>
      <c r="CU73" s="229">
        <v>3.0800000000000001E-2</v>
      </c>
      <c r="CV73" s="230">
        <v>15140000</v>
      </c>
      <c r="CW73" s="230">
        <v>14767000</v>
      </c>
      <c r="CX73" s="230">
        <v>373000</v>
      </c>
      <c r="CY73" s="229">
        <v>2.53E-2</v>
      </c>
      <c r="CZ73" s="228">
        <v>34.369999999999997</v>
      </c>
      <c r="DA73" s="228">
        <v>32.75</v>
      </c>
      <c r="DB73" s="228">
        <v>1.62</v>
      </c>
      <c r="DC73" s="228">
        <v>1.62</v>
      </c>
      <c r="DD73" s="228">
        <v>30.61</v>
      </c>
      <c r="DE73" s="228">
        <v>30.68</v>
      </c>
      <c r="DF73" s="228">
        <v>3.76</v>
      </c>
      <c r="DG73" s="228">
        <v>-7.0000000000000007E-2</v>
      </c>
      <c r="DH73" s="228">
        <v>34.4</v>
      </c>
      <c r="DI73" s="228">
        <v>32.799999999999997</v>
      </c>
      <c r="DJ73" s="228">
        <v>1.6</v>
      </c>
      <c r="DK73" s="228">
        <v>1.6</v>
      </c>
      <c r="DL73" s="228">
        <v>34.26</v>
      </c>
      <c r="DM73" s="228">
        <v>32.700000000000003</v>
      </c>
      <c r="DN73" s="228">
        <v>1.56</v>
      </c>
      <c r="DO73" s="228">
        <v>1.56</v>
      </c>
      <c r="DP73" s="228">
        <v>0.76</v>
      </c>
      <c r="DQ73" s="228">
        <v>0.94</v>
      </c>
      <c r="DR73" s="228">
        <v>-0.18</v>
      </c>
      <c r="DS73" s="229">
        <v>-0.1915</v>
      </c>
      <c r="DT73" s="231">
        <v>1100</v>
      </c>
      <c r="DU73" s="231">
        <v>1000</v>
      </c>
      <c r="DV73" s="228">
        <v>0.35</v>
      </c>
      <c r="DW73" s="228">
        <v>1.07</v>
      </c>
      <c r="DX73" s="228">
        <v>-0.72</v>
      </c>
      <c r="DY73" s="229">
        <v>-0.67290000000000005</v>
      </c>
      <c r="DZ73" s="229">
        <v>5.0500000000000003E-2</v>
      </c>
      <c r="EA73" s="230">
        <v>663000</v>
      </c>
      <c r="EB73" s="229">
        <v>7.1000000000000004E-3</v>
      </c>
      <c r="EC73" s="229">
        <v>5.0500000000000003E-2</v>
      </c>
      <c r="ED73" s="228">
        <v>7.78</v>
      </c>
      <c r="EE73" s="229">
        <v>7.1999999999999998E-3</v>
      </c>
      <c r="EF73" s="230">
        <v>648009</v>
      </c>
      <c r="EG73" s="230">
        <v>1013624</v>
      </c>
      <c r="EH73" s="229">
        <v>-0.36070000000000002</v>
      </c>
      <c r="EI73" s="229">
        <v>0.63039999999999996</v>
      </c>
      <c r="EJ73" s="231">
        <v>16234.91</v>
      </c>
      <c r="EK73" s="231">
        <v>5346.48</v>
      </c>
      <c r="EL73" s="231">
        <v>15274.23</v>
      </c>
      <c r="EM73" s="231">
        <v>8268</v>
      </c>
      <c r="EN73" s="231">
        <v>36855.620000000003</v>
      </c>
      <c r="EO73" s="231">
        <v>57507.76</v>
      </c>
      <c r="EP73" s="231">
        <v>-20652.14</v>
      </c>
      <c r="EQ73" s="229">
        <v>-0.35909999999999997</v>
      </c>
      <c r="ER73" s="231">
        <v>12290</v>
      </c>
      <c r="ES73" s="231">
        <v>8516</v>
      </c>
      <c r="ET73" s="231">
        <v>142294</v>
      </c>
      <c r="EU73" s="231">
        <v>53250524</v>
      </c>
      <c r="EV73" s="231">
        <v>163100</v>
      </c>
      <c r="EW73" s="231">
        <v>157748</v>
      </c>
      <c r="EX73" s="231">
        <v>5352</v>
      </c>
      <c r="EY73" s="229">
        <v>3.39E-2</v>
      </c>
      <c r="EZ73" s="229">
        <v>0.2843</v>
      </c>
      <c r="FA73" s="227" t="s">
        <v>555</v>
      </c>
      <c r="FB73" s="161">
        <f t="shared" si="1"/>
        <v>668500</v>
      </c>
    </row>
    <row r="74" spans="1:158" ht="17.25" thickBot="1" x14ac:dyDescent="0.3">
      <c r="A74" s="226">
        <v>46146</v>
      </c>
      <c r="B74" s="227" t="s">
        <v>206</v>
      </c>
      <c r="C74" s="227" t="s">
        <v>218</v>
      </c>
      <c r="D74" s="228">
        <v>275</v>
      </c>
      <c r="E74" s="231">
        <v>1911</v>
      </c>
      <c r="F74" s="231">
        <v>1841</v>
      </c>
      <c r="G74" s="228">
        <v>70</v>
      </c>
      <c r="H74" s="229">
        <v>3.7999999999999999E-2</v>
      </c>
      <c r="I74" s="231">
        <v>1899.8</v>
      </c>
      <c r="J74" s="231">
        <v>1835.2</v>
      </c>
      <c r="K74" s="228">
        <v>64.599999999999994</v>
      </c>
      <c r="L74" s="229">
        <v>3.5200000000000002E-2</v>
      </c>
      <c r="M74" s="231">
        <v>1911</v>
      </c>
      <c r="N74" s="231">
        <v>1841</v>
      </c>
      <c r="O74" s="228">
        <v>70</v>
      </c>
      <c r="P74" s="229">
        <v>3.7999999999999999E-2</v>
      </c>
      <c r="Q74" s="231">
        <v>1924.9</v>
      </c>
      <c r="R74" s="231">
        <v>1850.5</v>
      </c>
      <c r="S74" s="228">
        <v>74.400000000000006</v>
      </c>
      <c r="T74" s="229">
        <v>4.02E-2</v>
      </c>
      <c r="U74" s="231">
        <v>1920.4</v>
      </c>
      <c r="V74" s="231">
        <v>1868</v>
      </c>
      <c r="W74" s="228">
        <v>52.4</v>
      </c>
      <c r="X74" s="229">
        <v>2.81E-2</v>
      </c>
      <c r="Y74" s="228">
        <v>11.2</v>
      </c>
      <c r="Z74" s="228">
        <v>5.8</v>
      </c>
      <c r="AA74" s="228">
        <v>5.4</v>
      </c>
      <c r="AB74" s="229">
        <v>5.8999999999999999E-3</v>
      </c>
      <c r="AC74" s="228">
        <v>11.2</v>
      </c>
      <c r="AD74" s="228">
        <v>5.8</v>
      </c>
      <c r="AE74" s="228">
        <v>5.4</v>
      </c>
      <c r="AF74" s="229">
        <v>5.8999999999999999E-3</v>
      </c>
      <c r="AG74" s="228">
        <v>25.1</v>
      </c>
      <c r="AH74" s="228">
        <v>15.3</v>
      </c>
      <c r="AI74" s="228">
        <v>9.8000000000000007</v>
      </c>
      <c r="AJ74" s="229">
        <v>1.32E-2</v>
      </c>
      <c r="AK74" s="228">
        <v>20.6</v>
      </c>
      <c r="AL74" s="228">
        <v>32.799999999999997</v>
      </c>
      <c r="AM74" s="228">
        <v>-12.2</v>
      </c>
      <c r="AN74" s="229">
        <v>1.0800000000000001E-2</v>
      </c>
      <c r="AO74" s="231">
        <v>1911.02</v>
      </c>
      <c r="AP74" s="231">
        <v>1915.95</v>
      </c>
      <c r="AQ74" s="228">
        <v>0</v>
      </c>
      <c r="AR74" s="230">
        <v>3281300</v>
      </c>
      <c r="AS74" s="230">
        <v>1101925</v>
      </c>
      <c r="AT74" s="230">
        <v>2179375</v>
      </c>
      <c r="AU74" s="229">
        <v>1.9778</v>
      </c>
      <c r="AV74" s="230">
        <v>3168825</v>
      </c>
      <c r="AW74" s="230">
        <v>1069200</v>
      </c>
      <c r="AX74" s="230">
        <v>2099625</v>
      </c>
      <c r="AY74" s="229">
        <v>1.9637</v>
      </c>
      <c r="AZ74" s="230">
        <v>99825</v>
      </c>
      <c r="BA74" s="230">
        <v>32175</v>
      </c>
      <c r="BB74" s="230">
        <v>67650</v>
      </c>
      <c r="BC74" s="229">
        <v>2.1025999999999998</v>
      </c>
      <c r="BD74" s="230">
        <v>12650</v>
      </c>
      <c r="BE74" s="228">
        <v>550</v>
      </c>
      <c r="BF74" s="230">
        <v>12100</v>
      </c>
      <c r="BG74" s="229">
        <v>22</v>
      </c>
      <c r="BH74" s="230">
        <v>16528050</v>
      </c>
      <c r="BI74" s="230">
        <v>1232825</v>
      </c>
      <c r="BJ74" s="230">
        <v>15295225</v>
      </c>
      <c r="BK74" s="229">
        <v>12.406599999999999</v>
      </c>
      <c r="BL74" s="230">
        <v>5724400</v>
      </c>
      <c r="BM74" s="230">
        <v>1266650</v>
      </c>
      <c r="BN74" s="230">
        <v>4457750</v>
      </c>
      <c r="BO74" s="229">
        <v>3.5192999999999999</v>
      </c>
      <c r="BP74" s="230">
        <v>25533750</v>
      </c>
      <c r="BQ74" s="230">
        <v>3601400</v>
      </c>
      <c r="BR74" s="230">
        <v>21932350</v>
      </c>
      <c r="BS74" s="229">
        <v>6.09</v>
      </c>
      <c r="BT74" s="230">
        <v>3041257</v>
      </c>
      <c r="BU74" s="230">
        <v>1189989</v>
      </c>
      <c r="BV74" s="230">
        <v>1851268</v>
      </c>
      <c r="BW74" s="229">
        <v>1.5557000000000001</v>
      </c>
      <c r="BX74" s="230">
        <v>7357125</v>
      </c>
      <c r="BY74" s="230">
        <v>7022150</v>
      </c>
      <c r="BZ74" s="230">
        <v>334975</v>
      </c>
      <c r="CA74" s="229">
        <v>4.7699999999999999E-2</v>
      </c>
      <c r="CB74" s="230">
        <v>6560675</v>
      </c>
      <c r="CC74" s="230">
        <v>6236175</v>
      </c>
      <c r="CD74" s="230">
        <v>324500</v>
      </c>
      <c r="CE74" s="229">
        <v>5.1999999999999998E-2</v>
      </c>
      <c r="CF74" s="230">
        <v>788975</v>
      </c>
      <c r="CG74" s="230">
        <v>784025</v>
      </c>
      <c r="CH74" s="230">
        <v>4950</v>
      </c>
      <c r="CI74" s="229">
        <v>6.3E-3</v>
      </c>
      <c r="CJ74" s="230">
        <v>7475</v>
      </c>
      <c r="CK74" s="230">
        <v>1950</v>
      </c>
      <c r="CL74" s="230">
        <v>5525</v>
      </c>
      <c r="CM74" s="229">
        <v>2.8332999999999999</v>
      </c>
      <c r="CN74" s="230">
        <v>2487700</v>
      </c>
      <c r="CO74" s="230">
        <v>1332375</v>
      </c>
      <c r="CP74" s="230">
        <v>1155325</v>
      </c>
      <c r="CQ74" s="229">
        <v>0.86709999999999998</v>
      </c>
      <c r="CR74" s="230">
        <v>1486650</v>
      </c>
      <c r="CS74" s="230">
        <v>1085700</v>
      </c>
      <c r="CT74" s="230">
        <v>400950</v>
      </c>
      <c r="CU74" s="229">
        <v>0.36930000000000002</v>
      </c>
      <c r="CV74" s="230">
        <v>11331475</v>
      </c>
      <c r="CW74" s="230">
        <v>9440225</v>
      </c>
      <c r="CX74" s="230">
        <v>1891250</v>
      </c>
      <c r="CY74" s="229">
        <v>0.20030000000000001</v>
      </c>
      <c r="CZ74" s="228">
        <v>38.520000000000003</v>
      </c>
      <c r="DA74" s="228">
        <v>41.61</v>
      </c>
      <c r="DB74" s="228">
        <v>-3.09</v>
      </c>
      <c r="DC74" s="228">
        <v>-3.09</v>
      </c>
      <c r="DD74" s="228">
        <v>45.52</v>
      </c>
      <c r="DE74" s="228">
        <v>45.35</v>
      </c>
      <c r="DF74" s="228">
        <v>-7</v>
      </c>
      <c r="DG74" s="228">
        <v>0.17</v>
      </c>
      <c r="DH74" s="228">
        <v>37.54</v>
      </c>
      <c r="DI74" s="228">
        <v>40.64</v>
      </c>
      <c r="DJ74" s="228">
        <v>-3.1</v>
      </c>
      <c r="DK74" s="228">
        <v>-3.1</v>
      </c>
      <c r="DL74" s="228">
        <v>41.34</v>
      </c>
      <c r="DM74" s="228">
        <v>42.55</v>
      </c>
      <c r="DN74" s="228">
        <v>-1.21</v>
      </c>
      <c r="DO74" s="228">
        <v>-1.21</v>
      </c>
      <c r="DP74" s="228">
        <v>0.6</v>
      </c>
      <c r="DQ74" s="228">
        <v>0.81</v>
      </c>
      <c r="DR74" s="228">
        <v>-0.21</v>
      </c>
      <c r="DS74" s="229">
        <v>-0.25929999999999997</v>
      </c>
      <c r="DT74" s="231">
        <v>2000</v>
      </c>
      <c r="DU74" s="231">
        <v>1800</v>
      </c>
      <c r="DV74" s="228">
        <v>0.35</v>
      </c>
      <c r="DW74" s="228">
        <v>1.03</v>
      </c>
      <c r="DX74" s="228">
        <v>-0.68</v>
      </c>
      <c r="DY74" s="229">
        <v>-0.66020000000000001</v>
      </c>
      <c r="DZ74" s="229">
        <v>0.10829999999999999</v>
      </c>
      <c r="EA74" s="230">
        <v>785975</v>
      </c>
      <c r="EB74" s="229">
        <v>7.3000000000000001E-3</v>
      </c>
      <c r="EC74" s="229">
        <v>0.10829999999999999</v>
      </c>
      <c r="ED74" s="228">
        <v>4.93</v>
      </c>
      <c r="EE74" s="229">
        <v>2.5999999999999999E-3</v>
      </c>
      <c r="EF74" s="230">
        <v>864232</v>
      </c>
      <c r="EG74" s="230">
        <v>608144</v>
      </c>
      <c r="EH74" s="229">
        <v>0.42109999999999997</v>
      </c>
      <c r="EI74" s="229">
        <v>0.28420000000000001</v>
      </c>
      <c r="EJ74" s="231">
        <v>334199.98</v>
      </c>
      <c r="EK74" s="231">
        <v>107810.51</v>
      </c>
      <c r="EL74" s="231">
        <v>62755.98</v>
      </c>
      <c r="EM74" s="231">
        <v>6790</v>
      </c>
      <c r="EN74" s="231">
        <v>504766.47</v>
      </c>
      <c r="EO74" s="231">
        <v>67989.759999999995</v>
      </c>
      <c r="EP74" s="231">
        <v>436776.71</v>
      </c>
      <c r="EQ74" s="229">
        <v>6.4241999999999999</v>
      </c>
      <c r="ER74" s="231">
        <v>48547</v>
      </c>
      <c r="ES74" s="231">
        <v>26685</v>
      </c>
      <c r="ET74" s="231">
        <v>140705</v>
      </c>
      <c r="EU74" s="231">
        <v>23870110</v>
      </c>
      <c r="EV74" s="231">
        <v>215937</v>
      </c>
      <c r="EW74" s="231">
        <v>173684</v>
      </c>
      <c r="EX74" s="231">
        <v>42253</v>
      </c>
      <c r="EY74" s="229">
        <v>0.24329999999999999</v>
      </c>
      <c r="EZ74" s="229">
        <v>0.47470000000000001</v>
      </c>
      <c r="FA74" s="227" t="s">
        <v>555</v>
      </c>
      <c r="FB74" s="161">
        <f t="shared" si="1"/>
        <v>796450</v>
      </c>
    </row>
    <row r="75" spans="1:158" ht="17.25" thickBot="1" x14ac:dyDescent="0.3">
      <c r="A75" s="226">
        <v>46146</v>
      </c>
      <c r="B75" s="227" t="s">
        <v>157</v>
      </c>
      <c r="C75" s="227" t="s">
        <v>219</v>
      </c>
      <c r="D75" s="228">
        <v>250</v>
      </c>
      <c r="E75" s="231">
        <v>2871.8</v>
      </c>
      <c r="F75" s="231">
        <v>2802.8</v>
      </c>
      <c r="G75" s="228">
        <v>69</v>
      </c>
      <c r="H75" s="229">
        <v>2.46E-2</v>
      </c>
      <c r="I75" s="231">
        <v>2856</v>
      </c>
      <c r="J75" s="231">
        <v>2794.5</v>
      </c>
      <c r="K75" s="228">
        <v>61.5</v>
      </c>
      <c r="L75" s="229">
        <v>2.1999999999999999E-2</v>
      </c>
      <c r="M75" s="231">
        <v>2871.8</v>
      </c>
      <c r="N75" s="231">
        <v>2802.8</v>
      </c>
      <c r="O75" s="228">
        <v>69</v>
      </c>
      <c r="P75" s="229">
        <v>2.46E-2</v>
      </c>
      <c r="Q75" s="231">
        <v>2891.8</v>
      </c>
      <c r="R75" s="231">
        <v>2821.8</v>
      </c>
      <c r="S75" s="228">
        <v>70</v>
      </c>
      <c r="T75" s="229">
        <v>2.4799999999999999E-2</v>
      </c>
      <c r="U75" s="231">
        <v>2886.2</v>
      </c>
      <c r="V75" s="231">
        <v>2838.6</v>
      </c>
      <c r="W75" s="228">
        <v>47.6</v>
      </c>
      <c r="X75" s="229">
        <v>1.6799999999999999E-2</v>
      </c>
      <c r="Y75" s="228">
        <v>15.8</v>
      </c>
      <c r="Z75" s="228">
        <v>8.3000000000000007</v>
      </c>
      <c r="AA75" s="228">
        <v>7.5</v>
      </c>
      <c r="AB75" s="229">
        <v>5.4999999999999997E-3</v>
      </c>
      <c r="AC75" s="228">
        <v>15.8</v>
      </c>
      <c r="AD75" s="228">
        <v>8.3000000000000007</v>
      </c>
      <c r="AE75" s="228">
        <v>7.5</v>
      </c>
      <c r="AF75" s="229">
        <v>5.4999999999999997E-3</v>
      </c>
      <c r="AG75" s="228">
        <v>35.799999999999997</v>
      </c>
      <c r="AH75" s="228">
        <v>27.3</v>
      </c>
      <c r="AI75" s="228">
        <v>8.5</v>
      </c>
      <c r="AJ75" s="229">
        <v>1.2500000000000001E-2</v>
      </c>
      <c r="AK75" s="228">
        <v>30.2</v>
      </c>
      <c r="AL75" s="228">
        <v>44.1</v>
      </c>
      <c r="AM75" s="228">
        <v>-13.9</v>
      </c>
      <c r="AN75" s="229">
        <v>1.06E-2</v>
      </c>
      <c r="AO75" s="231">
        <v>2856.42</v>
      </c>
      <c r="AP75" s="231">
        <v>2875.62</v>
      </c>
      <c r="AQ75" s="228">
        <v>0</v>
      </c>
      <c r="AR75" s="230">
        <v>1106750</v>
      </c>
      <c r="AS75" s="230">
        <v>969750</v>
      </c>
      <c r="AT75" s="230">
        <v>137000</v>
      </c>
      <c r="AU75" s="229">
        <v>0.14130000000000001</v>
      </c>
      <c r="AV75" s="230">
        <v>1052500</v>
      </c>
      <c r="AW75" s="230">
        <v>942750</v>
      </c>
      <c r="AX75" s="230">
        <v>109750</v>
      </c>
      <c r="AY75" s="229">
        <v>0.1164</v>
      </c>
      <c r="AZ75" s="230">
        <v>53250</v>
      </c>
      <c r="BA75" s="230">
        <v>24500</v>
      </c>
      <c r="BB75" s="230">
        <v>28750</v>
      </c>
      <c r="BC75" s="229">
        <v>1.1735</v>
      </c>
      <c r="BD75" s="230">
        <v>1000</v>
      </c>
      <c r="BE75" s="230">
        <v>2500</v>
      </c>
      <c r="BF75" s="230">
        <v>-1500</v>
      </c>
      <c r="BG75" s="229">
        <v>-0.6</v>
      </c>
      <c r="BH75" s="230">
        <v>2004750</v>
      </c>
      <c r="BI75" s="230">
        <v>759000</v>
      </c>
      <c r="BJ75" s="230">
        <v>1245750</v>
      </c>
      <c r="BK75" s="229">
        <v>1.6413</v>
      </c>
      <c r="BL75" s="230">
        <v>601000</v>
      </c>
      <c r="BM75" s="230">
        <v>379500</v>
      </c>
      <c r="BN75" s="230">
        <v>221500</v>
      </c>
      <c r="BO75" s="229">
        <v>0.5837</v>
      </c>
      <c r="BP75" s="230">
        <v>3712500</v>
      </c>
      <c r="BQ75" s="230">
        <v>2108250</v>
      </c>
      <c r="BR75" s="230">
        <v>1604250</v>
      </c>
      <c r="BS75" s="229">
        <v>0.76090000000000002</v>
      </c>
      <c r="BT75" s="230">
        <v>1024502</v>
      </c>
      <c r="BU75" s="230">
        <v>1206394</v>
      </c>
      <c r="BV75" s="230">
        <v>-181892</v>
      </c>
      <c r="BW75" s="229">
        <v>-0.15079999999999999</v>
      </c>
      <c r="BX75" s="230">
        <v>14712500</v>
      </c>
      <c r="BY75" s="230">
        <v>14502500</v>
      </c>
      <c r="BZ75" s="230">
        <v>210000</v>
      </c>
      <c r="CA75" s="229">
        <v>1.4500000000000001E-2</v>
      </c>
      <c r="CB75" s="230">
        <v>13909750</v>
      </c>
      <c r="CC75" s="230">
        <v>13722000</v>
      </c>
      <c r="CD75" s="230">
        <v>187750</v>
      </c>
      <c r="CE75" s="229">
        <v>1.37E-2</v>
      </c>
      <c r="CF75" s="230">
        <v>799000</v>
      </c>
      <c r="CG75" s="230">
        <v>777500</v>
      </c>
      <c r="CH75" s="230">
        <v>21500</v>
      </c>
      <c r="CI75" s="229">
        <v>2.7699999999999999E-2</v>
      </c>
      <c r="CJ75" s="230">
        <v>3750</v>
      </c>
      <c r="CK75" s="230">
        <v>3000</v>
      </c>
      <c r="CL75" s="228">
        <v>750</v>
      </c>
      <c r="CM75" s="229">
        <v>0.25</v>
      </c>
      <c r="CN75" s="230">
        <v>1065500</v>
      </c>
      <c r="CO75" s="230">
        <v>932000</v>
      </c>
      <c r="CP75" s="230">
        <v>133500</v>
      </c>
      <c r="CQ75" s="229">
        <v>0.14319999999999999</v>
      </c>
      <c r="CR75" s="230">
        <v>776750</v>
      </c>
      <c r="CS75" s="230">
        <v>758000</v>
      </c>
      <c r="CT75" s="230">
        <v>18750</v>
      </c>
      <c r="CU75" s="229">
        <v>2.47E-2</v>
      </c>
      <c r="CV75" s="230">
        <v>16554750</v>
      </c>
      <c r="CW75" s="230">
        <v>16192500</v>
      </c>
      <c r="CX75" s="230">
        <v>362250</v>
      </c>
      <c r="CY75" s="229">
        <v>2.24E-2</v>
      </c>
      <c r="CZ75" s="228">
        <v>27.46</v>
      </c>
      <c r="DA75" s="228">
        <v>27.72</v>
      </c>
      <c r="DB75" s="228">
        <v>-0.26</v>
      </c>
      <c r="DC75" s="228">
        <v>-0.26</v>
      </c>
      <c r="DD75" s="228">
        <v>28.08</v>
      </c>
      <c r="DE75" s="228">
        <v>27.96</v>
      </c>
      <c r="DF75" s="228">
        <v>-0.62</v>
      </c>
      <c r="DG75" s="228">
        <v>0.12</v>
      </c>
      <c r="DH75" s="228">
        <v>27.06</v>
      </c>
      <c r="DI75" s="228">
        <v>27.46</v>
      </c>
      <c r="DJ75" s="228">
        <v>-0.4</v>
      </c>
      <c r="DK75" s="228">
        <v>-0.4</v>
      </c>
      <c r="DL75" s="228">
        <v>28.78</v>
      </c>
      <c r="DM75" s="228">
        <v>28.24</v>
      </c>
      <c r="DN75" s="228">
        <v>0.54</v>
      </c>
      <c r="DO75" s="228">
        <v>0.54</v>
      </c>
      <c r="DP75" s="228">
        <v>0.73</v>
      </c>
      <c r="DQ75" s="228">
        <v>0.81</v>
      </c>
      <c r="DR75" s="228">
        <v>-0.08</v>
      </c>
      <c r="DS75" s="229">
        <v>-9.8799999999999999E-2</v>
      </c>
      <c r="DT75" s="231">
        <v>2800</v>
      </c>
      <c r="DU75" s="231">
        <v>2800</v>
      </c>
      <c r="DV75" s="228">
        <v>0.3</v>
      </c>
      <c r="DW75" s="228">
        <v>0.5</v>
      </c>
      <c r="DX75" s="228">
        <v>-0.2</v>
      </c>
      <c r="DY75" s="229">
        <v>-0.4</v>
      </c>
      <c r="DZ75" s="229">
        <v>5.4600000000000003E-2</v>
      </c>
      <c r="EA75" s="230">
        <v>780500</v>
      </c>
      <c r="EB75" s="229">
        <v>7.0000000000000001E-3</v>
      </c>
      <c r="EC75" s="229">
        <v>5.4600000000000003E-2</v>
      </c>
      <c r="ED75" s="228">
        <v>19.2</v>
      </c>
      <c r="EE75" s="229">
        <v>6.7000000000000002E-3</v>
      </c>
      <c r="EF75" s="230">
        <v>596864</v>
      </c>
      <c r="EG75" s="230">
        <v>721314</v>
      </c>
      <c r="EH75" s="229">
        <v>-0.17249999999999999</v>
      </c>
      <c r="EI75" s="229">
        <v>0.58260000000000001</v>
      </c>
      <c r="EJ75" s="231">
        <v>59819.73</v>
      </c>
      <c r="EK75" s="231">
        <v>16721.990000000002</v>
      </c>
      <c r="EL75" s="231">
        <v>31623.96</v>
      </c>
      <c r="EM75" s="231">
        <v>12971</v>
      </c>
      <c r="EN75" s="231">
        <v>108165.68</v>
      </c>
      <c r="EO75" s="231">
        <v>59510.92</v>
      </c>
      <c r="EP75" s="231">
        <v>48654.76</v>
      </c>
      <c r="EQ75" s="229">
        <v>0.81759999999999999</v>
      </c>
      <c r="ER75" s="231">
        <v>31411</v>
      </c>
      <c r="ES75" s="231">
        <v>21060</v>
      </c>
      <c r="ET75" s="231">
        <v>422674</v>
      </c>
      <c r="EU75" s="231">
        <v>38401443</v>
      </c>
      <c r="EV75" s="231">
        <v>475145</v>
      </c>
      <c r="EW75" s="231">
        <v>454348</v>
      </c>
      <c r="EX75" s="231">
        <v>20797</v>
      </c>
      <c r="EY75" s="229">
        <v>4.58E-2</v>
      </c>
      <c r="EZ75" s="229">
        <v>0.43109999999999998</v>
      </c>
      <c r="FA75" s="227" t="s">
        <v>555</v>
      </c>
      <c r="FB75" s="161">
        <f t="shared" si="1"/>
        <v>802750</v>
      </c>
    </row>
    <row r="76" spans="1:158" ht="17.25" thickBot="1" x14ac:dyDescent="0.3">
      <c r="A76" s="226">
        <v>46146</v>
      </c>
      <c r="B76" s="227" t="s">
        <v>184</v>
      </c>
      <c r="C76" s="227" t="s">
        <v>513</v>
      </c>
      <c r="D76" s="228">
        <v>150</v>
      </c>
      <c r="E76" s="231">
        <v>4580.2</v>
      </c>
      <c r="F76" s="231">
        <v>4364.2</v>
      </c>
      <c r="G76" s="228">
        <v>216</v>
      </c>
      <c r="H76" s="229">
        <v>4.9500000000000002E-2</v>
      </c>
      <c r="I76" s="231">
        <v>4559.5</v>
      </c>
      <c r="J76" s="231">
        <v>4338.8</v>
      </c>
      <c r="K76" s="228">
        <v>220.7</v>
      </c>
      <c r="L76" s="229">
        <v>5.0900000000000001E-2</v>
      </c>
      <c r="M76" s="231">
        <v>4580.2</v>
      </c>
      <c r="N76" s="231">
        <v>4364.2</v>
      </c>
      <c r="O76" s="228">
        <v>216</v>
      </c>
      <c r="P76" s="229">
        <v>4.9500000000000002E-2</v>
      </c>
      <c r="Q76" s="231">
        <v>4607.5</v>
      </c>
      <c r="R76" s="231">
        <v>4394.2</v>
      </c>
      <c r="S76" s="228">
        <v>213.3</v>
      </c>
      <c r="T76" s="229">
        <v>4.8500000000000001E-2</v>
      </c>
      <c r="U76" s="231">
        <v>4631.8</v>
      </c>
      <c r="V76" s="231">
        <v>4409.3999999999996</v>
      </c>
      <c r="W76" s="228">
        <v>222.4</v>
      </c>
      <c r="X76" s="229">
        <v>5.04E-2</v>
      </c>
      <c r="Y76" s="228">
        <v>20.7</v>
      </c>
      <c r="Z76" s="228">
        <v>25.4</v>
      </c>
      <c r="AA76" s="228">
        <v>-4.7</v>
      </c>
      <c r="AB76" s="229">
        <v>4.4999999999999997E-3</v>
      </c>
      <c r="AC76" s="228">
        <v>20.7</v>
      </c>
      <c r="AD76" s="228">
        <v>25.4</v>
      </c>
      <c r="AE76" s="228">
        <v>-4.7</v>
      </c>
      <c r="AF76" s="229">
        <v>4.4999999999999997E-3</v>
      </c>
      <c r="AG76" s="228">
        <v>48</v>
      </c>
      <c r="AH76" s="228">
        <v>55.4</v>
      </c>
      <c r="AI76" s="228">
        <v>-7.4</v>
      </c>
      <c r="AJ76" s="229">
        <v>1.0500000000000001E-2</v>
      </c>
      <c r="AK76" s="228">
        <v>72.3</v>
      </c>
      <c r="AL76" s="228">
        <v>70.599999999999994</v>
      </c>
      <c r="AM76" s="228">
        <v>1.7</v>
      </c>
      <c r="AN76" s="229">
        <v>1.5900000000000001E-2</v>
      </c>
      <c r="AO76" s="231">
        <v>4551.78</v>
      </c>
      <c r="AP76" s="231">
        <v>4571.25</v>
      </c>
      <c r="AQ76" s="228">
        <v>0</v>
      </c>
      <c r="AR76" s="230">
        <v>2203200</v>
      </c>
      <c r="AS76" s="230">
        <v>632250</v>
      </c>
      <c r="AT76" s="230">
        <v>1570950</v>
      </c>
      <c r="AU76" s="229">
        <v>2.4847000000000001</v>
      </c>
      <c r="AV76" s="230">
        <v>2061450</v>
      </c>
      <c r="AW76" s="230">
        <v>597000</v>
      </c>
      <c r="AX76" s="230">
        <v>1464450</v>
      </c>
      <c r="AY76" s="229">
        <v>2.4529999999999998</v>
      </c>
      <c r="AZ76" s="230">
        <v>127950</v>
      </c>
      <c r="BA76" s="230">
        <v>26700</v>
      </c>
      <c r="BB76" s="230">
        <v>101250</v>
      </c>
      <c r="BC76" s="229">
        <v>3.7921</v>
      </c>
      <c r="BD76" s="230">
        <v>13800</v>
      </c>
      <c r="BE76" s="230">
        <v>8550</v>
      </c>
      <c r="BF76" s="230">
        <v>5250</v>
      </c>
      <c r="BG76" s="229">
        <v>0.61399999999999999</v>
      </c>
      <c r="BH76" s="230">
        <v>11447250</v>
      </c>
      <c r="BI76" s="230">
        <v>1981200</v>
      </c>
      <c r="BJ76" s="230">
        <v>9466050</v>
      </c>
      <c r="BK76" s="229">
        <v>4.7778999999999998</v>
      </c>
      <c r="BL76" s="230">
        <v>4410900</v>
      </c>
      <c r="BM76" s="230">
        <v>1386150</v>
      </c>
      <c r="BN76" s="230">
        <v>3024750</v>
      </c>
      <c r="BO76" s="229">
        <v>2.1821000000000002</v>
      </c>
      <c r="BP76" s="230">
        <v>18061350</v>
      </c>
      <c r="BQ76" s="230">
        <v>3999600</v>
      </c>
      <c r="BR76" s="230">
        <v>14061750</v>
      </c>
      <c r="BS76" s="229">
        <v>3.5158</v>
      </c>
      <c r="BT76" s="230">
        <v>3109208</v>
      </c>
      <c r="BU76" s="230">
        <v>871604</v>
      </c>
      <c r="BV76" s="230">
        <v>2237604</v>
      </c>
      <c r="BW76" s="229">
        <v>2.5672000000000001</v>
      </c>
      <c r="BX76" s="230">
        <v>6817350</v>
      </c>
      <c r="BY76" s="230">
        <v>6992400</v>
      </c>
      <c r="BZ76" s="230">
        <v>-175050</v>
      </c>
      <c r="CA76" s="229">
        <v>-2.5000000000000001E-2</v>
      </c>
      <c r="CB76" s="230">
        <v>5922750</v>
      </c>
      <c r="CC76" s="230">
        <v>6120900</v>
      </c>
      <c r="CD76" s="230">
        <v>-198150</v>
      </c>
      <c r="CE76" s="229">
        <v>-3.2399999999999998E-2</v>
      </c>
      <c r="CF76" s="230">
        <v>883950</v>
      </c>
      <c r="CG76" s="230">
        <v>863550</v>
      </c>
      <c r="CH76" s="230">
        <v>20400</v>
      </c>
      <c r="CI76" s="229">
        <v>2.3599999999999999E-2</v>
      </c>
      <c r="CJ76" s="230">
        <v>10650</v>
      </c>
      <c r="CK76" s="230">
        <v>7950</v>
      </c>
      <c r="CL76" s="230">
        <v>2700</v>
      </c>
      <c r="CM76" s="229">
        <v>0.33960000000000001</v>
      </c>
      <c r="CN76" s="230">
        <v>2231100</v>
      </c>
      <c r="CO76" s="230">
        <v>1748400</v>
      </c>
      <c r="CP76" s="230">
        <v>482700</v>
      </c>
      <c r="CQ76" s="229">
        <v>0.27610000000000001</v>
      </c>
      <c r="CR76" s="230">
        <v>1924800</v>
      </c>
      <c r="CS76" s="230">
        <v>1529250</v>
      </c>
      <c r="CT76" s="230">
        <v>395550</v>
      </c>
      <c r="CU76" s="229">
        <v>0.25869999999999999</v>
      </c>
      <c r="CV76" s="230">
        <v>10973250</v>
      </c>
      <c r="CW76" s="230">
        <v>10270050</v>
      </c>
      <c r="CX76" s="230">
        <v>703200</v>
      </c>
      <c r="CY76" s="229">
        <v>6.8500000000000005E-2</v>
      </c>
      <c r="CZ76" s="228">
        <v>34.520000000000003</v>
      </c>
      <c r="DA76" s="228">
        <v>33.33</v>
      </c>
      <c r="DB76" s="228">
        <v>1.19</v>
      </c>
      <c r="DC76" s="228">
        <v>1.19</v>
      </c>
      <c r="DD76" s="228">
        <v>38.979999999999997</v>
      </c>
      <c r="DE76" s="228">
        <v>38.53</v>
      </c>
      <c r="DF76" s="228">
        <v>-4.46</v>
      </c>
      <c r="DG76" s="228">
        <v>0.45</v>
      </c>
      <c r="DH76" s="228">
        <v>33.840000000000003</v>
      </c>
      <c r="DI76" s="228">
        <v>32.409999999999997</v>
      </c>
      <c r="DJ76" s="228">
        <v>1.43</v>
      </c>
      <c r="DK76" s="228">
        <v>1.43</v>
      </c>
      <c r="DL76" s="228">
        <v>36.28</v>
      </c>
      <c r="DM76" s="228">
        <v>34.65</v>
      </c>
      <c r="DN76" s="228">
        <v>1.63</v>
      </c>
      <c r="DO76" s="228">
        <v>1.63</v>
      </c>
      <c r="DP76" s="228">
        <v>0.86</v>
      </c>
      <c r="DQ76" s="228">
        <v>0.87</v>
      </c>
      <c r="DR76" s="228">
        <v>-0.01</v>
      </c>
      <c r="DS76" s="229">
        <v>-1.15E-2</v>
      </c>
      <c r="DT76" s="231">
        <v>4600</v>
      </c>
      <c r="DU76" s="231">
        <v>4300</v>
      </c>
      <c r="DV76" s="228">
        <v>0.39</v>
      </c>
      <c r="DW76" s="228">
        <v>0.7</v>
      </c>
      <c r="DX76" s="228">
        <v>-0.31</v>
      </c>
      <c r="DY76" s="229">
        <v>-0.44290000000000002</v>
      </c>
      <c r="DZ76" s="229">
        <v>0.13120000000000001</v>
      </c>
      <c r="EA76" s="230">
        <v>871500</v>
      </c>
      <c r="EB76" s="229">
        <v>6.0000000000000001E-3</v>
      </c>
      <c r="EC76" s="229">
        <v>0.13120000000000001</v>
      </c>
      <c r="ED76" s="228">
        <v>19.47</v>
      </c>
      <c r="EE76" s="229">
        <v>4.3E-3</v>
      </c>
      <c r="EF76" s="230">
        <v>1358084</v>
      </c>
      <c r="EG76" s="230">
        <v>419967</v>
      </c>
      <c r="EH76" s="229">
        <v>2.2338</v>
      </c>
      <c r="EI76" s="229">
        <v>0.43680000000000002</v>
      </c>
      <c r="EJ76" s="231">
        <v>548962.57999999996</v>
      </c>
      <c r="EK76" s="231">
        <v>196287.86</v>
      </c>
      <c r="EL76" s="231">
        <v>100316.59</v>
      </c>
      <c r="EM76" s="231">
        <v>13927</v>
      </c>
      <c r="EN76" s="231">
        <v>845567.03</v>
      </c>
      <c r="EO76" s="231">
        <v>177428.46</v>
      </c>
      <c r="EP76" s="231">
        <v>668138.56999999995</v>
      </c>
      <c r="EQ76" s="229">
        <v>3.7656999999999998</v>
      </c>
      <c r="ER76" s="231">
        <v>102499</v>
      </c>
      <c r="ES76" s="231">
        <v>83156</v>
      </c>
      <c r="ET76" s="231">
        <v>312495</v>
      </c>
      <c r="EU76" s="231">
        <v>28450886</v>
      </c>
      <c r="EV76" s="231">
        <v>498150</v>
      </c>
      <c r="EW76" s="231">
        <v>449528</v>
      </c>
      <c r="EX76" s="231">
        <v>48622</v>
      </c>
      <c r="EY76" s="229">
        <v>0.1082</v>
      </c>
      <c r="EZ76" s="229">
        <v>0.38569999999999999</v>
      </c>
      <c r="FA76" s="227" t="s">
        <v>691</v>
      </c>
      <c r="FB76" s="161">
        <f t="shared" si="1"/>
        <v>894600</v>
      </c>
    </row>
    <row r="77" spans="1:158" ht="17.25" thickBot="1" x14ac:dyDescent="0.3">
      <c r="A77" s="226">
        <v>46146</v>
      </c>
      <c r="B77" s="227" t="s">
        <v>184</v>
      </c>
      <c r="C77" s="227" t="s">
        <v>220</v>
      </c>
      <c r="D77" s="228">
        <v>500</v>
      </c>
      <c r="E77" s="231">
        <v>1256.4000000000001</v>
      </c>
      <c r="F77" s="231">
        <v>1241.5</v>
      </c>
      <c r="G77" s="228">
        <v>14.9</v>
      </c>
      <c r="H77" s="229">
        <v>1.2E-2</v>
      </c>
      <c r="I77" s="231">
        <v>1256.5999999999999</v>
      </c>
      <c r="J77" s="231">
        <v>1240.5999999999999</v>
      </c>
      <c r="K77" s="228">
        <v>16</v>
      </c>
      <c r="L77" s="229">
        <v>1.29E-2</v>
      </c>
      <c r="M77" s="231">
        <v>1256.4000000000001</v>
      </c>
      <c r="N77" s="231">
        <v>1241.5</v>
      </c>
      <c r="O77" s="228">
        <v>14.9</v>
      </c>
      <c r="P77" s="229">
        <v>1.2E-2</v>
      </c>
      <c r="Q77" s="231">
        <v>1258.5</v>
      </c>
      <c r="R77" s="231">
        <v>1244.8</v>
      </c>
      <c r="S77" s="228">
        <v>13.7</v>
      </c>
      <c r="T77" s="229">
        <v>1.0999999999999999E-2</v>
      </c>
      <c r="U77" s="231">
        <v>1264.5</v>
      </c>
      <c r="V77" s="231">
        <v>1252</v>
      </c>
      <c r="W77" s="228">
        <v>12.5</v>
      </c>
      <c r="X77" s="229">
        <v>0.01</v>
      </c>
      <c r="Y77" s="228">
        <v>-0.2</v>
      </c>
      <c r="Z77" s="228">
        <v>0.9</v>
      </c>
      <c r="AA77" s="228">
        <v>-1.1000000000000001</v>
      </c>
      <c r="AB77" s="229">
        <v>-2.0000000000000001E-4</v>
      </c>
      <c r="AC77" s="228">
        <v>-0.2</v>
      </c>
      <c r="AD77" s="228">
        <v>0.9</v>
      </c>
      <c r="AE77" s="228">
        <v>-1.1000000000000001</v>
      </c>
      <c r="AF77" s="229">
        <v>-2.0000000000000001E-4</v>
      </c>
      <c r="AG77" s="228">
        <v>1.9</v>
      </c>
      <c r="AH77" s="228">
        <v>4.2</v>
      </c>
      <c r="AI77" s="228">
        <v>-2.2999999999999998</v>
      </c>
      <c r="AJ77" s="229">
        <v>1.5E-3</v>
      </c>
      <c r="AK77" s="228">
        <v>7.9</v>
      </c>
      <c r="AL77" s="228">
        <v>11.4</v>
      </c>
      <c r="AM77" s="228">
        <v>-3.5</v>
      </c>
      <c r="AN77" s="229">
        <v>6.3E-3</v>
      </c>
      <c r="AO77" s="231">
        <v>1257.04</v>
      </c>
      <c r="AP77" s="231">
        <v>1258.18</v>
      </c>
      <c r="AQ77" s="228">
        <v>0</v>
      </c>
      <c r="AR77" s="230">
        <v>1033000</v>
      </c>
      <c r="AS77" s="230">
        <v>1287500</v>
      </c>
      <c r="AT77" s="230">
        <v>-254500</v>
      </c>
      <c r="AU77" s="229">
        <v>-0.19769999999999999</v>
      </c>
      <c r="AV77" s="230">
        <v>985500</v>
      </c>
      <c r="AW77" s="230">
        <v>1229000</v>
      </c>
      <c r="AX77" s="230">
        <v>-243500</v>
      </c>
      <c r="AY77" s="229">
        <v>-0.1981</v>
      </c>
      <c r="AZ77" s="230">
        <v>44500</v>
      </c>
      <c r="BA77" s="230">
        <v>56000</v>
      </c>
      <c r="BB77" s="230">
        <v>-11500</v>
      </c>
      <c r="BC77" s="229">
        <v>-0.2054</v>
      </c>
      <c r="BD77" s="230">
        <v>3000</v>
      </c>
      <c r="BE77" s="230">
        <v>2500</v>
      </c>
      <c r="BF77" s="228">
        <v>500</v>
      </c>
      <c r="BG77" s="229">
        <v>0.2</v>
      </c>
      <c r="BH77" s="230">
        <v>3056000</v>
      </c>
      <c r="BI77" s="230">
        <v>3193500</v>
      </c>
      <c r="BJ77" s="230">
        <v>-137500</v>
      </c>
      <c r="BK77" s="229">
        <v>-4.3099999999999999E-2</v>
      </c>
      <c r="BL77" s="230">
        <v>1000000</v>
      </c>
      <c r="BM77" s="230">
        <v>1333500</v>
      </c>
      <c r="BN77" s="230">
        <v>-333500</v>
      </c>
      <c r="BO77" s="229">
        <v>-0.25009999999999999</v>
      </c>
      <c r="BP77" s="230">
        <v>5089000</v>
      </c>
      <c r="BQ77" s="230">
        <v>5814500</v>
      </c>
      <c r="BR77" s="230">
        <v>-725500</v>
      </c>
      <c r="BS77" s="229">
        <v>-0.12479999999999999</v>
      </c>
      <c r="BT77" s="230">
        <v>806092</v>
      </c>
      <c r="BU77" s="230">
        <v>1604771</v>
      </c>
      <c r="BV77" s="230">
        <v>-798679</v>
      </c>
      <c r="BW77" s="229">
        <v>-0.49769999999999998</v>
      </c>
      <c r="BX77" s="230">
        <v>10612000</v>
      </c>
      <c r="BY77" s="230">
        <v>10716500</v>
      </c>
      <c r="BZ77" s="230">
        <v>-104500</v>
      </c>
      <c r="CA77" s="229">
        <v>-9.7999999999999997E-3</v>
      </c>
      <c r="CB77" s="230">
        <v>10138000</v>
      </c>
      <c r="CC77" s="230">
        <v>10246500</v>
      </c>
      <c r="CD77" s="230">
        <v>-108500</v>
      </c>
      <c r="CE77" s="229">
        <v>-1.06E-2</v>
      </c>
      <c r="CF77" s="230">
        <v>467500</v>
      </c>
      <c r="CG77" s="230">
        <v>465500</v>
      </c>
      <c r="CH77" s="230">
        <v>2000</v>
      </c>
      <c r="CI77" s="229">
        <v>4.3E-3</v>
      </c>
      <c r="CJ77" s="230">
        <v>6500</v>
      </c>
      <c r="CK77" s="230">
        <v>4500</v>
      </c>
      <c r="CL77" s="230">
        <v>2000</v>
      </c>
      <c r="CM77" s="229">
        <v>0.44440000000000002</v>
      </c>
      <c r="CN77" s="230">
        <v>4876500</v>
      </c>
      <c r="CO77" s="230">
        <v>4671500</v>
      </c>
      <c r="CP77" s="230">
        <v>205000</v>
      </c>
      <c r="CQ77" s="229">
        <v>4.3900000000000002E-2</v>
      </c>
      <c r="CR77" s="230">
        <v>2320500</v>
      </c>
      <c r="CS77" s="230">
        <v>2297500</v>
      </c>
      <c r="CT77" s="230">
        <v>23000</v>
      </c>
      <c r="CU77" s="229">
        <v>0.01</v>
      </c>
      <c r="CV77" s="230">
        <v>17809000</v>
      </c>
      <c r="CW77" s="230">
        <v>17685500</v>
      </c>
      <c r="CX77" s="230">
        <v>123500</v>
      </c>
      <c r="CY77" s="229">
        <v>7.0000000000000001E-3</v>
      </c>
      <c r="CZ77" s="228">
        <v>31.31</v>
      </c>
      <c r="DA77" s="228">
        <v>31.42</v>
      </c>
      <c r="DB77" s="228">
        <v>-0.11</v>
      </c>
      <c r="DC77" s="228">
        <v>-0.11</v>
      </c>
      <c r="DD77" s="228">
        <v>31.19</v>
      </c>
      <c r="DE77" s="228">
        <v>31.23</v>
      </c>
      <c r="DF77" s="228">
        <v>0.12</v>
      </c>
      <c r="DG77" s="228">
        <v>-0.04</v>
      </c>
      <c r="DH77" s="228">
        <v>31.57</v>
      </c>
      <c r="DI77" s="228">
        <v>31.87</v>
      </c>
      <c r="DJ77" s="228">
        <v>-0.3</v>
      </c>
      <c r="DK77" s="228">
        <v>-0.3</v>
      </c>
      <c r="DL77" s="228">
        <v>30.54</v>
      </c>
      <c r="DM77" s="228">
        <v>30.34</v>
      </c>
      <c r="DN77" s="228">
        <v>0.2</v>
      </c>
      <c r="DO77" s="228">
        <v>0.2</v>
      </c>
      <c r="DP77" s="228">
        <v>0.48</v>
      </c>
      <c r="DQ77" s="228">
        <v>0.49</v>
      </c>
      <c r="DR77" s="228">
        <v>-0.01</v>
      </c>
      <c r="DS77" s="229">
        <v>-2.0400000000000001E-2</v>
      </c>
      <c r="DT77" s="231">
        <v>1400</v>
      </c>
      <c r="DU77" s="231">
        <v>1200</v>
      </c>
      <c r="DV77" s="228">
        <v>0.33</v>
      </c>
      <c r="DW77" s="228">
        <v>0.42</v>
      </c>
      <c r="DX77" s="228">
        <v>-0.09</v>
      </c>
      <c r="DY77" s="229">
        <v>-0.21429999999999999</v>
      </c>
      <c r="DZ77" s="229">
        <v>4.4699999999999997E-2</v>
      </c>
      <c r="EA77" s="230">
        <v>470000</v>
      </c>
      <c r="EB77" s="229">
        <v>1.6999999999999999E-3</v>
      </c>
      <c r="EC77" s="229">
        <v>4.4699999999999997E-2</v>
      </c>
      <c r="ED77" s="228">
        <v>1.1399999999999999</v>
      </c>
      <c r="EE77" s="229">
        <v>8.9999999999999998E-4</v>
      </c>
      <c r="EF77" s="230">
        <v>377681</v>
      </c>
      <c r="EG77" s="230">
        <v>999778</v>
      </c>
      <c r="EH77" s="229">
        <v>-0.62219999999999998</v>
      </c>
      <c r="EI77" s="229">
        <v>0.46850000000000003</v>
      </c>
      <c r="EJ77" s="231">
        <v>41285.1</v>
      </c>
      <c r="EK77" s="231">
        <v>12493.51</v>
      </c>
      <c r="EL77" s="231">
        <v>12985.96</v>
      </c>
      <c r="EM77" s="231">
        <v>7276</v>
      </c>
      <c r="EN77" s="231">
        <v>66764.570000000007</v>
      </c>
      <c r="EO77" s="231">
        <v>75747.509999999995</v>
      </c>
      <c r="EP77" s="231">
        <v>-8982.94</v>
      </c>
      <c r="EQ77" s="229">
        <v>-0.1186</v>
      </c>
      <c r="ER77" s="231">
        <v>66904</v>
      </c>
      <c r="ES77" s="231">
        <v>28645</v>
      </c>
      <c r="ET77" s="231">
        <v>133340</v>
      </c>
      <c r="EU77" s="231">
        <v>29751886</v>
      </c>
      <c r="EV77" s="231">
        <v>228889</v>
      </c>
      <c r="EW77" s="231">
        <v>225472</v>
      </c>
      <c r="EX77" s="231">
        <v>3417</v>
      </c>
      <c r="EY77" s="229">
        <v>1.52E-2</v>
      </c>
      <c r="EZ77" s="229">
        <v>0.59860000000000002</v>
      </c>
      <c r="FA77" s="227" t="s">
        <v>691</v>
      </c>
      <c r="FB77" s="161">
        <f t="shared" si="1"/>
        <v>474000</v>
      </c>
    </row>
    <row r="78" spans="1:158" ht="17.25" thickBot="1" x14ac:dyDescent="0.3">
      <c r="A78" s="226">
        <v>46146</v>
      </c>
      <c r="B78" s="227" t="s">
        <v>221</v>
      </c>
      <c r="C78" s="227" t="s">
        <v>222</v>
      </c>
      <c r="D78" s="228">
        <v>350</v>
      </c>
      <c r="E78" s="231">
        <v>1201.4000000000001</v>
      </c>
      <c r="F78" s="231">
        <v>1201.7</v>
      </c>
      <c r="G78" s="228">
        <v>-0.3</v>
      </c>
      <c r="H78" s="229">
        <v>-2.0000000000000001E-4</v>
      </c>
      <c r="I78" s="231">
        <v>1200.5</v>
      </c>
      <c r="J78" s="231">
        <v>1199.0999999999999</v>
      </c>
      <c r="K78" s="228">
        <v>1.4</v>
      </c>
      <c r="L78" s="229">
        <v>1.1999999999999999E-3</v>
      </c>
      <c r="M78" s="231">
        <v>1201.4000000000001</v>
      </c>
      <c r="N78" s="231">
        <v>1201.7</v>
      </c>
      <c r="O78" s="228">
        <v>-0.3</v>
      </c>
      <c r="P78" s="229">
        <v>-2.0000000000000001E-4</v>
      </c>
      <c r="Q78" s="231">
        <v>1193.9000000000001</v>
      </c>
      <c r="R78" s="231">
        <v>1194.5</v>
      </c>
      <c r="S78" s="228">
        <v>-0.6</v>
      </c>
      <c r="T78" s="229">
        <v>-5.0000000000000001E-4</v>
      </c>
      <c r="U78" s="231">
        <v>1188.0999999999999</v>
      </c>
      <c r="V78" s="231">
        <v>1187.9000000000001</v>
      </c>
      <c r="W78" s="228">
        <v>0.2</v>
      </c>
      <c r="X78" s="229">
        <v>2.0000000000000001E-4</v>
      </c>
      <c r="Y78" s="228">
        <v>0.9</v>
      </c>
      <c r="Z78" s="228">
        <v>2.6</v>
      </c>
      <c r="AA78" s="228">
        <v>-1.7</v>
      </c>
      <c r="AB78" s="229">
        <v>6.9999999999999999E-4</v>
      </c>
      <c r="AC78" s="228">
        <v>0.9</v>
      </c>
      <c r="AD78" s="228">
        <v>2.6</v>
      </c>
      <c r="AE78" s="228">
        <v>-1.7</v>
      </c>
      <c r="AF78" s="229">
        <v>6.9999999999999999E-4</v>
      </c>
      <c r="AG78" s="228">
        <v>-6.6</v>
      </c>
      <c r="AH78" s="228">
        <v>-4.5999999999999996</v>
      </c>
      <c r="AI78" s="228">
        <v>-2</v>
      </c>
      <c r="AJ78" s="229">
        <v>-5.4999999999999997E-3</v>
      </c>
      <c r="AK78" s="228">
        <v>-12.4</v>
      </c>
      <c r="AL78" s="228">
        <v>-11.2</v>
      </c>
      <c r="AM78" s="228">
        <v>-1.2</v>
      </c>
      <c r="AN78" s="229">
        <v>-1.03E-2</v>
      </c>
      <c r="AO78" s="231">
        <v>1200.05</v>
      </c>
      <c r="AP78" s="231">
        <v>1192.8399999999999</v>
      </c>
      <c r="AQ78" s="228">
        <v>0</v>
      </c>
      <c r="AR78" s="230">
        <v>2916200</v>
      </c>
      <c r="AS78" s="230">
        <v>4409300</v>
      </c>
      <c r="AT78" s="230">
        <v>-1493100</v>
      </c>
      <c r="AU78" s="229">
        <v>-0.33860000000000001</v>
      </c>
      <c r="AV78" s="230">
        <v>2543800</v>
      </c>
      <c r="AW78" s="230">
        <v>4123700</v>
      </c>
      <c r="AX78" s="230">
        <v>-1579900</v>
      </c>
      <c r="AY78" s="229">
        <v>-0.3831</v>
      </c>
      <c r="AZ78" s="230">
        <v>340550</v>
      </c>
      <c r="BA78" s="230">
        <v>237650</v>
      </c>
      <c r="BB78" s="230">
        <v>102900</v>
      </c>
      <c r="BC78" s="229">
        <v>0.433</v>
      </c>
      <c r="BD78" s="230">
        <v>31850</v>
      </c>
      <c r="BE78" s="230">
        <v>47950</v>
      </c>
      <c r="BF78" s="230">
        <v>-16100</v>
      </c>
      <c r="BG78" s="229">
        <v>-0.33579999999999999</v>
      </c>
      <c r="BH78" s="230">
        <v>13071100</v>
      </c>
      <c r="BI78" s="230">
        <v>13473600</v>
      </c>
      <c r="BJ78" s="230">
        <v>-402500</v>
      </c>
      <c r="BK78" s="229">
        <v>-2.9899999999999999E-2</v>
      </c>
      <c r="BL78" s="230">
        <v>5888750</v>
      </c>
      <c r="BM78" s="230">
        <v>6966750</v>
      </c>
      <c r="BN78" s="230">
        <v>-1078000</v>
      </c>
      <c r="BO78" s="229">
        <v>-0.1547</v>
      </c>
      <c r="BP78" s="230">
        <v>21876050</v>
      </c>
      <c r="BQ78" s="230">
        <v>24849650</v>
      </c>
      <c r="BR78" s="230">
        <v>-2973600</v>
      </c>
      <c r="BS78" s="229">
        <v>-0.1197</v>
      </c>
      <c r="BT78" s="230">
        <v>3588826</v>
      </c>
      <c r="BU78" s="230">
        <v>5312743</v>
      </c>
      <c r="BV78" s="230">
        <v>-1723917</v>
      </c>
      <c r="BW78" s="229">
        <v>-0.32450000000000001</v>
      </c>
      <c r="BX78" s="230">
        <v>44065500</v>
      </c>
      <c r="BY78" s="230">
        <v>43555900</v>
      </c>
      <c r="BZ78" s="230">
        <v>509600</v>
      </c>
      <c r="CA78" s="229">
        <v>1.17E-2</v>
      </c>
      <c r="CB78" s="230">
        <v>41947500</v>
      </c>
      <c r="CC78" s="230">
        <v>41623400</v>
      </c>
      <c r="CD78" s="230">
        <v>324100</v>
      </c>
      <c r="CE78" s="229">
        <v>7.7999999999999996E-3</v>
      </c>
      <c r="CF78" s="230">
        <v>1990800</v>
      </c>
      <c r="CG78" s="230">
        <v>1830500</v>
      </c>
      <c r="CH78" s="230">
        <v>160300</v>
      </c>
      <c r="CI78" s="229">
        <v>8.7599999999999997E-2</v>
      </c>
      <c r="CJ78" s="230">
        <v>127200</v>
      </c>
      <c r="CK78" s="230">
        <v>102000</v>
      </c>
      <c r="CL78" s="230">
        <v>25200</v>
      </c>
      <c r="CM78" s="229">
        <v>0.24709999999999999</v>
      </c>
      <c r="CN78" s="230">
        <v>22062550</v>
      </c>
      <c r="CO78" s="230">
        <v>20802600</v>
      </c>
      <c r="CP78" s="230">
        <v>1259950</v>
      </c>
      <c r="CQ78" s="229">
        <v>6.0600000000000001E-2</v>
      </c>
      <c r="CR78" s="230">
        <v>11525500</v>
      </c>
      <c r="CS78" s="230">
        <v>11207000</v>
      </c>
      <c r="CT78" s="230">
        <v>318500</v>
      </c>
      <c r="CU78" s="229">
        <v>2.8400000000000002E-2</v>
      </c>
      <c r="CV78" s="230">
        <v>77653550</v>
      </c>
      <c r="CW78" s="230">
        <v>75565500</v>
      </c>
      <c r="CX78" s="230">
        <v>2088050</v>
      </c>
      <c r="CY78" s="229">
        <v>2.76E-2</v>
      </c>
      <c r="CZ78" s="228">
        <v>30.38</v>
      </c>
      <c r="DA78" s="228">
        <v>29.97</v>
      </c>
      <c r="DB78" s="228">
        <v>0.41</v>
      </c>
      <c r="DC78" s="228">
        <v>0.41</v>
      </c>
      <c r="DD78" s="228">
        <v>33.22</v>
      </c>
      <c r="DE78" s="228">
        <v>33.31</v>
      </c>
      <c r="DF78" s="228">
        <v>-2.84</v>
      </c>
      <c r="DG78" s="228">
        <v>-0.09</v>
      </c>
      <c r="DH78" s="228">
        <v>30.91</v>
      </c>
      <c r="DI78" s="228">
        <v>30.5</v>
      </c>
      <c r="DJ78" s="228">
        <v>0.41</v>
      </c>
      <c r="DK78" s="228">
        <v>0.41</v>
      </c>
      <c r="DL78" s="228">
        <v>29.22</v>
      </c>
      <c r="DM78" s="228">
        <v>28.95</v>
      </c>
      <c r="DN78" s="228">
        <v>0.27</v>
      </c>
      <c r="DO78" s="228">
        <v>0.27</v>
      </c>
      <c r="DP78" s="228">
        <v>0.52</v>
      </c>
      <c r="DQ78" s="228">
        <v>0.54</v>
      </c>
      <c r="DR78" s="228">
        <v>-0.02</v>
      </c>
      <c r="DS78" s="229">
        <v>-3.6999999999999998E-2</v>
      </c>
      <c r="DT78" s="231">
        <v>1300</v>
      </c>
      <c r="DU78" s="231">
        <v>1200</v>
      </c>
      <c r="DV78" s="228">
        <v>0.45</v>
      </c>
      <c r="DW78" s="228">
        <v>0.52</v>
      </c>
      <c r="DX78" s="228">
        <v>-7.0000000000000007E-2</v>
      </c>
      <c r="DY78" s="229">
        <v>-0.1346</v>
      </c>
      <c r="DZ78" s="229">
        <v>4.8099999999999997E-2</v>
      </c>
      <c r="EA78" s="230">
        <v>1932500</v>
      </c>
      <c r="EB78" s="229">
        <v>-6.1999999999999998E-3</v>
      </c>
      <c r="EC78" s="229">
        <v>4.8099999999999997E-2</v>
      </c>
      <c r="ED78" s="228">
        <v>-7.21</v>
      </c>
      <c r="EE78" s="229">
        <v>-6.0000000000000001E-3</v>
      </c>
      <c r="EF78" s="230">
        <v>1843780</v>
      </c>
      <c r="EG78" s="230">
        <v>2815353</v>
      </c>
      <c r="EH78" s="229">
        <v>-0.34510000000000002</v>
      </c>
      <c r="EI78" s="229">
        <v>0.51380000000000003</v>
      </c>
      <c r="EJ78" s="231">
        <v>168822.14</v>
      </c>
      <c r="EK78" s="231">
        <v>70279.14</v>
      </c>
      <c r="EL78" s="231">
        <v>35021.25</v>
      </c>
      <c r="EM78" s="231">
        <v>36028</v>
      </c>
      <c r="EN78" s="231">
        <v>274122.53000000003</v>
      </c>
      <c r="EO78" s="231">
        <v>310361.46999999997</v>
      </c>
      <c r="EP78" s="231">
        <v>-36238.94</v>
      </c>
      <c r="EQ78" s="229">
        <v>-0.1168</v>
      </c>
      <c r="ER78" s="231">
        <v>290009</v>
      </c>
      <c r="ES78" s="231">
        <v>137791</v>
      </c>
      <c r="ET78" s="231">
        <v>529237</v>
      </c>
      <c r="EU78" s="231">
        <v>145140505</v>
      </c>
      <c r="EV78" s="231">
        <v>957036</v>
      </c>
      <c r="EW78" s="231">
        <v>931626</v>
      </c>
      <c r="EX78" s="231">
        <v>25410</v>
      </c>
      <c r="EY78" s="229">
        <v>2.7300000000000001E-2</v>
      </c>
      <c r="EZ78" s="229">
        <v>0.53500000000000003</v>
      </c>
      <c r="FA78" s="227" t="s">
        <v>566</v>
      </c>
      <c r="FB78" s="161">
        <f t="shared" si="1"/>
        <v>2118000</v>
      </c>
    </row>
    <row r="79" spans="1:158" ht="17.25" thickBot="1" x14ac:dyDescent="0.3">
      <c r="A79" s="226">
        <v>46146</v>
      </c>
      <c r="B79" s="227" t="s">
        <v>175</v>
      </c>
      <c r="C79" s="227" t="s">
        <v>475</v>
      </c>
      <c r="D79" s="228">
        <v>300</v>
      </c>
      <c r="E79" s="231">
        <v>2769.4</v>
      </c>
      <c r="F79" s="231">
        <v>2729.7</v>
      </c>
      <c r="G79" s="228">
        <v>39.700000000000003</v>
      </c>
      <c r="H79" s="229">
        <v>1.4500000000000001E-2</v>
      </c>
      <c r="I79" s="231">
        <v>2753.6</v>
      </c>
      <c r="J79" s="231">
        <v>2712.6</v>
      </c>
      <c r="K79" s="228">
        <v>41</v>
      </c>
      <c r="L79" s="229">
        <v>1.5100000000000001E-2</v>
      </c>
      <c r="M79" s="231">
        <v>2769.4</v>
      </c>
      <c r="N79" s="231">
        <v>2729.7</v>
      </c>
      <c r="O79" s="228">
        <v>39.700000000000003</v>
      </c>
      <c r="P79" s="229">
        <v>1.4500000000000001E-2</v>
      </c>
      <c r="Q79" s="231">
        <v>2782.5</v>
      </c>
      <c r="R79" s="231">
        <v>2747.3</v>
      </c>
      <c r="S79" s="228">
        <v>35.200000000000003</v>
      </c>
      <c r="T79" s="229">
        <v>1.2800000000000001E-2</v>
      </c>
      <c r="U79" s="231">
        <v>2790.2</v>
      </c>
      <c r="V79" s="231">
        <v>2764</v>
      </c>
      <c r="W79" s="228">
        <v>26.2</v>
      </c>
      <c r="X79" s="229">
        <v>9.4999999999999998E-3</v>
      </c>
      <c r="Y79" s="228">
        <v>15.8</v>
      </c>
      <c r="Z79" s="228">
        <v>17.100000000000001</v>
      </c>
      <c r="AA79" s="228">
        <v>-1.3</v>
      </c>
      <c r="AB79" s="229">
        <v>5.7000000000000002E-3</v>
      </c>
      <c r="AC79" s="228">
        <v>15.8</v>
      </c>
      <c r="AD79" s="228">
        <v>17.100000000000001</v>
      </c>
      <c r="AE79" s="228">
        <v>-1.3</v>
      </c>
      <c r="AF79" s="229">
        <v>5.7000000000000002E-3</v>
      </c>
      <c r="AG79" s="228">
        <v>28.9</v>
      </c>
      <c r="AH79" s="228">
        <v>34.700000000000003</v>
      </c>
      <c r="AI79" s="228">
        <v>-5.8</v>
      </c>
      <c r="AJ79" s="229">
        <v>1.0500000000000001E-2</v>
      </c>
      <c r="AK79" s="228">
        <v>36.6</v>
      </c>
      <c r="AL79" s="228">
        <v>51.4</v>
      </c>
      <c r="AM79" s="228">
        <v>-14.8</v>
      </c>
      <c r="AN79" s="229">
        <v>1.3299999999999999E-2</v>
      </c>
      <c r="AO79" s="231">
        <v>2766.38</v>
      </c>
      <c r="AP79" s="231">
        <v>2772.75</v>
      </c>
      <c r="AQ79" s="228">
        <v>0</v>
      </c>
      <c r="AR79" s="230">
        <v>647400</v>
      </c>
      <c r="AS79" s="230">
        <v>864600</v>
      </c>
      <c r="AT79" s="230">
        <v>-217200</v>
      </c>
      <c r="AU79" s="229">
        <v>-0.25119999999999998</v>
      </c>
      <c r="AV79" s="230">
        <v>588900</v>
      </c>
      <c r="AW79" s="230">
        <v>834900</v>
      </c>
      <c r="AX79" s="230">
        <v>-246000</v>
      </c>
      <c r="AY79" s="229">
        <v>-0.29459999999999997</v>
      </c>
      <c r="AZ79" s="230">
        <v>55200</v>
      </c>
      <c r="BA79" s="230">
        <v>28500</v>
      </c>
      <c r="BB79" s="230">
        <v>26700</v>
      </c>
      <c r="BC79" s="229">
        <v>0.93679999999999997</v>
      </c>
      <c r="BD79" s="230">
        <v>3300</v>
      </c>
      <c r="BE79" s="230">
        <v>1200</v>
      </c>
      <c r="BF79" s="230">
        <v>2100</v>
      </c>
      <c r="BG79" s="229">
        <v>1.75</v>
      </c>
      <c r="BH79" s="230">
        <v>694500</v>
      </c>
      <c r="BI79" s="230">
        <v>669000</v>
      </c>
      <c r="BJ79" s="230">
        <v>25500</v>
      </c>
      <c r="BK79" s="229">
        <v>3.8100000000000002E-2</v>
      </c>
      <c r="BL79" s="230">
        <v>385500</v>
      </c>
      <c r="BM79" s="230">
        <v>460800</v>
      </c>
      <c r="BN79" s="230">
        <v>-75300</v>
      </c>
      <c r="BO79" s="229">
        <v>-0.16339999999999999</v>
      </c>
      <c r="BP79" s="230">
        <v>1727400</v>
      </c>
      <c r="BQ79" s="230">
        <v>1994400</v>
      </c>
      <c r="BR79" s="230">
        <v>-267000</v>
      </c>
      <c r="BS79" s="229">
        <v>-0.13389999999999999</v>
      </c>
      <c r="BT79" s="230">
        <v>499396</v>
      </c>
      <c r="BU79" s="230">
        <v>1284477</v>
      </c>
      <c r="BV79" s="230">
        <v>-785081</v>
      </c>
      <c r="BW79" s="229">
        <v>-0.61119999999999997</v>
      </c>
      <c r="BX79" s="230">
        <v>5506200</v>
      </c>
      <c r="BY79" s="230">
        <v>5401200</v>
      </c>
      <c r="BZ79" s="230">
        <v>105000</v>
      </c>
      <c r="CA79" s="229">
        <v>1.9400000000000001E-2</v>
      </c>
      <c r="CB79" s="230">
        <v>5415300</v>
      </c>
      <c r="CC79" s="230">
        <v>5295300</v>
      </c>
      <c r="CD79" s="230">
        <v>120000</v>
      </c>
      <c r="CE79" s="229">
        <v>2.2700000000000001E-2</v>
      </c>
      <c r="CF79" s="230">
        <v>87300</v>
      </c>
      <c r="CG79" s="230">
        <v>104700</v>
      </c>
      <c r="CH79" s="230">
        <v>-17400</v>
      </c>
      <c r="CI79" s="229">
        <v>-0.16619999999999999</v>
      </c>
      <c r="CJ79" s="230">
        <v>3600</v>
      </c>
      <c r="CK79" s="230">
        <v>1200</v>
      </c>
      <c r="CL79" s="230">
        <v>2400</v>
      </c>
      <c r="CM79" s="229">
        <v>2</v>
      </c>
      <c r="CN79" s="230">
        <v>840900</v>
      </c>
      <c r="CO79" s="230">
        <v>741000</v>
      </c>
      <c r="CP79" s="230">
        <v>99900</v>
      </c>
      <c r="CQ79" s="229">
        <v>0.1348</v>
      </c>
      <c r="CR79" s="230">
        <v>584700</v>
      </c>
      <c r="CS79" s="230">
        <v>545100</v>
      </c>
      <c r="CT79" s="230">
        <v>39600</v>
      </c>
      <c r="CU79" s="229">
        <v>7.2599999999999998E-2</v>
      </c>
      <c r="CV79" s="230">
        <v>6931800</v>
      </c>
      <c r="CW79" s="230">
        <v>6687300</v>
      </c>
      <c r="CX79" s="230">
        <v>244500</v>
      </c>
      <c r="CY79" s="229">
        <v>3.6600000000000001E-2</v>
      </c>
      <c r="CZ79" s="228">
        <v>32.159999999999997</v>
      </c>
      <c r="DA79" s="228">
        <v>31.95</v>
      </c>
      <c r="DB79" s="228">
        <v>0.21</v>
      </c>
      <c r="DC79" s="228">
        <v>0.21</v>
      </c>
      <c r="DD79" s="228">
        <v>38.89</v>
      </c>
      <c r="DE79" s="228">
        <v>38.94</v>
      </c>
      <c r="DF79" s="228">
        <v>-6.73</v>
      </c>
      <c r="DG79" s="228">
        <v>-0.05</v>
      </c>
      <c r="DH79" s="228">
        <v>31.55</v>
      </c>
      <c r="DI79" s="228">
        <v>31.67</v>
      </c>
      <c r="DJ79" s="228">
        <v>-0.12</v>
      </c>
      <c r="DK79" s="228">
        <v>-0.12</v>
      </c>
      <c r="DL79" s="228">
        <v>33.26</v>
      </c>
      <c r="DM79" s="228">
        <v>32.369999999999997</v>
      </c>
      <c r="DN79" s="228">
        <v>0.89</v>
      </c>
      <c r="DO79" s="228">
        <v>0.89</v>
      </c>
      <c r="DP79" s="228">
        <v>0.7</v>
      </c>
      <c r="DQ79" s="228">
        <v>0.74</v>
      </c>
      <c r="DR79" s="228">
        <v>-0.04</v>
      </c>
      <c r="DS79" s="229">
        <v>-5.4100000000000002E-2</v>
      </c>
      <c r="DT79" s="231">
        <v>2800</v>
      </c>
      <c r="DU79" s="231">
        <v>2700</v>
      </c>
      <c r="DV79" s="228">
        <v>0.56000000000000005</v>
      </c>
      <c r="DW79" s="228">
        <v>0.69</v>
      </c>
      <c r="DX79" s="228">
        <v>-0.13</v>
      </c>
      <c r="DY79" s="229">
        <v>-0.18840000000000001</v>
      </c>
      <c r="DZ79" s="229">
        <v>1.6500000000000001E-2</v>
      </c>
      <c r="EA79" s="230">
        <v>105900</v>
      </c>
      <c r="EB79" s="229">
        <v>4.7000000000000002E-3</v>
      </c>
      <c r="EC79" s="229">
        <v>1.6500000000000001E-2</v>
      </c>
      <c r="ED79" s="228">
        <v>6.37</v>
      </c>
      <c r="EE79" s="229">
        <v>2.3E-3</v>
      </c>
      <c r="EF79" s="230">
        <v>276418</v>
      </c>
      <c r="EG79" s="230">
        <v>868012</v>
      </c>
      <c r="EH79" s="229">
        <v>-0.68159999999999998</v>
      </c>
      <c r="EI79" s="229">
        <v>0.55349999999999999</v>
      </c>
      <c r="EJ79" s="231">
        <v>20367.97</v>
      </c>
      <c r="EK79" s="231">
        <v>10308.299999999999</v>
      </c>
      <c r="EL79" s="231">
        <v>17913.77</v>
      </c>
      <c r="EM79" s="231">
        <v>5023</v>
      </c>
      <c r="EN79" s="231">
        <v>48590.04</v>
      </c>
      <c r="EO79" s="231">
        <v>55561.17</v>
      </c>
      <c r="EP79" s="231">
        <v>-6971.13</v>
      </c>
      <c r="EQ79" s="229">
        <v>-0.1255</v>
      </c>
      <c r="ER79" s="231">
        <v>24172</v>
      </c>
      <c r="ES79" s="231">
        <v>15273</v>
      </c>
      <c r="ET79" s="231">
        <v>152501</v>
      </c>
      <c r="EU79" s="231">
        <v>30592324</v>
      </c>
      <c r="EV79" s="231">
        <v>191946</v>
      </c>
      <c r="EW79" s="231">
        <v>182847</v>
      </c>
      <c r="EX79" s="231">
        <v>9099</v>
      </c>
      <c r="EY79" s="229">
        <v>4.9799999999999997E-2</v>
      </c>
      <c r="EZ79" s="229">
        <v>0.2266</v>
      </c>
      <c r="FA79" s="227" t="s">
        <v>555</v>
      </c>
      <c r="FB79" s="161">
        <f t="shared" si="1"/>
        <v>90900</v>
      </c>
    </row>
    <row r="80" spans="1:158" ht="17.25" thickBot="1" x14ac:dyDescent="0.3">
      <c r="A80" s="226">
        <v>46146</v>
      </c>
      <c r="B80" s="227" t="s">
        <v>172</v>
      </c>
      <c r="C80" s="227" t="s">
        <v>224</v>
      </c>
      <c r="D80" s="228">
        <v>550</v>
      </c>
      <c r="E80" s="228">
        <v>782.7</v>
      </c>
      <c r="F80" s="228">
        <v>776.1</v>
      </c>
      <c r="G80" s="228">
        <v>6.6</v>
      </c>
      <c r="H80" s="229">
        <v>8.5000000000000006E-3</v>
      </c>
      <c r="I80" s="228">
        <v>779.4</v>
      </c>
      <c r="J80" s="228">
        <v>771.7</v>
      </c>
      <c r="K80" s="228">
        <v>7.7</v>
      </c>
      <c r="L80" s="229">
        <v>0.01</v>
      </c>
      <c r="M80" s="228">
        <v>782.7</v>
      </c>
      <c r="N80" s="228">
        <v>776.1</v>
      </c>
      <c r="O80" s="228">
        <v>6.6</v>
      </c>
      <c r="P80" s="229">
        <v>8.5000000000000006E-3</v>
      </c>
      <c r="Q80" s="228">
        <v>773.6</v>
      </c>
      <c r="R80" s="228">
        <v>768.45</v>
      </c>
      <c r="S80" s="228">
        <v>5.15</v>
      </c>
      <c r="T80" s="229">
        <v>6.7000000000000002E-3</v>
      </c>
      <c r="U80" s="228">
        <v>777.75</v>
      </c>
      <c r="V80" s="228">
        <v>772.3</v>
      </c>
      <c r="W80" s="228">
        <v>5.45</v>
      </c>
      <c r="X80" s="229">
        <v>7.1000000000000004E-3</v>
      </c>
      <c r="Y80" s="228">
        <v>3.3</v>
      </c>
      <c r="Z80" s="228">
        <v>4.4000000000000004</v>
      </c>
      <c r="AA80" s="228">
        <v>-1.1000000000000001</v>
      </c>
      <c r="AB80" s="229">
        <v>4.1999999999999997E-3</v>
      </c>
      <c r="AC80" s="228">
        <v>3.3</v>
      </c>
      <c r="AD80" s="228">
        <v>4.4000000000000004</v>
      </c>
      <c r="AE80" s="228">
        <v>-1.1000000000000001</v>
      </c>
      <c r="AF80" s="229">
        <v>4.1999999999999997E-3</v>
      </c>
      <c r="AG80" s="228">
        <v>-5.8</v>
      </c>
      <c r="AH80" s="228">
        <v>-3.25</v>
      </c>
      <c r="AI80" s="228">
        <v>-2.5499999999999998</v>
      </c>
      <c r="AJ80" s="229">
        <v>-7.4000000000000003E-3</v>
      </c>
      <c r="AK80" s="228">
        <v>-1.65</v>
      </c>
      <c r="AL80" s="228">
        <v>0.6</v>
      </c>
      <c r="AM80" s="228">
        <v>-2.25</v>
      </c>
      <c r="AN80" s="229">
        <v>-2.0999999999999999E-3</v>
      </c>
      <c r="AO80" s="228">
        <v>783.81</v>
      </c>
      <c r="AP80" s="228">
        <v>775.92</v>
      </c>
      <c r="AQ80" s="228">
        <v>0</v>
      </c>
      <c r="AR80" s="230">
        <v>20008450</v>
      </c>
      <c r="AS80" s="230">
        <v>24066350</v>
      </c>
      <c r="AT80" s="230">
        <v>-4057900</v>
      </c>
      <c r="AU80" s="229">
        <v>-0.1686</v>
      </c>
      <c r="AV80" s="230">
        <v>16579750</v>
      </c>
      <c r="AW80" s="230">
        <v>20794950</v>
      </c>
      <c r="AX80" s="230">
        <v>-4215200</v>
      </c>
      <c r="AY80" s="229">
        <v>-0.20269999999999999</v>
      </c>
      <c r="AZ80" s="230">
        <v>3172950</v>
      </c>
      <c r="BA80" s="230">
        <v>2840200</v>
      </c>
      <c r="BB80" s="230">
        <v>332750</v>
      </c>
      <c r="BC80" s="229">
        <v>0.1172</v>
      </c>
      <c r="BD80" s="230">
        <v>255750</v>
      </c>
      <c r="BE80" s="230">
        <v>431200</v>
      </c>
      <c r="BF80" s="230">
        <v>-175450</v>
      </c>
      <c r="BG80" s="229">
        <v>-0.40689999999999998</v>
      </c>
      <c r="BH80" s="230">
        <v>59524300</v>
      </c>
      <c r="BI80" s="230">
        <v>74698800</v>
      </c>
      <c r="BJ80" s="230">
        <v>-15174500</v>
      </c>
      <c r="BK80" s="229">
        <v>-0.2031</v>
      </c>
      <c r="BL80" s="230">
        <v>35071300</v>
      </c>
      <c r="BM80" s="230">
        <v>37101900</v>
      </c>
      <c r="BN80" s="230">
        <v>-2030600</v>
      </c>
      <c r="BO80" s="229">
        <v>-5.4699999999999999E-2</v>
      </c>
      <c r="BP80" s="230">
        <v>114604050</v>
      </c>
      <c r="BQ80" s="230">
        <v>135867050</v>
      </c>
      <c r="BR80" s="230">
        <v>-21263000</v>
      </c>
      <c r="BS80" s="229">
        <v>-0.1565</v>
      </c>
      <c r="BT80" s="230">
        <v>29726783</v>
      </c>
      <c r="BU80" s="230">
        <v>51835071</v>
      </c>
      <c r="BV80" s="230">
        <v>-22108288</v>
      </c>
      <c r="BW80" s="229">
        <v>-0.42649999999999999</v>
      </c>
      <c r="BX80" s="230">
        <v>337910550</v>
      </c>
      <c r="BY80" s="230">
        <v>336098150</v>
      </c>
      <c r="BZ80" s="230">
        <v>1812400</v>
      </c>
      <c r="CA80" s="229">
        <v>5.4000000000000003E-3</v>
      </c>
      <c r="CB80" s="230">
        <v>257071100</v>
      </c>
      <c r="CC80" s="230">
        <v>257472600</v>
      </c>
      <c r="CD80" s="230">
        <v>-401500</v>
      </c>
      <c r="CE80" s="229">
        <v>-1.6000000000000001E-3</v>
      </c>
      <c r="CF80" s="230">
        <v>80032150</v>
      </c>
      <c r="CG80" s="230">
        <v>77937200</v>
      </c>
      <c r="CH80" s="230">
        <v>2094950</v>
      </c>
      <c r="CI80" s="229">
        <v>2.69E-2</v>
      </c>
      <c r="CJ80" s="230">
        <v>807300</v>
      </c>
      <c r="CK80" s="230">
        <v>688350</v>
      </c>
      <c r="CL80" s="230">
        <v>118950</v>
      </c>
      <c r="CM80" s="229">
        <v>0.17280000000000001</v>
      </c>
      <c r="CN80" s="230">
        <v>66805150</v>
      </c>
      <c r="CO80" s="230">
        <v>61985900</v>
      </c>
      <c r="CP80" s="230">
        <v>4819250</v>
      </c>
      <c r="CQ80" s="229">
        <v>7.7700000000000005E-2</v>
      </c>
      <c r="CR80" s="230">
        <v>36439800</v>
      </c>
      <c r="CS80" s="230">
        <v>34261300</v>
      </c>
      <c r="CT80" s="230">
        <v>2178500</v>
      </c>
      <c r="CU80" s="229">
        <v>6.3600000000000004E-2</v>
      </c>
      <c r="CV80" s="230">
        <v>441155500</v>
      </c>
      <c r="CW80" s="230">
        <v>432345350</v>
      </c>
      <c r="CX80" s="230">
        <v>8810150</v>
      </c>
      <c r="CY80" s="229">
        <v>2.0400000000000001E-2</v>
      </c>
      <c r="CZ80" s="228">
        <v>26.02</v>
      </c>
      <c r="DA80" s="228">
        <v>26.49</v>
      </c>
      <c r="DB80" s="228">
        <v>-0.47</v>
      </c>
      <c r="DC80" s="228">
        <v>-0.47</v>
      </c>
      <c r="DD80" s="228">
        <v>25.21</v>
      </c>
      <c r="DE80" s="228">
        <v>25.24</v>
      </c>
      <c r="DF80" s="228">
        <v>0.81</v>
      </c>
      <c r="DG80" s="228">
        <v>-0.03</v>
      </c>
      <c r="DH80" s="228">
        <v>25.72</v>
      </c>
      <c r="DI80" s="228">
        <v>26.51</v>
      </c>
      <c r="DJ80" s="228">
        <v>-0.79</v>
      </c>
      <c r="DK80" s="228">
        <v>-0.79</v>
      </c>
      <c r="DL80" s="228">
        <v>26.53</v>
      </c>
      <c r="DM80" s="228">
        <v>26.46</v>
      </c>
      <c r="DN80" s="228">
        <v>7.0000000000000007E-2</v>
      </c>
      <c r="DO80" s="228">
        <v>7.0000000000000007E-2</v>
      </c>
      <c r="DP80" s="228">
        <v>0.55000000000000004</v>
      </c>
      <c r="DQ80" s="228">
        <v>0.55000000000000004</v>
      </c>
      <c r="DR80" s="228">
        <v>0</v>
      </c>
      <c r="DS80" s="229">
        <v>0</v>
      </c>
      <c r="DT80" s="228">
        <v>800</v>
      </c>
      <c r="DU80" s="228">
        <v>800</v>
      </c>
      <c r="DV80" s="228">
        <v>0.59</v>
      </c>
      <c r="DW80" s="228">
        <v>0.5</v>
      </c>
      <c r="DX80" s="228">
        <v>0.09</v>
      </c>
      <c r="DY80" s="229">
        <v>0.18</v>
      </c>
      <c r="DZ80" s="229">
        <v>0.2392</v>
      </c>
      <c r="EA80" s="230">
        <v>78625550</v>
      </c>
      <c r="EB80" s="229">
        <v>-1.1599999999999999E-2</v>
      </c>
      <c r="EC80" s="229">
        <v>0.2392</v>
      </c>
      <c r="ED80" s="228">
        <v>-7.89</v>
      </c>
      <c r="EE80" s="229">
        <v>-1.01E-2</v>
      </c>
      <c r="EF80" s="230">
        <v>17419547</v>
      </c>
      <c r="EG80" s="230">
        <v>24131748</v>
      </c>
      <c r="EH80" s="229">
        <v>-0.27810000000000001</v>
      </c>
      <c r="EI80" s="229">
        <v>0.58599999999999997</v>
      </c>
      <c r="EJ80" s="231">
        <v>490223.35</v>
      </c>
      <c r="EK80" s="231">
        <v>270204.84000000003</v>
      </c>
      <c r="EL80" s="231">
        <v>156930.09</v>
      </c>
      <c r="EM80" s="231">
        <v>128600</v>
      </c>
      <c r="EN80" s="231">
        <v>917358.28</v>
      </c>
      <c r="EO80" s="231">
        <v>1084949.18</v>
      </c>
      <c r="EP80" s="231">
        <v>-167590.9</v>
      </c>
      <c r="EQ80" s="229">
        <v>-0.1545</v>
      </c>
      <c r="ER80" s="231">
        <v>553081</v>
      </c>
      <c r="ES80" s="231">
        <v>282990</v>
      </c>
      <c r="ET80" s="231">
        <v>2637503</v>
      </c>
      <c r="EU80" s="231">
        <v>1496665645</v>
      </c>
      <c r="EV80" s="231">
        <v>3473574</v>
      </c>
      <c r="EW80" s="231">
        <v>3382666</v>
      </c>
      <c r="EX80" s="231">
        <v>90908</v>
      </c>
      <c r="EY80" s="229">
        <v>2.69E-2</v>
      </c>
      <c r="EZ80" s="229">
        <v>0.29480000000000001</v>
      </c>
      <c r="FA80" s="227" t="s">
        <v>555</v>
      </c>
      <c r="FB80" s="161">
        <f t="shared" si="1"/>
        <v>80839450</v>
      </c>
    </row>
    <row r="81" spans="1:158" ht="17.25" thickBot="1" x14ac:dyDescent="0.3">
      <c r="A81" s="226">
        <v>46146</v>
      </c>
      <c r="B81" s="227" t="s">
        <v>175</v>
      </c>
      <c r="C81" s="227" t="s">
        <v>225</v>
      </c>
      <c r="D81" s="228">
        <v>1100</v>
      </c>
      <c r="E81" s="228">
        <v>591.75</v>
      </c>
      <c r="F81" s="228">
        <v>590</v>
      </c>
      <c r="G81" s="228">
        <v>1.75</v>
      </c>
      <c r="H81" s="229">
        <v>3.0000000000000001E-3</v>
      </c>
      <c r="I81" s="228">
        <v>588.35</v>
      </c>
      <c r="J81" s="228">
        <v>586.9</v>
      </c>
      <c r="K81" s="228">
        <v>1.45</v>
      </c>
      <c r="L81" s="229">
        <v>2.5000000000000001E-3</v>
      </c>
      <c r="M81" s="228">
        <v>591.75</v>
      </c>
      <c r="N81" s="228">
        <v>590</v>
      </c>
      <c r="O81" s="228">
        <v>1.75</v>
      </c>
      <c r="P81" s="229">
        <v>3.0000000000000001E-3</v>
      </c>
      <c r="Q81" s="228">
        <v>593.45000000000005</v>
      </c>
      <c r="R81" s="228">
        <v>590.85</v>
      </c>
      <c r="S81" s="228">
        <v>2.6</v>
      </c>
      <c r="T81" s="229">
        <v>4.4000000000000003E-3</v>
      </c>
      <c r="U81" s="228">
        <v>597.70000000000005</v>
      </c>
      <c r="V81" s="228">
        <v>594.04999999999995</v>
      </c>
      <c r="W81" s="228">
        <v>3.65</v>
      </c>
      <c r="X81" s="229">
        <v>6.1000000000000004E-3</v>
      </c>
      <c r="Y81" s="228">
        <v>3.4</v>
      </c>
      <c r="Z81" s="228">
        <v>3.1</v>
      </c>
      <c r="AA81" s="228">
        <v>0.3</v>
      </c>
      <c r="AB81" s="229">
        <v>5.7999999999999996E-3</v>
      </c>
      <c r="AC81" s="228">
        <v>3.4</v>
      </c>
      <c r="AD81" s="228">
        <v>3.1</v>
      </c>
      <c r="AE81" s="228">
        <v>0.3</v>
      </c>
      <c r="AF81" s="229">
        <v>5.7999999999999996E-3</v>
      </c>
      <c r="AG81" s="228">
        <v>5.0999999999999996</v>
      </c>
      <c r="AH81" s="228">
        <v>3.95</v>
      </c>
      <c r="AI81" s="228">
        <v>1.1499999999999999</v>
      </c>
      <c r="AJ81" s="229">
        <v>8.6999999999999994E-3</v>
      </c>
      <c r="AK81" s="228">
        <v>9.35</v>
      </c>
      <c r="AL81" s="228">
        <v>7.15</v>
      </c>
      <c r="AM81" s="228">
        <v>2.2000000000000002</v>
      </c>
      <c r="AN81" s="229">
        <v>1.5900000000000001E-2</v>
      </c>
      <c r="AO81" s="228">
        <v>592.67999999999995</v>
      </c>
      <c r="AP81" s="228">
        <v>593.51</v>
      </c>
      <c r="AQ81" s="228">
        <v>0</v>
      </c>
      <c r="AR81" s="230">
        <v>2684000</v>
      </c>
      <c r="AS81" s="230">
        <v>4418700</v>
      </c>
      <c r="AT81" s="230">
        <v>-1734700</v>
      </c>
      <c r="AU81" s="229">
        <v>-0.3926</v>
      </c>
      <c r="AV81" s="230">
        <v>2264900</v>
      </c>
      <c r="AW81" s="230">
        <v>4008400</v>
      </c>
      <c r="AX81" s="230">
        <v>-1743500</v>
      </c>
      <c r="AY81" s="229">
        <v>-0.435</v>
      </c>
      <c r="AZ81" s="230">
        <v>390500</v>
      </c>
      <c r="BA81" s="230">
        <v>364100</v>
      </c>
      <c r="BB81" s="230">
        <v>26400</v>
      </c>
      <c r="BC81" s="229">
        <v>7.2499999999999995E-2</v>
      </c>
      <c r="BD81" s="230">
        <v>28600</v>
      </c>
      <c r="BE81" s="230">
        <v>46200</v>
      </c>
      <c r="BF81" s="230">
        <v>-17600</v>
      </c>
      <c r="BG81" s="229">
        <v>-0.38100000000000001</v>
      </c>
      <c r="BH81" s="230">
        <v>7871600</v>
      </c>
      <c r="BI81" s="230">
        <v>12861200</v>
      </c>
      <c r="BJ81" s="230">
        <v>-4989600</v>
      </c>
      <c r="BK81" s="229">
        <v>-0.38800000000000001</v>
      </c>
      <c r="BL81" s="230">
        <v>4117300</v>
      </c>
      <c r="BM81" s="230">
        <v>6894800</v>
      </c>
      <c r="BN81" s="230">
        <v>-2777500</v>
      </c>
      <c r="BO81" s="229">
        <v>-0.40279999999999999</v>
      </c>
      <c r="BP81" s="230">
        <v>14672900</v>
      </c>
      <c r="BQ81" s="230">
        <v>24174700</v>
      </c>
      <c r="BR81" s="230">
        <v>-9501800</v>
      </c>
      <c r="BS81" s="229">
        <v>-0.39300000000000002</v>
      </c>
      <c r="BT81" s="230">
        <v>2695028</v>
      </c>
      <c r="BU81" s="230">
        <v>6378607</v>
      </c>
      <c r="BV81" s="230">
        <v>-3683579</v>
      </c>
      <c r="BW81" s="229">
        <v>-0.57750000000000001</v>
      </c>
      <c r="BX81" s="230">
        <v>44347600</v>
      </c>
      <c r="BY81" s="230">
        <v>43562200</v>
      </c>
      <c r="BZ81" s="230">
        <v>785400</v>
      </c>
      <c r="CA81" s="229">
        <v>1.7999999999999999E-2</v>
      </c>
      <c r="CB81" s="230">
        <v>40036700</v>
      </c>
      <c r="CC81" s="230">
        <v>39471300</v>
      </c>
      <c r="CD81" s="230">
        <v>565400</v>
      </c>
      <c r="CE81" s="229">
        <v>1.43E-2</v>
      </c>
      <c r="CF81" s="230">
        <v>4257000</v>
      </c>
      <c r="CG81" s="230">
        <v>4052400</v>
      </c>
      <c r="CH81" s="230">
        <v>204600</v>
      </c>
      <c r="CI81" s="229">
        <v>5.0500000000000003E-2</v>
      </c>
      <c r="CJ81" s="230">
        <v>53900</v>
      </c>
      <c r="CK81" s="230">
        <v>38500</v>
      </c>
      <c r="CL81" s="230">
        <v>15400</v>
      </c>
      <c r="CM81" s="229">
        <v>0.4</v>
      </c>
      <c r="CN81" s="230">
        <v>13722500</v>
      </c>
      <c r="CO81" s="230">
        <v>12441000</v>
      </c>
      <c r="CP81" s="230">
        <v>1281500</v>
      </c>
      <c r="CQ81" s="229">
        <v>0.10299999999999999</v>
      </c>
      <c r="CR81" s="230">
        <v>8415000</v>
      </c>
      <c r="CS81" s="230">
        <v>7784700</v>
      </c>
      <c r="CT81" s="230">
        <v>630300</v>
      </c>
      <c r="CU81" s="229">
        <v>8.1000000000000003E-2</v>
      </c>
      <c r="CV81" s="230">
        <v>66485100</v>
      </c>
      <c r="CW81" s="230">
        <v>63787900</v>
      </c>
      <c r="CX81" s="230">
        <v>2697200</v>
      </c>
      <c r="CY81" s="229">
        <v>4.2299999999999997E-2</v>
      </c>
      <c r="CZ81" s="228">
        <v>27.55</v>
      </c>
      <c r="DA81" s="228">
        <v>27.33</v>
      </c>
      <c r="DB81" s="228">
        <v>0.22</v>
      </c>
      <c r="DC81" s="228">
        <v>0.22</v>
      </c>
      <c r="DD81" s="228">
        <v>27.56</v>
      </c>
      <c r="DE81" s="228">
        <v>27.63</v>
      </c>
      <c r="DF81" s="228">
        <v>-0.01</v>
      </c>
      <c r="DG81" s="228">
        <v>-7.0000000000000007E-2</v>
      </c>
      <c r="DH81" s="228">
        <v>27</v>
      </c>
      <c r="DI81" s="228">
        <v>26.6</v>
      </c>
      <c r="DJ81" s="228">
        <v>0.4</v>
      </c>
      <c r="DK81" s="228">
        <v>0.4</v>
      </c>
      <c r="DL81" s="228">
        <v>28.59</v>
      </c>
      <c r="DM81" s="228">
        <v>28.68</v>
      </c>
      <c r="DN81" s="228">
        <v>-0.09</v>
      </c>
      <c r="DO81" s="228">
        <v>-0.09</v>
      </c>
      <c r="DP81" s="228">
        <v>0.61</v>
      </c>
      <c r="DQ81" s="228">
        <v>0.63</v>
      </c>
      <c r="DR81" s="228">
        <v>-0.02</v>
      </c>
      <c r="DS81" s="229">
        <v>-3.1699999999999999E-2</v>
      </c>
      <c r="DT81" s="228">
        <v>600</v>
      </c>
      <c r="DU81" s="228">
        <v>560</v>
      </c>
      <c r="DV81" s="228">
        <v>0.52</v>
      </c>
      <c r="DW81" s="228">
        <v>0.54</v>
      </c>
      <c r="DX81" s="228">
        <v>-0.02</v>
      </c>
      <c r="DY81" s="229">
        <v>-3.6999999999999998E-2</v>
      </c>
      <c r="DZ81" s="229">
        <v>9.7199999999999995E-2</v>
      </c>
      <c r="EA81" s="230">
        <v>4090900</v>
      </c>
      <c r="EB81" s="229">
        <v>2.8999999999999998E-3</v>
      </c>
      <c r="EC81" s="229">
        <v>9.7199999999999995E-2</v>
      </c>
      <c r="ED81" s="228">
        <v>0.83</v>
      </c>
      <c r="EE81" s="229">
        <v>1.4E-3</v>
      </c>
      <c r="EF81" s="230">
        <v>1502853</v>
      </c>
      <c r="EG81" s="230">
        <v>4234431</v>
      </c>
      <c r="EH81" s="229">
        <v>-0.64510000000000001</v>
      </c>
      <c r="EI81" s="229">
        <v>0.55759999999999998</v>
      </c>
      <c r="EJ81" s="231">
        <v>49372.55</v>
      </c>
      <c r="EK81" s="231">
        <v>23722.32</v>
      </c>
      <c r="EL81" s="231">
        <v>15912.24</v>
      </c>
      <c r="EM81" s="231">
        <v>10467</v>
      </c>
      <c r="EN81" s="231">
        <v>89007.11</v>
      </c>
      <c r="EO81" s="231">
        <v>145818.44</v>
      </c>
      <c r="EP81" s="231">
        <v>-56811.33</v>
      </c>
      <c r="EQ81" s="229">
        <v>-0.3896</v>
      </c>
      <c r="ER81" s="231">
        <v>86466</v>
      </c>
      <c r="ES81" s="231">
        <v>48085</v>
      </c>
      <c r="ET81" s="231">
        <v>262502</v>
      </c>
      <c r="EU81" s="231">
        <v>156090005</v>
      </c>
      <c r="EV81" s="231">
        <v>397054</v>
      </c>
      <c r="EW81" s="231">
        <v>379984</v>
      </c>
      <c r="EX81" s="231">
        <v>17070</v>
      </c>
      <c r="EY81" s="229">
        <v>4.4900000000000002E-2</v>
      </c>
      <c r="EZ81" s="229">
        <v>0.4259</v>
      </c>
      <c r="FA81" s="227" t="s">
        <v>555</v>
      </c>
      <c r="FB81" s="161">
        <f t="shared" si="1"/>
        <v>4310900</v>
      </c>
    </row>
    <row r="82" spans="1:158" ht="17.25" thickBot="1" x14ac:dyDescent="0.3">
      <c r="A82" s="226">
        <v>46146</v>
      </c>
      <c r="B82" s="227" t="s">
        <v>162</v>
      </c>
      <c r="C82" s="227" t="s">
        <v>226</v>
      </c>
      <c r="D82" s="228">
        <v>150</v>
      </c>
      <c r="E82" s="231">
        <v>5082.5</v>
      </c>
      <c r="F82" s="231">
        <v>5124</v>
      </c>
      <c r="G82" s="228">
        <v>-41.5</v>
      </c>
      <c r="H82" s="229">
        <v>-8.0999999999999996E-3</v>
      </c>
      <c r="I82" s="231">
        <v>5066.5</v>
      </c>
      <c r="J82" s="231">
        <v>5099</v>
      </c>
      <c r="K82" s="228">
        <v>-32.5</v>
      </c>
      <c r="L82" s="229">
        <v>-6.4000000000000003E-3</v>
      </c>
      <c r="M82" s="231">
        <v>5082.5</v>
      </c>
      <c r="N82" s="231">
        <v>5124</v>
      </c>
      <c r="O82" s="228">
        <v>-41.5</v>
      </c>
      <c r="P82" s="229">
        <v>-8.0999999999999996E-3</v>
      </c>
      <c r="Q82" s="231">
        <v>5114.5</v>
      </c>
      <c r="R82" s="231">
        <v>5159</v>
      </c>
      <c r="S82" s="228">
        <v>-44.5</v>
      </c>
      <c r="T82" s="229">
        <v>-8.6E-3</v>
      </c>
      <c r="U82" s="231">
        <v>5091</v>
      </c>
      <c r="V82" s="231">
        <v>5133.5</v>
      </c>
      <c r="W82" s="228">
        <v>-42.5</v>
      </c>
      <c r="X82" s="229">
        <v>-8.3000000000000001E-3</v>
      </c>
      <c r="Y82" s="228">
        <v>16</v>
      </c>
      <c r="Z82" s="228">
        <v>25</v>
      </c>
      <c r="AA82" s="228">
        <v>-9</v>
      </c>
      <c r="AB82" s="229">
        <v>3.2000000000000002E-3</v>
      </c>
      <c r="AC82" s="228">
        <v>16</v>
      </c>
      <c r="AD82" s="228">
        <v>25</v>
      </c>
      <c r="AE82" s="228">
        <v>-9</v>
      </c>
      <c r="AF82" s="229">
        <v>3.2000000000000002E-3</v>
      </c>
      <c r="AG82" s="228">
        <v>48</v>
      </c>
      <c r="AH82" s="228">
        <v>60</v>
      </c>
      <c r="AI82" s="228">
        <v>-12</v>
      </c>
      <c r="AJ82" s="229">
        <v>9.4999999999999998E-3</v>
      </c>
      <c r="AK82" s="228">
        <v>24.5</v>
      </c>
      <c r="AL82" s="228">
        <v>34.5</v>
      </c>
      <c r="AM82" s="228">
        <v>-10</v>
      </c>
      <c r="AN82" s="229">
        <v>4.7999999999999996E-3</v>
      </c>
      <c r="AO82" s="231">
        <v>5124.18</v>
      </c>
      <c r="AP82" s="231">
        <v>5176.29</v>
      </c>
      <c r="AQ82" s="228">
        <v>0</v>
      </c>
      <c r="AR82" s="230">
        <v>963750</v>
      </c>
      <c r="AS82" s="230">
        <v>634200</v>
      </c>
      <c r="AT82" s="230">
        <v>329550</v>
      </c>
      <c r="AU82" s="229">
        <v>0.51959999999999995</v>
      </c>
      <c r="AV82" s="230">
        <v>910200</v>
      </c>
      <c r="AW82" s="230">
        <v>607950</v>
      </c>
      <c r="AX82" s="230">
        <v>302250</v>
      </c>
      <c r="AY82" s="229">
        <v>0.49719999999999998</v>
      </c>
      <c r="AZ82" s="230">
        <v>45000</v>
      </c>
      <c r="BA82" s="230">
        <v>22800</v>
      </c>
      <c r="BB82" s="230">
        <v>22200</v>
      </c>
      <c r="BC82" s="229">
        <v>0.97370000000000001</v>
      </c>
      <c r="BD82" s="230">
        <v>8550</v>
      </c>
      <c r="BE82" s="230">
        <v>3450</v>
      </c>
      <c r="BF82" s="230">
        <v>5100</v>
      </c>
      <c r="BG82" s="229">
        <v>1.4782999999999999</v>
      </c>
      <c r="BH82" s="230">
        <v>3572850</v>
      </c>
      <c r="BI82" s="230">
        <v>1930500</v>
      </c>
      <c r="BJ82" s="230">
        <v>1642350</v>
      </c>
      <c r="BK82" s="229">
        <v>0.85070000000000001</v>
      </c>
      <c r="BL82" s="230">
        <v>1213050</v>
      </c>
      <c r="BM82" s="230">
        <v>866250</v>
      </c>
      <c r="BN82" s="230">
        <v>346800</v>
      </c>
      <c r="BO82" s="229">
        <v>0.40029999999999999</v>
      </c>
      <c r="BP82" s="230">
        <v>5749650</v>
      </c>
      <c r="BQ82" s="230">
        <v>3430950</v>
      </c>
      <c r="BR82" s="230">
        <v>2318700</v>
      </c>
      <c r="BS82" s="229">
        <v>0.67579999999999996</v>
      </c>
      <c r="BT82" s="230">
        <v>654995</v>
      </c>
      <c r="BU82" s="230">
        <v>492867</v>
      </c>
      <c r="BV82" s="230">
        <v>162128</v>
      </c>
      <c r="BW82" s="229">
        <v>0.32890000000000003</v>
      </c>
      <c r="BX82" s="230">
        <v>4463850</v>
      </c>
      <c r="BY82" s="230">
        <v>4323150</v>
      </c>
      <c r="BZ82" s="230">
        <v>140700</v>
      </c>
      <c r="CA82" s="229">
        <v>3.2500000000000001E-2</v>
      </c>
      <c r="CB82" s="230">
        <v>4164000</v>
      </c>
      <c r="CC82" s="230">
        <v>4046550</v>
      </c>
      <c r="CD82" s="230">
        <v>117450</v>
      </c>
      <c r="CE82" s="229">
        <v>2.9000000000000001E-2</v>
      </c>
      <c r="CF82" s="230">
        <v>291600</v>
      </c>
      <c r="CG82" s="230">
        <v>273600</v>
      </c>
      <c r="CH82" s="230">
        <v>18000</v>
      </c>
      <c r="CI82" s="229">
        <v>6.5799999999999997E-2</v>
      </c>
      <c r="CJ82" s="230">
        <v>8250</v>
      </c>
      <c r="CK82" s="230">
        <v>3000</v>
      </c>
      <c r="CL82" s="230">
        <v>5250</v>
      </c>
      <c r="CM82" s="229">
        <v>1.75</v>
      </c>
      <c r="CN82" s="230">
        <v>1510500</v>
      </c>
      <c r="CO82" s="230">
        <v>1157850</v>
      </c>
      <c r="CP82" s="230">
        <v>352650</v>
      </c>
      <c r="CQ82" s="229">
        <v>0.30459999999999998</v>
      </c>
      <c r="CR82" s="230">
        <v>892800</v>
      </c>
      <c r="CS82" s="230">
        <v>747300</v>
      </c>
      <c r="CT82" s="230">
        <v>145500</v>
      </c>
      <c r="CU82" s="229">
        <v>0.19470000000000001</v>
      </c>
      <c r="CV82" s="230">
        <v>6867150</v>
      </c>
      <c r="CW82" s="230">
        <v>6228300</v>
      </c>
      <c r="CX82" s="230">
        <v>638850</v>
      </c>
      <c r="CY82" s="229">
        <v>0.1026</v>
      </c>
      <c r="CZ82" s="228">
        <v>36.42</v>
      </c>
      <c r="DA82" s="228">
        <v>34.93</v>
      </c>
      <c r="DB82" s="228">
        <v>1.49</v>
      </c>
      <c r="DC82" s="228">
        <v>1.49</v>
      </c>
      <c r="DD82" s="228">
        <v>33.25</v>
      </c>
      <c r="DE82" s="228">
        <v>33.32</v>
      </c>
      <c r="DF82" s="228">
        <v>3.17</v>
      </c>
      <c r="DG82" s="228">
        <v>-7.0000000000000007E-2</v>
      </c>
      <c r="DH82" s="228">
        <v>36.619999999999997</v>
      </c>
      <c r="DI82" s="228">
        <v>35</v>
      </c>
      <c r="DJ82" s="228">
        <v>1.62</v>
      </c>
      <c r="DK82" s="228">
        <v>1.62</v>
      </c>
      <c r="DL82" s="228">
        <v>35.83</v>
      </c>
      <c r="DM82" s="228">
        <v>34.78</v>
      </c>
      <c r="DN82" s="228">
        <v>1.05</v>
      </c>
      <c r="DO82" s="228">
        <v>1.05</v>
      </c>
      <c r="DP82" s="228">
        <v>0.59</v>
      </c>
      <c r="DQ82" s="228">
        <v>0.65</v>
      </c>
      <c r="DR82" s="228">
        <v>-0.06</v>
      </c>
      <c r="DS82" s="229">
        <v>-9.2299999999999993E-2</v>
      </c>
      <c r="DT82" s="231">
        <v>5500</v>
      </c>
      <c r="DU82" s="231">
        <v>5000</v>
      </c>
      <c r="DV82" s="228">
        <v>0.34</v>
      </c>
      <c r="DW82" s="228">
        <v>0.45</v>
      </c>
      <c r="DX82" s="228">
        <v>-0.11</v>
      </c>
      <c r="DY82" s="229">
        <v>-0.24440000000000001</v>
      </c>
      <c r="DZ82" s="229">
        <v>6.7199999999999996E-2</v>
      </c>
      <c r="EA82" s="230">
        <v>276600</v>
      </c>
      <c r="EB82" s="229">
        <v>6.3E-3</v>
      </c>
      <c r="EC82" s="229">
        <v>6.7199999999999996E-2</v>
      </c>
      <c r="ED82" s="228">
        <v>52.11</v>
      </c>
      <c r="EE82" s="229">
        <v>1.0200000000000001E-2</v>
      </c>
      <c r="EF82" s="230">
        <v>277261</v>
      </c>
      <c r="EG82" s="230">
        <v>230710</v>
      </c>
      <c r="EH82" s="229">
        <v>0.20180000000000001</v>
      </c>
      <c r="EI82" s="229">
        <v>0.42330000000000001</v>
      </c>
      <c r="EJ82" s="231">
        <v>195955.8</v>
      </c>
      <c r="EK82" s="231">
        <v>61913.34</v>
      </c>
      <c r="EL82" s="231">
        <v>49407.92</v>
      </c>
      <c r="EM82" s="231">
        <v>9207</v>
      </c>
      <c r="EN82" s="231">
        <v>307277.06</v>
      </c>
      <c r="EO82" s="231">
        <v>181746.58</v>
      </c>
      <c r="EP82" s="231">
        <v>125530.48</v>
      </c>
      <c r="EQ82" s="229">
        <v>0.69069999999999998</v>
      </c>
      <c r="ER82" s="231">
        <v>81475</v>
      </c>
      <c r="ES82" s="231">
        <v>44275</v>
      </c>
      <c r="ET82" s="231">
        <v>226969</v>
      </c>
      <c r="EU82" s="231">
        <v>19589014</v>
      </c>
      <c r="EV82" s="231">
        <v>352720</v>
      </c>
      <c r="EW82" s="231">
        <v>321115</v>
      </c>
      <c r="EX82" s="231">
        <v>31605</v>
      </c>
      <c r="EY82" s="229">
        <v>9.8400000000000001E-2</v>
      </c>
      <c r="EZ82" s="229">
        <v>0.35060000000000002</v>
      </c>
      <c r="FA82" s="227" t="s">
        <v>566</v>
      </c>
      <c r="FB82" s="161">
        <f t="shared" si="1"/>
        <v>299850</v>
      </c>
    </row>
    <row r="83" spans="1:158" ht="17.25" thickBot="1" x14ac:dyDescent="0.3">
      <c r="A83" s="226">
        <v>46146</v>
      </c>
      <c r="B83" s="227" t="s">
        <v>227</v>
      </c>
      <c r="C83" s="227" t="s">
        <v>228</v>
      </c>
      <c r="D83" s="228">
        <v>700</v>
      </c>
      <c r="E83" s="231">
        <v>1048.5</v>
      </c>
      <c r="F83" s="231">
        <v>1042.3</v>
      </c>
      <c r="G83" s="228">
        <v>6.2</v>
      </c>
      <c r="H83" s="229">
        <v>5.8999999999999999E-3</v>
      </c>
      <c r="I83" s="231">
        <v>1042.7</v>
      </c>
      <c r="J83" s="231">
        <v>1038</v>
      </c>
      <c r="K83" s="228">
        <v>4.7</v>
      </c>
      <c r="L83" s="229">
        <v>4.4999999999999997E-3</v>
      </c>
      <c r="M83" s="231">
        <v>1048.5</v>
      </c>
      <c r="N83" s="231">
        <v>1042.3</v>
      </c>
      <c r="O83" s="228">
        <v>6.2</v>
      </c>
      <c r="P83" s="229">
        <v>5.8999999999999999E-3</v>
      </c>
      <c r="Q83" s="231">
        <v>1055</v>
      </c>
      <c r="R83" s="231">
        <v>1047.9000000000001</v>
      </c>
      <c r="S83" s="228">
        <v>7.1</v>
      </c>
      <c r="T83" s="229">
        <v>6.7999999999999996E-3</v>
      </c>
      <c r="U83" s="231">
        <v>1059.0999999999999</v>
      </c>
      <c r="V83" s="231">
        <v>1055.0999999999999</v>
      </c>
      <c r="W83" s="228">
        <v>4</v>
      </c>
      <c r="X83" s="229">
        <v>3.8E-3</v>
      </c>
      <c r="Y83" s="228">
        <v>5.8</v>
      </c>
      <c r="Z83" s="228">
        <v>4.3</v>
      </c>
      <c r="AA83" s="228">
        <v>1.5</v>
      </c>
      <c r="AB83" s="229">
        <v>5.5999999999999999E-3</v>
      </c>
      <c r="AC83" s="228">
        <v>5.8</v>
      </c>
      <c r="AD83" s="228">
        <v>4.3</v>
      </c>
      <c r="AE83" s="228">
        <v>1.5</v>
      </c>
      <c r="AF83" s="229">
        <v>5.5999999999999999E-3</v>
      </c>
      <c r="AG83" s="228">
        <v>12.3</v>
      </c>
      <c r="AH83" s="228">
        <v>9.9</v>
      </c>
      <c r="AI83" s="228">
        <v>2.4</v>
      </c>
      <c r="AJ83" s="229">
        <v>1.18E-2</v>
      </c>
      <c r="AK83" s="228">
        <v>16.399999999999999</v>
      </c>
      <c r="AL83" s="228">
        <v>17.100000000000001</v>
      </c>
      <c r="AM83" s="228">
        <v>-0.7</v>
      </c>
      <c r="AN83" s="229">
        <v>1.5699999999999999E-2</v>
      </c>
      <c r="AO83" s="231">
        <v>1047.82</v>
      </c>
      <c r="AP83" s="231">
        <v>1055.48</v>
      </c>
      <c r="AQ83" s="228">
        <v>0</v>
      </c>
      <c r="AR83" s="230">
        <v>3908800</v>
      </c>
      <c r="AS83" s="230">
        <v>6869100</v>
      </c>
      <c r="AT83" s="230">
        <v>-2960300</v>
      </c>
      <c r="AU83" s="229">
        <v>-0.43099999999999999</v>
      </c>
      <c r="AV83" s="230">
        <v>3514700</v>
      </c>
      <c r="AW83" s="230">
        <v>6568100</v>
      </c>
      <c r="AX83" s="230">
        <v>-3053400</v>
      </c>
      <c r="AY83" s="229">
        <v>-0.46489999999999998</v>
      </c>
      <c r="AZ83" s="230">
        <v>388500</v>
      </c>
      <c r="BA83" s="230">
        <v>259700</v>
      </c>
      <c r="BB83" s="230">
        <v>128800</v>
      </c>
      <c r="BC83" s="229">
        <v>0.496</v>
      </c>
      <c r="BD83" s="230">
        <v>5600</v>
      </c>
      <c r="BE83" s="230">
        <v>41300</v>
      </c>
      <c r="BF83" s="230">
        <v>-35700</v>
      </c>
      <c r="BG83" s="229">
        <v>-0.86439999999999995</v>
      </c>
      <c r="BH83" s="230">
        <v>9289700</v>
      </c>
      <c r="BI83" s="230">
        <v>9483600</v>
      </c>
      <c r="BJ83" s="230">
        <v>-193900</v>
      </c>
      <c r="BK83" s="229">
        <v>-2.0400000000000001E-2</v>
      </c>
      <c r="BL83" s="230">
        <v>5571300</v>
      </c>
      <c r="BM83" s="230">
        <v>8071000</v>
      </c>
      <c r="BN83" s="230">
        <v>-2499700</v>
      </c>
      <c r="BO83" s="229">
        <v>-0.30969999999999998</v>
      </c>
      <c r="BP83" s="230">
        <v>18769800</v>
      </c>
      <c r="BQ83" s="230">
        <v>24423700</v>
      </c>
      <c r="BR83" s="230">
        <v>-5653900</v>
      </c>
      <c r="BS83" s="229">
        <v>-0.23150000000000001</v>
      </c>
      <c r="BT83" s="230">
        <v>3432608</v>
      </c>
      <c r="BU83" s="230">
        <v>4507546</v>
      </c>
      <c r="BV83" s="230">
        <v>-1074938</v>
      </c>
      <c r="BW83" s="229">
        <v>-0.23849999999999999</v>
      </c>
      <c r="BX83" s="230">
        <v>34076000</v>
      </c>
      <c r="BY83" s="230">
        <v>33938800</v>
      </c>
      <c r="BZ83" s="230">
        <v>137200</v>
      </c>
      <c r="CA83" s="229">
        <v>4.0000000000000001E-3</v>
      </c>
      <c r="CB83" s="230">
        <v>30849000</v>
      </c>
      <c r="CC83" s="230">
        <v>30951900</v>
      </c>
      <c r="CD83" s="230">
        <v>-102900</v>
      </c>
      <c r="CE83" s="229">
        <v>-3.3E-3</v>
      </c>
      <c r="CF83" s="230">
        <v>3192700</v>
      </c>
      <c r="CG83" s="230">
        <v>2957500</v>
      </c>
      <c r="CH83" s="230">
        <v>235200</v>
      </c>
      <c r="CI83" s="229">
        <v>7.9500000000000001E-2</v>
      </c>
      <c r="CJ83" s="230">
        <v>34300</v>
      </c>
      <c r="CK83" s="230">
        <v>29400</v>
      </c>
      <c r="CL83" s="230">
        <v>4900</v>
      </c>
      <c r="CM83" s="229">
        <v>0.16669999999999999</v>
      </c>
      <c r="CN83" s="230">
        <v>6256600</v>
      </c>
      <c r="CO83" s="230">
        <v>5434100</v>
      </c>
      <c r="CP83" s="230">
        <v>822500</v>
      </c>
      <c r="CQ83" s="229">
        <v>0.15140000000000001</v>
      </c>
      <c r="CR83" s="230">
        <v>4745300</v>
      </c>
      <c r="CS83" s="230">
        <v>4108300</v>
      </c>
      <c r="CT83" s="230">
        <v>637000</v>
      </c>
      <c r="CU83" s="229">
        <v>0.15509999999999999</v>
      </c>
      <c r="CV83" s="230">
        <v>45077900</v>
      </c>
      <c r="CW83" s="230">
        <v>43481200</v>
      </c>
      <c r="CX83" s="230">
        <v>1596700</v>
      </c>
      <c r="CY83" s="229">
        <v>3.6700000000000003E-2</v>
      </c>
      <c r="CZ83" s="228">
        <v>34.78</v>
      </c>
      <c r="DA83" s="228">
        <v>33.86</v>
      </c>
      <c r="DB83" s="228">
        <v>0.92</v>
      </c>
      <c r="DC83" s="228">
        <v>0.92</v>
      </c>
      <c r="DD83" s="228">
        <v>36.19</v>
      </c>
      <c r="DE83" s="228">
        <v>36.28</v>
      </c>
      <c r="DF83" s="228">
        <v>-1.41</v>
      </c>
      <c r="DG83" s="228">
        <v>-0.09</v>
      </c>
      <c r="DH83" s="228">
        <v>34.49</v>
      </c>
      <c r="DI83" s="228">
        <v>34.04</v>
      </c>
      <c r="DJ83" s="228">
        <v>0.45</v>
      </c>
      <c r="DK83" s="228">
        <v>0.45</v>
      </c>
      <c r="DL83" s="228">
        <v>35.26</v>
      </c>
      <c r="DM83" s="228">
        <v>33.64</v>
      </c>
      <c r="DN83" s="228">
        <v>1.62</v>
      </c>
      <c r="DO83" s="228">
        <v>1.62</v>
      </c>
      <c r="DP83" s="228">
        <v>0.76</v>
      </c>
      <c r="DQ83" s="228">
        <v>0.76</v>
      </c>
      <c r="DR83" s="228">
        <v>0</v>
      </c>
      <c r="DS83" s="229">
        <v>0</v>
      </c>
      <c r="DT83" s="231">
        <v>1070</v>
      </c>
      <c r="DU83" s="231">
        <v>1000</v>
      </c>
      <c r="DV83" s="228">
        <v>0.6</v>
      </c>
      <c r="DW83" s="228">
        <v>0.85</v>
      </c>
      <c r="DX83" s="228">
        <v>-0.25</v>
      </c>
      <c r="DY83" s="229">
        <v>-0.29409999999999997</v>
      </c>
      <c r="DZ83" s="229">
        <v>9.4700000000000006E-2</v>
      </c>
      <c r="EA83" s="230">
        <v>2986900</v>
      </c>
      <c r="EB83" s="229">
        <v>6.1999999999999998E-3</v>
      </c>
      <c r="EC83" s="229">
        <v>9.4700000000000006E-2</v>
      </c>
      <c r="ED83" s="228">
        <v>7.66</v>
      </c>
      <c r="EE83" s="229">
        <v>7.3000000000000001E-3</v>
      </c>
      <c r="EF83" s="230">
        <v>2033479</v>
      </c>
      <c r="EG83" s="230">
        <v>2539368</v>
      </c>
      <c r="EH83" s="229">
        <v>-0.19919999999999999</v>
      </c>
      <c r="EI83" s="229">
        <v>0.59240000000000004</v>
      </c>
      <c r="EJ83" s="231">
        <v>103003.34</v>
      </c>
      <c r="EK83" s="231">
        <v>58324.47</v>
      </c>
      <c r="EL83" s="231">
        <v>40987.379999999997</v>
      </c>
      <c r="EM83" s="231">
        <v>16539</v>
      </c>
      <c r="EN83" s="231">
        <v>202315.19</v>
      </c>
      <c r="EO83" s="231">
        <v>262679.64</v>
      </c>
      <c r="EP83" s="231">
        <v>-60364.45</v>
      </c>
      <c r="EQ83" s="229">
        <v>-0.2298</v>
      </c>
      <c r="ER83" s="231">
        <v>67840</v>
      </c>
      <c r="ES83" s="231">
        <v>47566</v>
      </c>
      <c r="ET83" s="231">
        <v>357498</v>
      </c>
      <c r="EU83" s="231">
        <v>218611634</v>
      </c>
      <c r="EV83" s="231">
        <v>472904</v>
      </c>
      <c r="EW83" s="231">
        <v>453676</v>
      </c>
      <c r="EX83" s="231">
        <v>19228</v>
      </c>
      <c r="EY83" s="229">
        <v>4.24E-2</v>
      </c>
      <c r="EZ83" s="229">
        <v>0.20619999999999999</v>
      </c>
      <c r="FA83" s="227" t="s">
        <v>555</v>
      </c>
      <c r="FB83" s="161">
        <f t="shared" si="1"/>
        <v>3227000</v>
      </c>
    </row>
    <row r="84" spans="1:158" ht="17.25" thickBot="1" x14ac:dyDescent="0.3">
      <c r="A84" s="226">
        <v>46146</v>
      </c>
      <c r="B84" s="227" t="s">
        <v>193</v>
      </c>
      <c r="C84" s="227" t="s">
        <v>229</v>
      </c>
      <c r="D84" s="228">
        <v>2025</v>
      </c>
      <c r="E84" s="228">
        <v>376.1</v>
      </c>
      <c r="F84" s="228">
        <v>376.85</v>
      </c>
      <c r="G84" s="228">
        <v>-0.75</v>
      </c>
      <c r="H84" s="229">
        <v>-2E-3</v>
      </c>
      <c r="I84" s="228">
        <v>373.85</v>
      </c>
      <c r="J84" s="228">
        <v>374.55</v>
      </c>
      <c r="K84" s="228">
        <v>-0.7</v>
      </c>
      <c r="L84" s="229">
        <v>-1.9E-3</v>
      </c>
      <c r="M84" s="228">
        <v>376.1</v>
      </c>
      <c r="N84" s="228">
        <v>376.85</v>
      </c>
      <c r="O84" s="228">
        <v>-0.75</v>
      </c>
      <c r="P84" s="229">
        <v>-2E-3</v>
      </c>
      <c r="Q84" s="228">
        <v>378.35</v>
      </c>
      <c r="R84" s="228">
        <v>379.1</v>
      </c>
      <c r="S84" s="228">
        <v>-0.75</v>
      </c>
      <c r="T84" s="229">
        <v>-2E-3</v>
      </c>
      <c r="U84" s="228">
        <v>380</v>
      </c>
      <c r="V84" s="228">
        <v>379.35</v>
      </c>
      <c r="W84" s="228">
        <v>0.65</v>
      </c>
      <c r="X84" s="229">
        <v>1.6999999999999999E-3</v>
      </c>
      <c r="Y84" s="228">
        <v>2.25</v>
      </c>
      <c r="Z84" s="228">
        <v>2.2999999999999998</v>
      </c>
      <c r="AA84" s="228">
        <v>-0.05</v>
      </c>
      <c r="AB84" s="229">
        <v>6.0000000000000001E-3</v>
      </c>
      <c r="AC84" s="228">
        <v>2.25</v>
      </c>
      <c r="AD84" s="228">
        <v>2.2999999999999998</v>
      </c>
      <c r="AE84" s="228">
        <v>-0.05</v>
      </c>
      <c r="AF84" s="229">
        <v>6.0000000000000001E-3</v>
      </c>
      <c r="AG84" s="228">
        <v>4.5</v>
      </c>
      <c r="AH84" s="228">
        <v>4.55</v>
      </c>
      <c r="AI84" s="228">
        <v>-0.05</v>
      </c>
      <c r="AJ84" s="229">
        <v>1.2E-2</v>
      </c>
      <c r="AK84" s="228">
        <v>6.15</v>
      </c>
      <c r="AL84" s="228">
        <v>4.8</v>
      </c>
      <c r="AM84" s="228">
        <v>1.35</v>
      </c>
      <c r="AN84" s="229">
        <v>1.6500000000000001E-2</v>
      </c>
      <c r="AO84" s="228">
        <v>377.71</v>
      </c>
      <c r="AP84" s="228">
        <v>379.86</v>
      </c>
      <c r="AQ84" s="228">
        <v>0</v>
      </c>
      <c r="AR84" s="230">
        <v>5716575</v>
      </c>
      <c r="AS84" s="230">
        <v>7719300</v>
      </c>
      <c r="AT84" s="230">
        <v>-2002725</v>
      </c>
      <c r="AU84" s="229">
        <v>-0.25940000000000002</v>
      </c>
      <c r="AV84" s="230">
        <v>5463450</v>
      </c>
      <c r="AW84" s="230">
        <v>7478325</v>
      </c>
      <c r="AX84" s="230">
        <v>-2014875</v>
      </c>
      <c r="AY84" s="229">
        <v>-0.26939999999999997</v>
      </c>
      <c r="AZ84" s="230">
        <v>228825</v>
      </c>
      <c r="BA84" s="230">
        <v>200475</v>
      </c>
      <c r="BB84" s="230">
        <v>28350</v>
      </c>
      <c r="BC84" s="229">
        <v>0.1414</v>
      </c>
      <c r="BD84" s="230">
        <v>24300</v>
      </c>
      <c r="BE84" s="230">
        <v>40500</v>
      </c>
      <c r="BF84" s="230">
        <v>-16200</v>
      </c>
      <c r="BG84" s="229">
        <v>-0.4</v>
      </c>
      <c r="BH84" s="230">
        <v>7644375</v>
      </c>
      <c r="BI84" s="230">
        <v>9179325</v>
      </c>
      <c r="BJ84" s="230">
        <v>-1534950</v>
      </c>
      <c r="BK84" s="229">
        <v>-0.16719999999999999</v>
      </c>
      <c r="BL84" s="230">
        <v>7273800</v>
      </c>
      <c r="BM84" s="230">
        <v>7838775</v>
      </c>
      <c r="BN84" s="230">
        <v>-564975</v>
      </c>
      <c r="BO84" s="229">
        <v>-7.2099999999999997E-2</v>
      </c>
      <c r="BP84" s="230">
        <v>20634750</v>
      </c>
      <c r="BQ84" s="230">
        <v>24737400</v>
      </c>
      <c r="BR84" s="230">
        <v>-4102650</v>
      </c>
      <c r="BS84" s="229">
        <v>-0.1658</v>
      </c>
      <c r="BT84" s="230">
        <v>7530207</v>
      </c>
      <c r="BU84" s="230">
        <v>5554027</v>
      </c>
      <c r="BV84" s="230">
        <v>1976180</v>
      </c>
      <c r="BW84" s="229">
        <v>0.35580000000000001</v>
      </c>
      <c r="BX84" s="230">
        <v>37586025</v>
      </c>
      <c r="BY84" s="230">
        <v>35826300</v>
      </c>
      <c r="BZ84" s="230">
        <v>1759725</v>
      </c>
      <c r="CA84" s="229">
        <v>4.9099999999999998E-2</v>
      </c>
      <c r="CB84" s="230">
        <v>36283950</v>
      </c>
      <c r="CC84" s="230">
        <v>34625475</v>
      </c>
      <c r="CD84" s="230">
        <v>1658475</v>
      </c>
      <c r="CE84" s="229">
        <v>4.7899999999999998E-2</v>
      </c>
      <c r="CF84" s="230">
        <v>1271700</v>
      </c>
      <c r="CG84" s="230">
        <v>1180575</v>
      </c>
      <c r="CH84" s="230">
        <v>91125</v>
      </c>
      <c r="CI84" s="229">
        <v>7.7200000000000005E-2</v>
      </c>
      <c r="CJ84" s="230">
        <v>30375</v>
      </c>
      <c r="CK84" s="230">
        <v>20250</v>
      </c>
      <c r="CL84" s="230">
        <v>10125</v>
      </c>
      <c r="CM84" s="229">
        <v>0.5</v>
      </c>
      <c r="CN84" s="230">
        <v>9851625</v>
      </c>
      <c r="CO84" s="230">
        <v>8581950</v>
      </c>
      <c r="CP84" s="230">
        <v>1269675</v>
      </c>
      <c r="CQ84" s="229">
        <v>0.1479</v>
      </c>
      <c r="CR84" s="230">
        <v>11325825</v>
      </c>
      <c r="CS84" s="230">
        <v>8999100</v>
      </c>
      <c r="CT84" s="230">
        <v>2326725</v>
      </c>
      <c r="CU84" s="229">
        <v>0.2586</v>
      </c>
      <c r="CV84" s="230">
        <v>58763475</v>
      </c>
      <c r="CW84" s="230">
        <v>53407350</v>
      </c>
      <c r="CX84" s="230">
        <v>5356125</v>
      </c>
      <c r="CY84" s="229">
        <v>0.1003</v>
      </c>
      <c r="CZ84" s="228">
        <v>45.47</v>
      </c>
      <c r="DA84" s="228">
        <v>45.91</v>
      </c>
      <c r="DB84" s="228">
        <v>-0.44</v>
      </c>
      <c r="DC84" s="228">
        <v>-0.44</v>
      </c>
      <c r="DD84" s="228">
        <v>43.53</v>
      </c>
      <c r="DE84" s="228">
        <v>43.64</v>
      </c>
      <c r="DF84" s="228">
        <v>1.94</v>
      </c>
      <c r="DG84" s="228">
        <v>-0.11</v>
      </c>
      <c r="DH84" s="228">
        <v>44.7</v>
      </c>
      <c r="DI84" s="228">
        <v>45.53</v>
      </c>
      <c r="DJ84" s="228">
        <v>-0.83</v>
      </c>
      <c r="DK84" s="228">
        <v>-0.83</v>
      </c>
      <c r="DL84" s="228">
        <v>46.28</v>
      </c>
      <c r="DM84" s="228">
        <v>46.36</v>
      </c>
      <c r="DN84" s="228">
        <v>-0.08</v>
      </c>
      <c r="DO84" s="228">
        <v>-0.08</v>
      </c>
      <c r="DP84" s="228">
        <v>1.1499999999999999</v>
      </c>
      <c r="DQ84" s="228">
        <v>1.05</v>
      </c>
      <c r="DR84" s="228">
        <v>0.1</v>
      </c>
      <c r="DS84" s="229">
        <v>9.5200000000000007E-2</v>
      </c>
      <c r="DT84" s="228">
        <v>400</v>
      </c>
      <c r="DU84" s="228">
        <v>380</v>
      </c>
      <c r="DV84" s="228">
        <v>0.95</v>
      </c>
      <c r="DW84" s="228">
        <v>0.85</v>
      </c>
      <c r="DX84" s="228">
        <v>0.1</v>
      </c>
      <c r="DY84" s="229">
        <v>0.1176</v>
      </c>
      <c r="DZ84" s="229">
        <v>3.4599999999999999E-2</v>
      </c>
      <c r="EA84" s="230">
        <v>1200825</v>
      </c>
      <c r="EB84" s="229">
        <v>6.0000000000000001E-3</v>
      </c>
      <c r="EC84" s="229">
        <v>3.4599999999999999E-2</v>
      </c>
      <c r="ED84" s="228">
        <v>2.15</v>
      </c>
      <c r="EE84" s="229">
        <v>5.7000000000000002E-3</v>
      </c>
      <c r="EF84" s="230">
        <v>4577560</v>
      </c>
      <c r="EG84" s="230">
        <v>2581958</v>
      </c>
      <c r="EH84" s="229">
        <v>0.77290000000000003</v>
      </c>
      <c r="EI84" s="229">
        <v>0.6079</v>
      </c>
      <c r="EJ84" s="231">
        <v>30964.86</v>
      </c>
      <c r="EK84" s="231">
        <v>26470.98</v>
      </c>
      <c r="EL84" s="231">
        <v>21597.9</v>
      </c>
      <c r="EM84" s="231">
        <v>7574</v>
      </c>
      <c r="EN84" s="231">
        <v>79033.740000000005</v>
      </c>
      <c r="EO84" s="231">
        <v>95378.06</v>
      </c>
      <c r="EP84" s="231">
        <v>-16344.32</v>
      </c>
      <c r="EQ84" s="229">
        <v>-0.1714</v>
      </c>
      <c r="ER84" s="231">
        <v>38942</v>
      </c>
      <c r="ES84" s="231">
        <v>41012</v>
      </c>
      <c r="ET84" s="231">
        <v>141391</v>
      </c>
      <c r="EU84" s="231">
        <v>143933168</v>
      </c>
      <c r="EV84" s="231">
        <v>221345</v>
      </c>
      <c r="EW84" s="231">
        <v>202029</v>
      </c>
      <c r="EX84" s="231">
        <v>19316</v>
      </c>
      <c r="EY84" s="229">
        <v>9.5600000000000004E-2</v>
      </c>
      <c r="EZ84" s="229">
        <v>0.4083</v>
      </c>
      <c r="FA84" s="227" t="s">
        <v>566</v>
      </c>
      <c r="FB84" s="161">
        <f t="shared" si="1"/>
        <v>1302075</v>
      </c>
    </row>
    <row r="85" spans="1:158" ht="17.25" thickBot="1" x14ac:dyDescent="0.3">
      <c r="A85" s="226">
        <v>46146</v>
      </c>
      <c r="B85" s="227" t="s">
        <v>168</v>
      </c>
      <c r="C85" s="227" t="s">
        <v>230</v>
      </c>
      <c r="D85" s="228">
        <v>300</v>
      </c>
      <c r="E85" s="231">
        <v>2320.1999999999998</v>
      </c>
      <c r="F85" s="231">
        <v>2259.6999999999998</v>
      </c>
      <c r="G85" s="228">
        <v>60.5</v>
      </c>
      <c r="H85" s="229">
        <v>2.6800000000000001E-2</v>
      </c>
      <c r="I85" s="231">
        <v>2309.3000000000002</v>
      </c>
      <c r="J85" s="231">
        <v>2250.9</v>
      </c>
      <c r="K85" s="228">
        <v>58.4</v>
      </c>
      <c r="L85" s="229">
        <v>2.5899999999999999E-2</v>
      </c>
      <c r="M85" s="231">
        <v>2320.1999999999998</v>
      </c>
      <c r="N85" s="231">
        <v>2259.6999999999998</v>
      </c>
      <c r="O85" s="228">
        <v>60.5</v>
      </c>
      <c r="P85" s="229">
        <v>2.6800000000000001E-2</v>
      </c>
      <c r="Q85" s="231">
        <v>2310.5</v>
      </c>
      <c r="R85" s="231">
        <v>2248.1</v>
      </c>
      <c r="S85" s="228">
        <v>62.4</v>
      </c>
      <c r="T85" s="229">
        <v>2.7799999999999998E-2</v>
      </c>
      <c r="U85" s="231">
        <v>2323.3000000000002</v>
      </c>
      <c r="V85" s="231">
        <v>2262.5</v>
      </c>
      <c r="W85" s="228">
        <v>60.8</v>
      </c>
      <c r="X85" s="229">
        <v>2.69E-2</v>
      </c>
      <c r="Y85" s="228">
        <v>10.9</v>
      </c>
      <c r="Z85" s="228">
        <v>8.8000000000000007</v>
      </c>
      <c r="AA85" s="228">
        <v>2.1</v>
      </c>
      <c r="AB85" s="229">
        <v>4.7000000000000002E-3</v>
      </c>
      <c r="AC85" s="228">
        <v>10.9</v>
      </c>
      <c r="AD85" s="228">
        <v>8.8000000000000007</v>
      </c>
      <c r="AE85" s="228">
        <v>2.1</v>
      </c>
      <c r="AF85" s="229">
        <v>4.7000000000000002E-3</v>
      </c>
      <c r="AG85" s="228">
        <v>1.2</v>
      </c>
      <c r="AH85" s="228">
        <v>-2.8</v>
      </c>
      <c r="AI85" s="228">
        <v>4</v>
      </c>
      <c r="AJ85" s="229">
        <v>5.0000000000000001E-4</v>
      </c>
      <c r="AK85" s="228">
        <v>14</v>
      </c>
      <c r="AL85" s="228">
        <v>11.6</v>
      </c>
      <c r="AM85" s="228">
        <v>2.4</v>
      </c>
      <c r="AN85" s="229">
        <v>6.1000000000000004E-3</v>
      </c>
      <c r="AO85" s="231">
        <v>2340.15</v>
      </c>
      <c r="AP85" s="231">
        <v>2331.87</v>
      </c>
      <c r="AQ85" s="228">
        <v>0</v>
      </c>
      <c r="AR85" s="230">
        <v>4474800</v>
      </c>
      <c r="AS85" s="230">
        <v>10213500</v>
      </c>
      <c r="AT85" s="230">
        <v>-5738700</v>
      </c>
      <c r="AU85" s="229">
        <v>-0.56189999999999996</v>
      </c>
      <c r="AV85" s="230">
        <v>4179000</v>
      </c>
      <c r="AW85" s="230">
        <v>9692400</v>
      </c>
      <c r="AX85" s="230">
        <v>-5513400</v>
      </c>
      <c r="AY85" s="229">
        <v>-0.56879999999999997</v>
      </c>
      <c r="AZ85" s="230">
        <v>269400</v>
      </c>
      <c r="BA85" s="230">
        <v>477900</v>
      </c>
      <c r="BB85" s="230">
        <v>-208500</v>
      </c>
      <c r="BC85" s="229">
        <v>-0.43630000000000002</v>
      </c>
      <c r="BD85" s="230">
        <v>26400</v>
      </c>
      <c r="BE85" s="230">
        <v>43200</v>
      </c>
      <c r="BF85" s="230">
        <v>-16800</v>
      </c>
      <c r="BG85" s="229">
        <v>-0.38890000000000002</v>
      </c>
      <c r="BH85" s="230">
        <v>30433500</v>
      </c>
      <c r="BI85" s="230">
        <v>44132400</v>
      </c>
      <c r="BJ85" s="230">
        <v>-13698900</v>
      </c>
      <c r="BK85" s="229">
        <v>-0.31040000000000001</v>
      </c>
      <c r="BL85" s="230">
        <v>14362800</v>
      </c>
      <c r="BM85" s="230">
        <v>22271100</v>
      </c>
      <c r="BN85" s="230">
        <v>-7908300</v>
      </c>
      <c r="BO85" s="229">
        <v>-0.35510000000000003</v>
      </c>
      <c r="BP85" s="230">
        <v>49271100</v>
      </c>
      <c r="BQ85" s="230">
        <v>76617000</v>
      </c>
      <c r="BR85" s="230">
        <v>-27345900</v>
      </c>
      <c r="BS85" s="229">
        <v>-0.3569</v>
      </c>
      <c r="BT85" s="230">
        <v>2665824</v>
      </c>
      <c r="BU85" s="230">
        <v>4739789</v>
      </c>
      <c r="BV85" s="230">
        <v>-2073965</v>
      </c>
      <c r="BW85" s="229">
        <v>-0.43759999999999999</v>
      </c>
      <c r="BX85" s="230">
        <v>15099900</v>
      </c>
      <c r="BY85" s="230">
        <v>15916200</v>
      </c>
      <c r="BZ85" s="230">
        <v>-816300</v>
      </c>
      <c r="CA85" s="229">
        <v>-5.1299999999999998E-2</v>
      </c>
      <c r="CB85" s="230">
        <v>14460600</v>
      </c>
      <c r="CC85" s="230">
        <v>15290400</v>
      </c>
      <c r="CD85" s="230">
        <v>-829800</v>
      </c>
      <c r="CE85" s="229">
        <v>-5.4300000000000001E-2</v>
      </c>
      <c r="CF85" s="230">
        <v>610200</v>
      </c>
      <c r="CG85" s="230">
        <v>594300</v>
      </c>
      <c r="CH85" s="230">
        <v>15900</v>
      </c>
      <c r="CI85" s="229">
        <v>2.6800000000000001E-2</v>
      </c>
      <c r="CJ85" s="230">
        <v>29100</v>
      </c>
      <c r="CK85" s="230">
        <v>31500</v>
      </c>
      <c r="CL85" s="230">
        <v>-2400</v>
      </c>
      <c r="CM85" s="229">
        <v>-7.6200000000000004E-2</v>
      </c>
      <c r="CN85" s="230">
        <v>7050900</v>
      </c>
      <c r="CO85" s="230">
        <v>7194300</v>
      </c>
      <c r="CP85" s="230">
        <v>-143400</v>
      </c>
      <c r="CQ85" s="229">
        <v>-1.9900000000000001E-2</v>
      </c>
      <c r="CR85" s="230">
        <v>4223400</v>
      </c>
      <c r="CS85" s="230">
        <v>3871200</v>
      </c>
      <c r="CT85" s="230">
        <v>352200</v>
      </c>
      <c r="CU85" s="229">
        <v>9.0999999999999998E-2</v>
      </c>
      <c r="CV85" s="230">
        <v>26374200</v>
      </c>
      <c r="CW85" s="230">
        <v>26981700</v>
      </c>
      <c r="CX85" s="230">
        <v>-607500</v>
      </c>
      <c r="CY85" s="229">
        <v>-2.2499999999999999E-2</v>
      </c>
      <c r="CZ85" s="228">
        <v>23.55</v>
      </c>
      <c r="DA85" s="228">
        <v>25.61</v>
      </c>
      <c r="DB85" s="228">
        <v>-2.06</v>
      </c>
      <c r="DC85" s="228">
        <v>-2.06</v>
      </c>
      <c r="DD85" s="228">
        <v>24.8</v>
      </c>
      <c r="DE85" s="228">
        <v>24.62</v>
      </c>
      <c r="DF85" s="228">
        <v>-1.25</v>
      </c>
      <c r="DG85" s="228">
        <v>0.18</v>
      </c>
      <c r="DH85" s="228">
        <v>23.47</v>
      </c>
      <c r="DI85" s="228">
        <v>25.76</v>
      </c>
      <c r="DJ85" s="228">
        <v>-2.29</v>
      </c>
      <c r="DK85" s="228">
        <v>-2.29</v>
      </c>
      <c r="DL85" s="228">
        <v>23.71</v>
      </c>
      <c r="DM85" s="228">
        <v>25.33</v>
      </c>
      <c r="DN85" s="228">
        <v>-1.62</v>
      </c>
      <c r="DO85" s="228">
        <v>-1.62</v>
      </c>
      <c r="DP85" s="228">
        <v>0.6</v>
      </c>
      <c r="DQ85" s="228">
        <v>0.54</v>
      </c>
      <c r="DR85" s="228">
        <v>0.06</v>
      </c>
      <c r="DS85" s="229">
        <v>0.1111</v>
      </c>
      <c r="DT85" s="231">
        <v>2400</v>
      </c>
      <c r="DU85" s="231">
        <v>2300</v>
      </c>
      <c r="DV85" s="228">
        <v>0.47</v>
      </c>
      <c r="DW85" s="228">
        <v>0.5</v>
      </c>
      <c r="DX85" s="228">
        <v>-0.03</v>
      </c>
      <c r="DY85" s="229">
        <v>-0.06</v>
      </c>
      <c r="DZ85" s="229">
        <v>4.2299999999999997E-2</v>
      </c>
      <c r="EA85" s="230">
        <v>625800</v>
      </c>
      <c r="EB85" s="229">
        <v>-4.1999999999999997E-3</v>
      </c>
      <c r="EC85" s="229">
        <v>4.2299999999999997E-2</v>
      </c>
      <c r="ED85" s="228">
        <v>-8.2799999999999994</v>
      </c>
      <c r="EE85" s="229">
        <v>-3.5000000000000001E-3</v>
      </c>
      <c r="EF85" s="230">
        <v>1146616</v>
      </c>
      <c r="EG85" s="230">
        <v>1514245</v>
      </c>
      <c r="EH85" s="229">
        <v>-0.24279999999999999</v>
      </c>
      <c r="EI85" s="229">
        <v>0.43009999999999998</v>
      </c>
      <c r="EJ85" s="231">
        <v>744947.08</v>
      </c>
      <c r="EK85" s="231">
        <v>329251.48</v>
      </c>
      <c r="EL85" s="231">
        <v>104694.67</v>
      </c>
      <c r="EM85" s="231">
        <v>21564</v>
      </c>
      <c r="EN85" s="231">
        <v>1178893.23</v>
      </c>
      <c r="EO85" s="231">
        <v>1808382.66</v>
      </c>
      <c r="EP85" s="231">
        <v>-629489.43000000005</v>
      </c>
      <c r="EQ85" s="229">
        <v>-0.34810000000000002</v>
      </c>
      <c r="ER85" s="231">
        <v>170753</v>
      </c>
      <c r="ES85" s="231">
        <v>94094</v>
      </c>
      <c r="ET85" s="231">
        <v>350290</v>
      </c>
      <c r="EU85" s="231">
        <v>89517840</v>
      </c>
      <c r="EV85" s="231">
        <v>615137</v>
      </c>
      <c r="EW85" s="231">
        <v>618205</v>
      </c>
      <c r="EX85" s="231">
        <v>-3068</v>
      </c>
      <c r="EY85" s="229">
        <v>-5.0000000000000001E-3</v>
      </c>
      <c r="EZ85" s="229">
        <v>0.29459999999999997</v>
      </c>
      <c r="FA85" s="227" t="s">
        <v>691</v>
      </c>
      <c r="FB85" s="161">
        <f t="shared" si="1"/>
        <v>639300</v>
      </c>
    </row>
    <row r="86" spans="1:158" ht="17.25" thickBot="1" x14ac:dyDescent="0.3">
      <c r="A86" s="226">
        <v>46146</v>
      </c>
      <c r="B86" s="227" t="s">
        <v>227</v>
      </c>
      <c r="C86" s="227" t="s">
        <v>665</v>
      </c>
      <c r="D86" s="228">
        <v>1225</v>
      </c>
      <c r="E86" s="228">
        <v>607.5</v>
      </c>
      <c r="F86" s="228">
        <v>597.70000000000005</v>
      </c>
      <c r="G86" s="228">
        <v>9.8000000000000007</v>
      </c>
      <c r="H86" s="229">
        <v>1.6400000000000001E-2</v>
      </c>
      <c r="I86" s="228">
        <v>605.54999999999995</v>
      </c>
      <c r="J86" s="228">
        <v>595.95000000000005</v>
      </c>
      <c r="K86" s="228">
        <v>9.6</v>
      </c>
      <c r="L86" s="229">
        <v>1.61E-2</v>
      </c>
      <c r="M86" s="228">
        <v>607.5</v>
      </c>
      <c r="N86" s="228">
        <v>597.70000000000005</v>
      </c>
      <c r="O86" s="228">
        <v>9.8000000000000007</v>
      </c>
      <c r="P86" s="229">
        <v>1.6400000000000001E-2</v>
      </c>
      <c r="Q86" s="228">
        <v>611.85</v>
      </c>
      <c r="R86" s="228">
        <v>601.04999999999995</v>
      </c>
      <c r="S86" s="228">
        <v>10.8</v>
      </c>
      <c r="T86" s="229">
        <v>1.7999999999999999E-2</v>
      </c>
      <c r="U86" s="228">
        <v>616.25</v>
      </c>
      <c r="V86" s="228">
        <v>604.6</v>
      </c>
      <c r="W86" s="228">
        <v>11.65</v>
      </c>
      <c r="X86" s="229">
        <v>1.9300000000000001E-2</v>
      </c>
      <c r="Y86" s="228">
        <v>1.95</v>
      </c>
      <c r="Z86" s="228">
        <v>1.75</v>
      </c>
      <c r="AA86" s="228">
        <v>0.2</v>
      </c>
      <c r="AB86" s="229">
        <v>3.2000000000000002E-3</v>
      </c>
      <c r="AC86" s="228">
        <v>1.95</v>
      </c>
      <c r="AD86" s="228">
        <v>1.75</v>
      </c>
      <c r="AE86" s="228">
        <v>0.2</v>
      </c>
      <c r="AF86" s="229">
        <v>3.2000000000000002E-3</v>
      </c>
      <c r="AG86" s="228">
        <v>6.3</v>
      </c>
      <c r="AH86" s="228">
        <v>5.0999999999999996</v>
      </c>
      <c r="AI86" s="228">
        <v>1.2</v>
      </c>
      <c r="AJ86" s="229">
        <v>1.04E-2</v>
      </c>
      <c r="AK86" s="228">
        <v>10.7</v>
      </c>
      <c r="AL86" s="228">
        <v>8.65</v>
      </c>
      <c r="AM86" s="228">
        <v>2.0499999999999998</v>
      </c>
      <c r="AN86" s="229">
        <v>1.77E-2</v>
      </c>
      <c r="AO86" s="228">
        <v>608.63</v>
      </c>
      <c r="AP86" s="228">
        <v>612.71</v>
      </c>
      <c r="AQ86" s="228">
        <v>0</v>
      </c>
      <c r="AR86" s="230">
        <v>4397750</v>
      </c>
      <c r="AS86" s="230">
        <v>6801200</v>
      </c>
      <c r="AT86" s="230">
        <v>-2403450</v>
      </c>
      <c r="AU86" s="229">
        <v>-0.35339999999999999</v>
      </c>
      <c r="AV86" s="230">
        <v>3991050</v>
      </c>
      <c r="AW86" s="230">
        <v>6471675</v>
      </c>
      <c r="AX86" s="230">
        <v>-2480625</v>
      </c>
      <c r="AY86" s="229">
        <v>-0.38329999999999997</v>
      </c>
      <c r="AZ86" s="230">
        <v>363825</v>
      </c>
      <c r="BA86" s="230">
        <v>268275</v>
      </c>
      <c r="BB86" s="230">
        <v>95550</v>
      </c>
      <c r="BC86" s="229">
        <v>0.35620000000000002</v>
      </c>
      <c r="BD86" s="230">
        <v>42875</v>
      </c>
      <c r="BE86" s="230">
        <v>61250</v>
      </c>
      <c r="BF86" s="230">
        <v>-18375</v>
      </c>
      <c r="BG86" s="229">
        <v>-0.3</v>
      </c>
      <c r="BH86" s="230">
        <v>16884175</v>
      </c>
      <c r="BI86" s="230">
        <v>20124300</v>
      </c>
      <c r="BJ86" s="230">
        <v>-3240125</v>
      </c>
      <c r="BK86" s="229">
        <v>-0.161</v>
      </c>
      <c r="BL86" s="230">
        <v>8998850</v>
      </c>
      <c r="BM86" s="230">
        <v>12515825</v>
      </c>
      <c r="BN86" s="230">
        <v>-3516975</v>
      </c>
      <c r="BO86" s="229">
        <v>-0.28100000000000003</v>
      </c>
      <c r="BP86" s="230">
        <v>30280775</v>
      </c>
      <c r="BQ86" s="230">
        <v>39441325</v>
      </c>
      <c r="BR86" s="230">
        <v>-9160550</v>
      </c>
      <c r="BS86" s="229">
        <v>-0.23230000000000001</v>
      </c>
      <c r="BT86" s="230">
        <v>5407321</v>
      </c>
      <c r="BU86" s="230">
        <v>7148401</v>
      </c>
      <c r="BV86" s="230">
        <v>-1741080</v>
      </c>
      <c r="BW86" s="229">
        <v>-0.24360000000000001</v>
      </c>
      <c r="BX86" s="230">
        <v>34718950</v>
      </c>
      <c r="BY86" s="230">
        <v>34700575</v>
      </c>
      <c r="BZ86" s="230">
        <v>18375</v>
      </c>
      <c r="CA86" s="229">
        <v>5.0000000000000001E-4</v>
      </c>
      <c r="CB86" s="230">
        <v>33555200</v>
      </c>
      <c r="CC86" s="230">
        <v>33678925</v>
      </c>
      <c r="CD86" s="230">
        <v>-123725</v>
      </c>
      <c r="CE86" s="229">
        <v>-3.7000000000000002E-3</v>
      </c>
      <c r="CF86" s="230">
        <v>1096375</v>
      </c>
      <c r="CG86" s="230">
        <v>960400</v>
      </c>
      <c r="CH86" s="230">
        <v>135975</v>
      </c>
      <c r="CI86" s="229">
        <v>0.1416</v>
      </c>
      <c r="CJ86" s="230">
        <v>67375</v>
      </c>
      <c r="CK86" s="230">
        <v>61250</v>
      </c>
      <c r="CL86" s="230">
        <v>6125</v>
      </c>
      <c r="CM86" s="229">
        <v>0.1</v>
      </c>
      <c r="CN86" s="230">
        <v>16277800</v>
      </c>
      <c r="CO86" s="230">
        <v>15974000</v>
      </c>
      <c r="CP86" s="230">
        <v>303800</v>
      </c>
      <c r="CQ86" s="229">
        <v>1.9E-2</v>
      </c>
      <c r="CR86" s="230">
        <v>10275300</v>
      </c>
      <c r="CS86" s="230">
        <v>10054800</v>
      </c>
      <c r="CT86" s="230">
        <v>220500</v>
      </c>
      <c r="CU86" s="229">
        <v>2.1899999999999999E-2</v>
      </c>
      <c r="CV86" s="230">
        <v>61272050</v>
      </c>
      <c r="CW86" s="230">
        <v>60729375</v>
      </c>
      <c r="CX86" s="230">
        <v>542675</v>
      </c>
      <c r="CY86" s="229">
        <v>8.8999999999999999E-3</v>
      </c>
      <c r="CZ86" s="228">
        <v>36.380000000000003</v>
      </c>
      <c r="DA86" s="228">
        <v>36.51</v>
      </c>
      <c r="DB86" s="228">
        <v>-0.13</v>
      </c>
      <c r="DC86" s="228">
        <v>-0.13</v>
      </c>
      <c r="DD86" s="228">
        <v>50.35</v>
      </c>
      <c r="DE86" s="228">
        <v>50.42</v>
      </c>
      <c r="DF86" s="228">
        <v>-13.97</v>
      </c>
      <c r="DG86" s="228">
        <v>-7.0000000000000007E-2</v>
      </c>
      <c r="DH86" s="228">
        <v>36.24</v>
      </c>
      <c r="DI86" s="228">
        <v>36.51</v>
      </c>
      <c r="DJ86" s="228">
        <v>-0.27</v>
      </c>
      <c r="DK86" s="228">
        <v>-0.27</v>
      </c>
      <c r="DL86" s="228">
        <v>36.64</v>
      </c>
      <c r="DM86" s="228">
        <v>36.51</v>
      </c>
      <c r="DN86" s="228">
        <v>0.13</v>
      </c>
      <c r="DO86" s="228">
        <v>0.13</v>
      </c>
      <c r="DP86" s="228">
        <v>0.63</v>
      </c>
      <c r="DQ86" s="228">
        <v>0.63</v>
      </c>
      <c r="DR86" s="228">
        <v>0</v>
      </c>
      <c r="DS86" s="229">
        <v>0</v>
      </c>
      <c r="DT86" s="228">
        <v>650</v>
      </c>
      <c r="DU86" s="228">
        <v>600</v>
      </c>
      <c r="DV86" s="228">
        <v>0.53</v>
      </c>
      <c r="DW86" s="228">
        <v>0.62</v>
      </c>
      <c r="DX86" s="228">
        <v>-0.09</v>
      </c>
      <c r="DY86" s="229">
        <v>-0.1452</v>
      </c>
      <c r="DZ86" s="229">
        <v>3.3500000000000002E-2</v>
      </c>
      <c r="EA86" s="230">
        <v>1021650</v>
      </c>
      <c r="EB86" s="229">
        <v>7.1999999999999998E-3</v>
      </c>
      <c r="EC86" s="229">
        <v>3.3500000000000002E-2</v>
      </c>
      <c r="ED86" s="228">
        <v>4.08</v>
      </c>
      <c r="EE86" s="229">
        <v>6.7000000000000002E-3</v>
      </c>
      <c r="EF86" s="230">
        <v>2434918</v>
      </c>
      <c r="EG86" s="230">
        <v>3208314</v>
      </c>
      <c r="EH86" s="229">
        <v>-0.24110000000000001</v>
      </c>
      <c r="EI86" s="229">
        <v>0.45029999999999998</v>
      </c>
      <c r="EJ86" s="231">
        <v>109397.82</v>
      </c>
      <c r="EK86" s="231">
        <v>53260.62</v>
      </c>
      <c r="EL86" s="231">
        <v>26784.09</v>
      </c>
      <c r="EM86" s="231">
        <v>11926</v>
      </c>
      <c r="EN86" s="231">
        <v>189442.53</v>
      </c>
      <c r="EO86" s="231">
        <v>243285.66</v>
      </c>
      <c r="EP86" s="231">
        <v>-53843.13</v>
      </c>
      <c r="EQ86" s="229">
        <v>-0.2213</v>
      </c>
      <c r="ER86" s="231">
        <v>103458</v>
      </c>
      <c r="ES86" s="231">
        <v>59446</v>
      </c>
      <c r="ET86" s="231">
        <v>210971</v>
      </c>
      <c r="EU86" s="231">
        <v>241870587</v>
      </c>
      <c r="EV86" s="231">
        <v>373876</v>
      </c>
      <c r="EW86" s="231">
        <v>366514</v>
      </c>
      <c r="EX86" s="231">
        <v>7362</v>
      </c>
      <c r="EY86" s="229">
        <v>2.01E-2</v>
      </c>
      <c r="EZ86" s="229">
        <v>0.25330000000000003</v>
      </c>
      <c r="FA86" s="227" t="s">
        <v>555</v>
      </c>
      <c r="FB86" s="161">
        <f t="shared" si="1"/>
        <v>1163750</v>
      </c>
    </row>
    <row r="87" spans="1:158" ht="17.25" thickBot="1" x14ac:dyDescent="0.3">
      <c r="A87" s="226">
        <v>46146</v>
      </c>
      <c r="B87" s="227" t="s">
        <v>162</v>
      </c>
      <c r="C87" s="227" t="s">
        <v>692</v>
      </c>
      <c r="D87" s="228">
        <v>275</v>
      </c>
      <c r="E87" s="231">
        <v>1815.4</v>
      </c>
      <c r="F87" s="231">
        <v>1807.6</v>
      </c>
      <c r="G87" s="228">
        <v>7.8</v>
      </c>
      <c r="H87" s="229">
        <v>4.3E-3</v>
      </c>
      <c r="I87" s="231">
        <v>1844.5</v>
      </c>
      <c r="J87" s="231">
        <v>1817.6</v>
      </c>
      <c r="K87" s="228">
        <v>26.9</v>
      </c>
      <c r="L87" s="229">
        <v>1.4800000000000001E-2</v>
      </c>
      <c r="M87" s="231">
        <v>1815.4</v>
      </c>
      <c r="N87" s="231">
        <v>1807.6</v>
      </c>
      <c r="O87" s="228">
        <v>7.8</v>
      </c>
      <c r="P87" s="229">
        <v>4.3E-3</v>
      </c>
      <c r="Q87" s="231">
        <v>1779.3</v>
      </c>
      <c r="R87" s="231">
        <v>1777.5</v>
      </c>
      <c r="S87" s="228">
        <v>1.8</v>
      </c>
      <c r="T87" s="229">
        <v>1E-3</v>
      </c>
      <c r="U87" s="231">
        <v>1764.5</v>
      </c>
      <c r="V87" s="231">
        <v>1755.4</v>
      </c>
      <c r="W87" s="228">
        <v>9.1</v>
      </c>
      <c r="X87" s="229">
        <v>5.1999999999999998E-3</v>
      </c>
      <c r="Y87" s="228">
        <v>-29.1</v>
      </c>
      <c r="Z87" s="228">
        <v>-10</v>
      </c>
      <c r="AA87" s="228">
        <v>-19.100000000000001</v>
      </c>
      <c r="AB87" s="229">
        <v>-1.5800000000000002E-2</v>
      </c>
      <c r="AC87" s="228">
        <v>-29.1</v>
      </c>
      <c r="AD87" s="228">
        <v>-10</v>
      </c>
      <c r="AE87" s="228">
        <v>-19.100000000000001</v>
      </c>
      <c r="AF87" s="229">
        <v>-1.5800000000000002E-2</v>
      </c>
      <c r="AG87" s="228">
        <v>-65.2</v>
      </c>
      <c r="AH87" s="228">
        <v>-40.1</v>
      </c>
      <c r="AI87" s="228">
        <v>-25.1</v>
      </c>
      <c r="AJ87" s="229">
        <v>-3.5299999999999998E-2</v>
      </c>
      <c r="AK87" s="228">
        <v>-80</v>
      </c>
      <c r="AL87" s="228">
        <v>-62.2</v>
      </c>
      <c r="AM87" s="228">
        <v>-17.8</v>
      </c>
      <c r="AN87" s="229">
        <v>-4.3400000000000001E-2</v>
      </c>
      <c r="AO87" s="231">
        <v>1823.77</v>
      </c>
      <c r="AP87" s="231">
        <v>1781.88</v>
      </c>
      <c r="AQ87" s="228">
        <v>0</v>
      </c>
      <c r="AR87" s="230">
        <v>977900</v>
      </c>
      <c r="AS87" s="230">
        <v>1159400</v>
      </c>
      <c r="AT87" s="230">
        <v>-181500</v>
      </c>
      <c r="AU87" s="229">
        <v>-0.1565</v>
      </c>
      <c r="AV87" s="230">
        <v>888800</v>
      </c>
      <c r="AW87" s="230">
        <v>803000</v>
      </c>
      <c r="AX87" s="230">
        <v>85800</v>
      </c>
      <c r="AY87" s="229">
        <v>0.10680000000000001</v>
      </c>
      <c r="AZ87" s="230">
        <v>69025</v>
      </c>
      <c r="BA87" s="230">
        <v>344575</v>
      </c>
      <c r="BB87" s="230">
        <v>-275550</v>
      </c>
      <c r="BC87" s="229">
        <v>-0.79969999999999997</v>
      </c>
      <c r="BD87" s="230">
        <v>20075</v>
      </c>
      <c r="BE87" s="230">
        <v>11825</v>
      </c>
      <c r="BF87" s="230">
        <v>8250</v>
      </c>
      <c r="BG87" s="229">
        <v>0.69769999999999999</v>
      </c>
      <c r="BH87" s="230">
        <v>1304050</v>
      </c>
      <c r="BI87" s="230">
        <v>419375</v>
      </c>
      <c r="BJ87" s="230">
        <v>884675</v>
      </c>
      <c r="BK87" s="229">
        <v>2.1095000000000002</v>
      </c>
      <c r="BL87" s="230">
        <v>382525</v>
      </c>
      <c r="BM87" s="230">
        <v>282700</v>
      </c>
      <c r="BN87" s="230">
        <v>99825</v>
      </c>
      <c r="BO87" s="229">
        <v>0.35310000000000002</v>
      </c>
      <c r="BP87" s="230">
        <v>2664475</v>
      </c>
      <c r="BQ87" s="230">
        <v>1861475</v>
      </c>
      <c r="BR87" s="230">
        <v>803000</v>
      </c>
      <c r="BS87" s="229">
        <v>0.43140000000000001</v>
      </c>
      <c r="BT87" s="230">
        <v>617328</v>
      </c>
      <c r="BU87" s="230">
        <v>524769</v>
      </c>
      <c r="BV87" s="230">
        <v>92559</v>
      </c>
      <c r="BW87" s="229">
        <v>0.1764</v>
      </c>
      <c r="BX87" s="230">
        <v>8262650</v>
      </c>
      <c r="BY87" s="230">
        <v>8262375</v>
      </c>
      <c r="BZ87" s="228">
        <v>275</v>
      </c>
      <c r="CA87" s="229">
        <v>0</v>
      </c>
      <c r="CB87" s="230">
        <v>7734650</v>
      </c>
      <c r="CC87" s="230">
        <v>7749500</v>
      </c>
      <c r="CD87" s="230">
        <v>-14850</v>
      </c>
      <c r="CE87" s="229">
        <v>-1.9E-3</v>
      </c>
      <c r="CF87" s="230">
        <v>489225</v>
      </c>
      <c r="CG87" s="230">
        <v>484000</v>
      </c>
      <c r="CH87" s="230">
        <v>5225</v>
      </c>
      <c r="CI87" s="229">
        <v>1.0800000000000001E-2</v>
      </c>
      <c r="CJ87" s="230">
        <v>38775</v>
      </c>
      <c r="CK87" s="230">
        <v>28875</v>
      </c>
      <c r="CL87" s="230">
        <v>9900</v>
      </c>
      <c r="CM87" s="229">
        <v>0.34289999999999998</v>
      </c>
      <c r="CN87" s="230">
        <v>891275</v>
      </c>
      <c r="CO87" s="230">
        <v>729850</v>
      </c>
      <c r="CP87" s="230">
        <v>161425</v>
      </c>
      <c r="CQ87" s="229">
        <v>0.22120000000000001</v>
      </c>
      <c r="CR87" s="230">
        <v>655325</v>
      </c>
      <c r="CS87" s="230">
        <v>722150</v>
      </c>
      <c r="CT87" s="230">
        <v>-66825</v>
      </c>
      <c r="CU87" s="229">
        <v>-9.2499999999999999E-2</v>
      </c>
      <c r="CV87" s="230">
        <v>9809250</v>
      </c>
      <c r="CW87" s="230">
        <v>9714375</v>
      </c>
      <c r="CX87" s="230">
        <v>94875</v>
      </c>
      <c r="CY87" s="229">
        <v>9.7999999999999997E-3</v>
      </c>
      <c r="CZ87" s="228">
        <v>39.29</v>
      </c>
      <c r="DA87" s="228">
        <v>38.33</v>
      </c>
      <c r="DB87" s="228">
        <v>0.96</v>
      </c>
      <c r="DC87" s="228">
        <v>0.96</v>
      </c>
      <c r="DD87" s="228">
        <v>33.65</v>
      </c>
      <c r="DE87" s="228">
        <v>33.729999999999997</v>
      </c>
      <c r="DF87" s="228">
        <v>5.64</v>
      </c>
      <c r="DG87" s="228">
        <v>-0.08</v>
      </c>
      <c r="DH87" s="228">
        <v>39.200000000000003</v>
      </c>
      <c r="DI87" s="228">
        <v>38.159999999999997</v>
      </c>
      <c r="DJ87" s="228">
        <v>1.04</v>
      </c>
      <c r="DK87" s="228">
        <v>1.04</v>
      </c>
      <c r="DL87" s="228">
        <v>39.6</v>
      </c>
      <c r="DM87" s="228">
        <v>38.590000000000003</v>
      </c>
      <c r="DN87" s="228">
        <v>1.01</v>
      </c>
      <c r="DO87" s="228">
        <v>1.01</v>
      </c>
      <c r="DP87" s="228">
        <v>0.74</v>
      </c>
      <c r="DQ87" s="228">
        <v>0.99</v>
      </c>
      <c r="DR87" s="228">
        <v>-0.25</v>
      </c>
      <c r="DS87" s="229">
        <v>-0.2525</v>
      </c>
      <c r="DT87" s="231">
        <v>1800</v>
      </c>
      <c r="DU87" s="231">
        <v>1740</v>
      </c>
      <c r="DV87" s="228">
        <v>0.28999999999999998</v>
      </c>
      <c r="DW87" s="228">
        <v>0.67</v>
      </c>
      <c r="DX87" s="228">
        <v>-0.38</v>
      </c>
      <c r="DY87" s="229">
        <v>-0.56720000000000004</v>
      </c>
      <c r="DZ87" s="229">
        <v>6.3899999999999998E-2</v>
      </c>
      <c r="EA87" s="230">
        <v>512875</v>
      </c>
      <c r="EB87" s="229">
        <v>-1.9900000000000001E-2</v>
      </c>
      <c r="EC87" s="229">
        <v>6.3899999999999998E-2</v>
      </c>
      <c r="ED87" s="228">
        <v>-41.89</v>
      </c>
      <c r="EE87" s="229">
        <v>-2.3E-2</v>
      </c>
      <c r="EF87" s="230">
        <v>257960</v>
      </c>
      <c r="EG87" s="230">
        <v>254444</v>
      </c>
      <c r="EH87" s="229">
        <v>1.38E-2</v>
      </c>
      <c r="EI87" s="229">
        <v>0.41789999999999999</v>
      </c>
      <c r="EJ87" s="231">
        <v>25380.69</v>
      </c>
      <c r="EK87" s="231">
        <v>6799.87</v>
      </c>
      <c r="EL87" s="231">
        <v>17793.73</v>
      </c>
      <c r="EM87" s="231">
        <v>9050</v>
      </c>
      <c r="EN87" s="231">
        <v>49974.29</v>
      </c>
      <c r="EO87" s="231">
        <v>33702.959999999999</v>
      </c>
      <c r="EP87" s="231">
        <v>16271.33</v>
      </c>
      <c r="EQ87" s="229">
        <v>0.48280000000000001</v>
      </c>
      <c r="ER87" s="231">
        <v>16903</v>
      </c>
      <c r="ES87" s="231">
        <v>11348</v>
      </c>
      <c r="ET87" s="231">
        <v>149804</v>
      </c>
      <c r="EU87" s="231">
        <v>21329205</v>
      </c>
      <c r="EV87" s="231">
        <v>178055</v>
      </c>
      <c r="EW87" s="231">
        <v>175421</v>
      </c>
      <c r="EX87" s="231">
        <v>2634</v>
      </c>
      <c r="EY87" s="229">
        <v>1.4999999999999999E-2</v>
      </c>
      <c r="EZ87" s="229">
        <v>0.45989999999999998</v>
      </c>
      <c r="FA87" s="227" t="s">
        <v>237</v>
      </c>
      <c r="FB87" s="161">
        <f t="shared" si="1"/>
        <v>528000</v>
      </c>
    </row>
    <row r="88" spans="1:158" ht="17.25" thickBot="1" x14ac:dyDescent="0.3">
      <c r="A88" s="226">
        <v>46146</v>
      </c>
      <c r="B88" s="227" t="s">
        <v>172</v>
      </c>
      <c r="C88" s="227" t="s">
        <v>232</v>
      </c>
      <c r="D88" s="228">
        <v>700</v>
      </c>
      <c r="E88" s="231">
        <v>1278.3</v>
      </c>
      <c r="F88" s="231">
        <v>1270.7</v>
      </c>
      <c r="G88" s="228">
        <v>7.6</v>
      </c>
      <c r="H88" s="229">
        <v>6.0000000000000001E-3</v>
      </c>
      <c r="I88" s="231">
        <v>1270.8</v>
      </c>
      <c r="J88" s="231">
        <v>1263.4000000000001</v>
      </c>
      <c r="K88" s="228">
        <v>7.4</v>
      </c>
      <c r="L88" s="229">
        <v>5.8999999999999999E-3</v>
      </c>
      <c r="M88" s="231">
        <v>1278.3</v>
      </c>
      <c r="N88" s="231">
        <v>1270.7</v>
      </c>
      <c r="O88" s="228">
        <v>7.6</v>
      </c>
      <c r="P88" s="229">
        <v>6.0000000000000001E-3</v>
      </c>
      <c r="Q88" s="231">
        <v>1286.3</v>
      </c>
      <c r="R88" s="231">
        <v>1278.5</v>
      </c>
      <c r="S88" s="228">
        <v>7.8</v>
      </c>
      <c r="T88" s="229">
        <v>6.1000000000000004E-3</v>
      </c>
      <c r="U88" s="231">
        <v>1293.7</v>
      </c>
      <c r="V88" s="231">
        <v>1284.2</v>
      </c>
      <c r="W88" s="228">
        <v>9.5</v>
      </c>
      <c r="X88" s="229">
        <v>7.4000000000000003E-3</v>
      </c>
      <c r="Y88" s="228">
        <v>7.5</v>
      </c>
      <c r="Z88" s="228">
        <v>7.3</v>
      </c>
      <c r="AA88" s="228">
        <v>0.2</v>
      </c>
      <c r="AB88" s="229">
        <v>5.8999999999999999E-3</v>
      </c>
      <c r="AC88" s="228">
        <v>7.5</v>
      </c>
      <c r="AD88" s="228">
        <v>7.3</v>
      </c>
      <c r="AE88" s="228">
        <v>0.2</v>
      </c>
      <c r="AF88" s="229">
        <v>5.8999999999999999E-3</v>
      </c>
      <c r="AG88" s="228">
        <v>15.5</v>
      </c>
      <c r="AH88" s="228">
        <v>15.1</v>
      </c>
      <c r="AI88" s="228">
        <v>0.4</v>
      </c>
      <c r="AJ88" s="229">
        <v>1.2200000000000001E-2</v>
      </c>
      <c r="AK88" s="228">
        <v>22.9</v>
      </c>
      <c r="AL88" s="228">
        <v>20.8</v>
      </c>
      <c r="AM88" s="228">
        <v>2.1</v>
      </c>
      <c r="AN88" s="229">
        <v>1.7999999999999999E-2</v>
      </c>
      <c r="AO88" s="231">
        <v>1280.95</v>
      </c>
      <c r="AP88" s="231">
        <v>1288.94</v>
      </c>
      <c r="AQ88" s="228">
        <v>0</v>
      </c>
      <c r="AR88" s="230">
        <v>11006800</v>
      </c>
      <c r="AS88" s="230">
        <v>11429600</v>
      </c>
      <c r="AT88" s="230">
        <v>-422800</v>
      </c>
      <c r="AU88" s="229">
        <v>-3.6999999999999998E-2</v>
      </c>
      <c r="AV88" s="230">
        <v>9593500</v>
      </c>
      <c r="AW88" s="230">
        <v>10403400</v>
      </c>
      <c r="AX88" s="230">
        <v>-809900</v>
      </c>
      <c r="AY88" s="229">
        <v>-7.7799999999999994E-2</v>
      </c>
      <c r="AZ88" s="230">
        <v>1330000</v>
      </c>
      <c r="BA88" s="230">
        <v>900200</v>
      </c>
      <c r="BB88" s="230">
        <v>429800</v>
      </c>
      <c r="BC88" s="229">
        <v>0.47739999999999999</v>
      </c>
      <c r="BD88" s="230">
        <v>83300</v>
      </c>
      <c r="BE88" s="230">
        <v>126000</v>
      </c>
      <c r="BF88" s="230">
        <v>-42700</v>
      </c>
      <c r="BG88" s="229">
        <v>-0.33889999999999998</v>
      </c>
      <c r="BH88" s="230">
        <v>27286700</v>
      </c>
      <c r="BI88" s="230">
        <v>35421400</v>
      </c>
      <c r="BJ88" s="230">
        <v>-8134700</v>
      </c>
      <c r="BK88" s="229">
        <v>-0.22969999999999999</v>
      </c>
      <c r="BL88" s="230">
        <v>15241800</v>
      </c>
      <c r="BM88" s="230">
        <v>18401600</v>
      </c>
      <c r="BN88" s="230">
        <v>-3159800</v>
      </c>
      <c r="BO88" s="229">
        <v>-0.17169999999999999</v>
      </c>
      <c r="BP88" s="230">
        <v>53535300</v>
      </c>
      <c r="BQ88" s="230">
        <v>65252600</v>
      </c>
      <c r="BR88" s="230">
        <v>-11717300</v>
      </c>
      <c r="BS88" s="229">
        <v>-0.17960000000000001</v>
      </c>
      <c r="BT88" s="230">
        <v>14786188</v>
      </c>
      <c r="BU88" s="230">
        <v>19213540</v>
      </c>
      <c r="BV88" s="230">
        <v>-4427352</v>
      </c>
      <c r="BW88" s="229">
        <v>-0.23039999999999999</v>
      </c>
      <c r="BX88" s="230">
        <v>138693100</v>
      </c>
      <c r="BY88" s="230">
        <v>134421700</v>
      </c>
      <c r="BZ88" s="230">
        <v>4271400</v>
      </c>
      <c r="CA88" s="229">
        <v>3.1800000000000002E-2</v>
      </c>
      <c r="CB88" s="230">
        <v>112054600</v>
      </c>
      <c r="CC88" s="230">
        <v>108880100</v>
      </c>
      <c r="CD88" s="230">
        <v>3174500</v>
      </c>
      <c r="CE88" s="229">
        <v>2.92E-2</v>
      </c>
      <c r="CF88" s="230">
        <v>26438300</v>
      </c>
      <c r="CG88" s="230">
        <v>25375000</v>
      </c>
      <c r="CH88" s="230">
        <v>1063300</v>
      </c>
      <c r="CI88" s="229">
        <v>4.19E-2</v>
      </c>
      <c r="CJ88" s="230">
        <v>200200</v>
      </c>
      <c r="CK88" s="230">
        <v>166600</v>
      </c>
      <c r="CL88" s="230">
        <v>33600</v>
      </c>
      <c r="CM88" s="229">
        <v>0.20169999999999999</v>
      </c>
      <c r="CN88" s="230">
        <v>32101300</v>
      </c>
      <c r="CO88" s="230">
        <v>29024100</v>
      </c>
      <c r="CP88" s="230">
        <v>3077200</v>
      </c>
      <c r="CQ88" s="229">
        <v>0.106</v>
      </c>
      <c r="CR88" s="230">
        <v>19108600</v>
      </c>
      <c r="CS88" s="230">
        <v>18740400</v>
      </c>
      <c r="CT88" s="230">
        <v>368200</v>
      </c>
      <c r="CU88" s="229">
        <v>1.9599999999999999E-2</v>
      </c>
      <c r="CV88" s="230">
        <v>189903000</v>
      </c>
      <c r="CW88" s="230">
        <v>182186200</v>
      </c>
      <c r="CX88" s="230">
        <v>7716800</v>
      </c>
      <c r="CY88" s="229">
        <v>4.24E-2</v>
      </c>
      <c r="CZ88" s="228">
        <v>22.57</v>
      </c>
      <c r="DA88" s="228">
        <v>23.07</v>
      </c>
      <c r="DB88" s="228">
        <v>-0.5</v>
      </c>
      <c r="DC88" s="228">
        <v>-0.5</v>
      </c>
      <c r="DD88" s="228">
        <v>24.04</v>
      </c>
      <c r="DE88" s="228">
        <v>24.08</v>
      </c>
      <c r="DF88" s="228">
        <v>-1.47</v>
      </c>
      <c r="DG88" s="228">
        <v>-0.04</v>
      </c>
      <c r="DH88" s="228">
        <v>22.39</v>
      </c>
      <c r="DI88" s="228">
        <v>23.29</v>
      </c>
      <c r="DJ88" s="228">
        <v>-0.9</v>
      </c>
      <c r="DK88" s="228">
        <v>-0.9</v>
      </c>
      <c r="DL88" s="228">
        <v>22.88</v>
      </c>
      <c r="DM88" s="228">
        <v>22.66</v>
      </c>
      <c r="DN88" s="228">
        <v>0.22</v>
      </c>
      <c r="DO88" s="228">
        <v>0.22</v>
      </c>
      <c r="DP88" s="228">
        <v>0.6</v>
      </c>
      <c r="DQ88" s="228">
        <v>0.65</v>
      </c>
      <c r="DR88" s="228">
        <v>-0.05</v>
      </c>
      <c r="DS88" s="229">
        <v>-7.6899999999999996E-2</v>
      </c>
      <c r="DT88" s="231">
        <v>1300</v>
      </c>
      <c r="DU88" s="231">
        <v>1300</v>
      </c>
      <c r="DV88" s="228">
        <v>0.56000000000000005</v>
      </c>
      <c r="DW88" s="228">
        <v>0.52</v>
      </c>
      <c r="DX88" s="228">
        <v>0.04</v>
      </c>
      <c r="DY88" s="229">
        <v>7.6899999999999996E-2</v>
      </c>
      <c r="DZ88" s="229">
        <v>0.19209999999999999</v>
      </c>
      <c r="EA88" s="230">
        <v>25541600</v>
      </c>
      <c r="EB88" s="229">
        <v>6.3E-3</v>
      </c>
      <c r="EC88" s="229">
        <v>0.19209999999999999</v>
      </c>
      <c r="ED88" s="228">
        <v>7.99</v>
      </c>
      <c r="EE88" s="229">
        <v>6.1999999999999998E-3</v>
      </c>
      <c r="EF88" s="230">
        <v>9676985</v>
      </c>
      <c r="EG88" s="230">
        <v>8436787</v>
      </c>
      <c r="EH88" s="229">
        <v>0.14699999999999999</v>
      </c>
      <c r="EI88" s="229">
        <v>0.65449999999999997</v>
      </c>
      <c r="EJ88" s="231">
        <v>365947.12</v>
      </c>
      <c r="EK88" s="231">
        <v>193559.5</v>
      </c>
      <c r="EL88" s="231">
        <v>141110.71</v>
      </c>
      <c r="EM88" s="231">
        <v>43135</v>
      </c>
      <c r="EN88" s="231">
        <v>700617.33</v>
      </c>
      <c r="EO88" s="231">
        <v>855027.96</v>
      </c>
      <c r="EP88" s="231">
        <v>-154410.63</v>
      </c>
      <c r="EQ88" s="229">
        <v>-0.18060000000000001</v>
      </c>
      <c r="ER88" s="231">
        <v>435829</v>
      </c>
      <c r="ES88" s="231">
        <v>245936</v>
      </c>
      <c r="ET88" s="231">
        <v>1775060</v>
      </c>
      <c r="EU88" s="231">
        <v>668616020</v>
      </c>
      <c r="EV88" s="231">
        <v>2456824</v>
      </c>
      <c r="EW88" s="231">
        <v>2346771</v>
      </c>
      <c r="EX88" s="231">
        <v>110053</v>
      </c>
      <c r="EY88" s="229">
        <v>4.6899999999999997E-2</v>
      </c>
      <c r="EZ88" s="229">
        <v>0.28399999999999997</v>
      </c>
      <c r="FA88" s="227" t="s">
        <v>555</v>
      </c>
      <c r="FB88" s="161">
        <f t="shared" si="1"/>
        <v>26638500</v>
      </c>
    </row>
    <row r="89" spans="1:158" ht="17.25" thickBot="1" x14ac:dyDescent="0.3">
      <c r="A89" s="226">
        <v>46146</v>
      </c>
      <c r="B89" s="227" t="s">
        <v>175</v>
      </c>
      <c r="C89" s="227" t="s">
        <v>472</v>
      </c>
      <c r="D89" s="228">
        <v>325</v>
      </c>
      <c r="E89" s="231">
        <v>1761.7</v>
      </c>
      <c r="F89" s="231">
        <v>1768.1</v>
      </c>
      <c r="G89" s="228">
        <v>-6.4</v>
      </c>
      <c r="H89" s="229">
        <v>-3.5999999999999999E-3</v>
      </c>
      <c r="I89" s="231">
        <v>1756.8</v>
      </c>
      <c r="J89" s="231">
        <v>1763.2</v>
      </c>
      <c r="K89" s="228">
        <v>-6.4</v>
      </c>
      <c r="L89" s="229">
        <v>-3.5999999999999999E-3</v>
      </c>
      <c r="M89" s="231">
        <v>1761.7</v>
      </c>
      <c r="N89" s="231">
        <v>1768.1</v>
      </c>
      <c r="O89" s="228">
        <v>-6.4</v>
      </c>
      <c r="P89" s="229">
        <v>-3.5999999999999999E-3</v>
      </c>
      <c r="Q89" s="231">
        <v>1763.7</v>
      </c>
      <c r="R89" s="231">
        <v>1780</v>
      </c>
      <c r="S89" s="228">
        <v>-16.3</v>
      </c>
      <c r="T89" s="229">
        <v>-9.1999999999999998E-3</v>
      </c>
      <c r="U89" s="231">
        <v>1779.6</v>
      </c>
      <c r="V89" s="231">
        <v>1797</v>
      </c>
      <c r="W89" s="228">
        <v>-17.399999999999999</v>
      </c>
      <c r="X89" s="229">
        <v>-9.7000000000000003E-3</v>
      </c>
      <c r="Y89" s="228">
        <v>4.9000000000000004</v>
      </c>
      <c r="Z89" s="228">
        <v>4.9000000000000004</v>
      </c>
      <c r="AA89" s="228">
        <v>0</v>
      </c>
      <c r="AB89" s="229">
        <v>2.8E-3</v>
      </c>
      <c r="AC89" s="228">
        <v>4.9000000000000004</v>
      </c>
      <c r="AD89" s="228">
        <v>4.9000000000000004</v>
      </c>
      <c r="AE89" s="228">
        <v>0</v>
      </c>
      <c r="AF89" s="229">
        <v>2.8E-3</v>
      </c>
      <c r="AG89" s="228">
        <v>6.9</v>
      </c>
      <c r="AH89" s="228">
        <v>16.8</v>
      </c>
      <c r="AI89" s="228">
        <v>-9.9</v>
      </c>
      <c r="AJ89" s="229">
        <v>3.8999999999999998E-3</v>
      </c>
      <c r="AK89" s="228">
        <v>22.8</v>
      </c>
      <c r="AL89" s="228">
        <v>33.799999999999997</v>
      </c>
      <c r="AM89" s="228">
        <v>-11</v>
      </c>
      <c r="AN89" s="229">
        <v>1.2999999999999999E-2</v>
      </c>
      <c r="AO89" s="231">
        <v>1764.14</v>
      </c>
      <c r="AP89" s="231">
        <v>1769.97</v>
      </c>
      <c r="AQ89" s="228">
        <v>0</v>
      </c>
      <c r="AR89" s="230">
        <v>352300</v>
      </c>
      <c r="AS89" s="230">
        <v>279825</v>
      </c>
      <c r="AT89" s="230">
        <v>72475</v>
      </c>
      <c r="AU89" s="229">
        <v>0.25900000000000001</v>
      </c>
      <c r="AV89" s="230">
        <v>336700</v>
      </c>
      <c r="AW89" s="230">
        <v>259350</v>
      </c>
      <c r="AX89" s="230">
        <v>77350</v>
      </c>
      <c r="AY89" s="229">
        <v>0.29820000000000002</v>
      </c>
      <c r="AZ89" s="230">
        <v>14950</v>
      </c>
      <c r="BA89" s="230">
        <v>20475</v>
      </c>
      <c r="BB89" s="230">
        <v>-5525</v>
      </c>
      <c r="BC89" s="229">
        <v>-0.26979999999999998</v>
      </c>
      <c r="BD89" s="228">
        <v>650</v>
      </c>
      <c r="BE89" s="228">
        <v>0</v>
      </c>
      <c r="BF89" s="228">
        <v>650</v>
      </c>
      <c r="BG89" s="229">
        <v>0</v>
      </c>
      <c r="BH89" s="230">
        <v>644475</v>
      </c>
      <c r="BI89" s="230">
        <v>528450</v>
      </c>
      <c r="BJ89" s="230">
        <v>116025</v>
      </c>
      <c r="BK89" s="229">
        <v>0.21959999999999999</v>
      </c>
      <c r="BL89" s="230">
        <v>350025</v>
      </c>
      <c r="BM89" s="230">
        <v>283400</v>
      </c>
      <c r="BN89" s="230">
        <v>66625</v>
      </c>
      <c r="BO89" s="229">
        <v>0.2351</v>
      </c>
      <c r="BP89" s="230">
        <v>1346800</v>
      </c>
      <c r="BQ89" s="230">
        <v>1091675</v>
      </c>
      <c r="BR89" s="230">
        <v>255125</v>
      </c>
      <c r="BS89" s="229">
        <v>0.23369999999999999</v>
      </c>
      <c r="BT89" s="230">
        <v>852138</v>
      </c>
      <c r="BU89" s="230">
        <v>783185</v>
      </c>
      <c r="BV89" s="230">
        <v>68953</v>
      </c>
      <c r="BW89" s="229">
        <v>8.7999999999999995E-2</v>
      </c>
      <c r="BX89" s="230">
        <v>5332600</v>
      </c>
      <c r="BY89" s="230">
        <v>5318300</v>
      </c>
      <c r="BZ89" s="230">
        <v>14300</v>
      </c>
      <c r="CA89" s="229">
        <v>2.7000000000000001E-3</v>
      </c>
      <c r="CB89" s="230">
        <v>5029375</v>
      </c>
      <c r="CC89" s="230">
        <v>5022225</v>
      </c>
      <c r="CD89" s="230">
        <v>7150</v>
      </c>
      <c r="CE89" s="229">
        <v>1.4E-3</v>
      </c>
      <c r="CF89" s="230">
        <v>300300</v>
      </c>
      <c r="CG89" s="230">
        <v>293800</v>
      </c>
      <c r="CH89" s="230">
        <v>6500</v>
      </c>
      <c r="CI89" s="229">
        <v>2.2100000000000002E-2</v>
      </c>
      <c r="CJ89" s="230">
        <v>2925</v>
      </c>
      <c r="CK89" s="230">
        <v>2275</v>
      </c>
      <c r="CL89" s="228">
        <v>650</v>
      </c>
      <c r="CM89" s="229">
        <v>0.28570000000000001</v>
      </c>
      <c r="CN89" s="230">
        <v>516425</v>
      </c>
      <c r="CO89" s="230">
        <v>428675</v>
      </c>
      <c r="CP89" s="230">
        <v>87750</v>
      </c>
      <c r="CQ89" s="229">
        <v>0.20469999999999999</v>
      </c>
      <c r="CR89" s="230">
        <v>315900</v>
      </c>
      <c r="CS89" s="230">
        <v>264550</v>
      </c>
      <c r="CT89" s="230">
        <v>51350</v>
      </c>
      <c r="CU89" s="229">
        <v>0.19409999999999999</v>
      </c>
      <c r="CV89" s="230">
        <v>6164925</v>
      </c>
      <c r="CW89" s="230">
        <v>6011525</v>
      </c>
      <c r="CX89" s="230">
        <v>153400</v>
      </c>
      <c r="CY89" s="229">
        <v>2.5499999999999998E-2</v>
      </c>
      <c r="CZ89" s="228">
        <v>24.2</v>
      </c>
      <c r="DA89" s="228">
        <v>24.2</v>
      </c>
      <c r="DB89" s="228">
        <v>0</v>
      </c>
      <c r="DC89" s="228">
        <v>0</v>
      </c>
      <c r="DD89" s="228">
        <v>26.86</v>
      </c>
      <c r="DE89" s="228">
        <v>26.92</v>
      </c>
      <c r="DF89" s="228">
        <v>-2.66</v>
      </c>
      <c r="DG89" s="228">
        <v>-0.06</v>
      </c>
      <c r="DH89" s="228">
        <v>24.32</v>
      </c>
      <c r="DI89" s="228">
        <v>24.22</v>
      </c>
      <c r="DJ89" s="228">
        <v>0.1</v>
      </c>
      <c r="DK89" s="228">
        <v>0.1</v>
      </c>
      <c r="DL89" s="228">
        <v>23.99</v>
      </c>
      <c r="DM89" s="228">
        <v>24.18</v>
      </c>
      <c r="DN89" s="228">
        <v>-0.19</v>
      </c>
      <c r="DO89" s="228">
        <v>-0.19</v>
      </c>
      <c r="DP89" s="228">
        <v>0.61</v>
      </c>
      <c r="DQ89" s="228">
        <v>0.62</v>
      </c>
      <c r="DR89" s="228">
        <v>-0.01</v>
      </c>
      <c r="DS89" s="229">
        <v>-1.61E-2</v>
      </c>
      <c r="DT89" s="231">
        <v>1900</v>
      </c>
      <c r="DU89" s="231">
        <v>1700</v>
      </c>
      <c r="DV89" s="228">
        <v>0.54</v>
      </c>
      <c r="DW89" s="228">
        <v>0.54</v>
      </c>
      <c r="DX89" s="228">
        <v>0</v>
      </c>
      <c r="DY89" s="229">
        <v>0</v>
      </c>
      <c r="DZ89" s="229">
        <v>5.6899999999999999E-2</v>
      </c>
      <c r="EA89" s="230">
        <v>296075</v>
      </c>
      <c r="EB89" s="229">
        <v>1.1000000000000001E-3</v>
      </c>
      <c r="EC89" s="229">
        <v>5.6899999999999999E-2</v>
      </c>
      <c r="ED89" s="228">
        <v>5.83</v>
      </c>
      <c r="EE89" s="229">
        <v>3.3E-3</v>
      </c>
      <c r="EF89" s="230">
        <v>550191</v>
      </c>
      <c r="EG89" s="230">
        <v>526651</v>
      </c>
      <c r="EH89" s="229">
        <v>4.4699999999999997E-2</v>
      </c>
      <c r="EI89" s="229">
        <v>0.64570000000000005</v>
      </c>
      <c r="EJ89" s="231">
        <v>11967.03</v>
      </c>
      <c r="EK89" s="231">
        <v>6154.29</v>
      </c>
      <c r="EL89" s="231">
        <v>6216.11</v>
      </c>
      <c r="EM89" s="231">
        <v>4541</v>
      </c>
      <c r="EN89" s="231">
        <v>24337.43</v>
      </c>
      <c r="EO89" s="231">
        <v>19698.14</v>
      </c>
      <c r="EP89" s="231">
        <v>4639.29</v>
      </c>
      <c r="EQ89" s="229">
        <v>0.23549999999999999</v>
      </c>
      <c r="ER89" s="231">
        <v>9609</v>
      </c>
      <c r="ES89" s="231">
        <v>5506</v>
      </c>
      <c r="ET89" s="231">
        <v>93951</v>
      </c>
      <c r="EU89" s="231">
        <v>27086521</v>
      </c>
      <c r="EV89" s="231">
        <v>109066</v>
      </c>
      <c r="EW89" s="231">
        <v>106624</v>
      </c>
      <c r="EX89" s="231">
        <v>2442</v>
      </c>
      <c r="EY89" s="229">
        <v>2.29E-2</v>
      </c>
      <c r="EZ89" s="229">
        <v>0.2276</v>
      </c>
      <c r="FA89" s="227" t="s">
        <v>566</v>
      </c>
      <c r="FB89" s="161">
        <f t="shared" si="1"/>
        <v>303225</v>
      </c>
    </row>
    <row r="90" spans="1:158" ht="17.25" thickBot="1" x14ac:dyDescent="0.3">
      <c r="A90" s="226">
        <v>46146</v>
      </c>
      <c r="B90" s="227" t="s">
        <v>175</v>
      </c>
      <c r="C90" s="227" t="s">
        <v>233</v>
      </c>
      <c r="D90" s="228">
        <v>925</v>
      </c>
      <c r="E90" s="228">
        <v>538.15</v>
      </c>
      <c r="F90" s="228">
        <v>516</v>
      </c>
      <c r="G90" s="228">
        <v>22.15</v>
      </c>
      <c r="H90" s="229">
        <v>4.2900000000000001E-2</v>
      </c>
      <c r="I90" s="228">
        <v>535.54999999999995</v>
      </c>
      <c r="J90" s="228">
        <v>513.85</v>
      </c>
      <c r="K90" s="228">
        <v>21.7</v>
      </c>
      <c r="L90" s="229">
        <v>4.2200000000000001E-2</v>
      </c>
      <c r="M90" s="228">
        <v>538.15</v>
      </c>
      <c r="N90" s="228">
        <v>516</v>
      </c>
      <c r="O90" s="228">
        <v>22.15</v>
      </c>
      <c r="P90" s="229">
        <v>4.2900000000000001E-2</v>
      </c>
      <c r="Q90" s="228">
        <v>541.25</v>
      </c>
      <c r="R90" s="228">
        <v>519.1</v>
      </c>
      <c r="S90" s="228">
        <v>22.15</v>
      </c>
      <c r="T90" s="229">
        <v>4.2700000000000002E-2</v>
      </c>
      <c r="U90" s="228">
        <v>541.45000000000005</v>
      </c>
      <c r="V90" s="228">
        <v>523.25</v>
      </c>
      <c r="W90" s="228">
        <v>18.2</v>
      </c>
      <c r="X90" s="229">
        <v>3.4799999999999998E-2</v>
      </c>
      <c r="Y90" s="228">
        <v>2.6</v>
      </c>
      <c r="Z90" s="228">
        <v>2.15</v>
      </c>
      <c r="AA90" s="228">
        <v>0.45</v>
      </c>
      <c r="AB90" s="229">
        <v>4.8999999999999998E-3</v>
      </c>
      <c r="AC90" s="228">
        <v>2.6</v>
      </c>
      <c r="AD90" s="228">
        <v>2.15</v>
      </c>
      <c r="AE90" s="228">
        <v>0.45</v>
      </c>
      <c r="AF90" s="229">
        <v>4.8999999999999998E-3</v>
      </c>
      <c r="AG90" s="228">
        <v>5.7</v>
      </c>
      <c r="AH90" s="228">
        <v>5.25</v>
      </c>
      <c r="AI90" s="228">
        <v>0.45</v>
      </c>
      <c r="AJ90" s="229">
        <v>1.06E-2</v>
      </c>
      <c r="AK90" s="228">
        <v>5.9</v>
      </c>
      <c r="AL90" s="228">
        <v>9.4</v>
      </c>
      <c r="AM90" s="228">
        <v>-3.5</v>
      </c>
      <c r="AN90" s="229">
        <v>1.0999999999999999E-2</v>
      </c>
      <c r="AO90" s="228">
        <v>532.54</v>
      </c>
      <c r="AP90" s="228">
        <v>532.67999999999995</v>
      </c>
      <c r="AQ90" s="228">
        <v>0</v>
      </c>
      <c r="AR90" s="230">
        <v>3364225</v>
      </c>
      <c r="AS90" s="230">
        <v>1322750</v>
      </c>
      <c r="AT90" s="230">
        <v>2041475</v>
      </c>
      <c r="AU90" s="229">
        <v>1.5434000000000001</v>
      </c>
      <c r="AV90" s="230">
        <v>3231025</v>
      </c>
      <c r="AW90" s="230">
        <v>1284825</v>
      </c>
      <c r="AX90" s="230">
        <v>1946200</v>
      </c>
      <c r="AY90" s="229">
        <v>1.5147999999999999</v>
      </c>
      <c r="AZ90" s="230">
        <v>124875</v>
      </c>
      <c r="BA90" s="230">
        <v>35150</v>
      </c>
      <c r="BB90" s="230">
        <v>89725</v>
      </c>
      <c r="BC90" s="229">
        <v>2.5526</v>
      </c>
      <c r="BD90" s="230">
        <v>8325</v>
      </c>
      <c r="BE90" s="230">
        <v>2775</v>
      </c>
      <c r="BF90" s="230">
        <v>5550</v>
      </c>
      <c r="BG90" s="229">
        <v>2</v>
      </c>
      <c r="BH90" s="230">
        <v>6417650</v>
      </c>
      <c r="BI90" s="230">
        <v>2984050</v>
      </c>
      <c r="BJ90" s="230">
        <v>3433600</v>
      </c>
      <c r="BK90" s="229">
        <v>1.1507000000000001</v>
      </c>
      <c r="BL90" s="230">
        <v>2595550</v>
      </c>
      <c r="BM90" s="230">
        <v>1330150</v>
      </c>
      <c r="BN90" s="230">
        <v>1265400</v>
      </c>
      <c r="BO90" s="229">
        <v>0.95130000000000003</v>
      </c>
      <c r="BP90" s="230">
        <v>12377425</v>
      </c>
      <c r="BQ90" s="230">
        <v>5636950</v>
      </c>
      <c r="BR90" s="230">
        <v>6740475</v>
      </c>
      <c r="BS90" s="229">
        <v>1.1958</v>
      </c>
      <c r="BT90" s="230">
        <v>2009432</v>
      </c>
      <c r="BU90" s="230">
        <v>1155239</v>
      </c>
      <c r="BV90" s="230">
        <v>854193</v>
      </c>
      <c r="BW90" s="229">
        <v>0.73939999999999995</v>
      </c>
      <c r="BX90" s="230">
        <v>20643225</v>
      </c>
      <c r="BY90" s="230">
        <v>20240850</v>
      </c>
      <c r="BZ90" s="230">
        <v>402375</v>
      </c>
      <c r="CA90" s="229">
        <v>1.9900000000000001E-2</v>
      </c>
      <c r="CB90" s="230">
        <v>20418450</v>
      </c>
      <c r="CC90" s="230">
        <v>20064175</v>
      </c>
      <c r="CD90" s="230">
        <v>354275</v>
      </c>
      <c r="CE90" s="229">
        <v>1.77E-2</v>
      </c>
      <c r="CF90" s="230">
        <v>215525</v>
      </c>
      <c r="CG90" s="230">
        <v>172050</v>
      </c>
      <c r="CH90" s="230">
        <v>43475</v>
      </c>
      <c r="CI90" s="229">
        <v>0.25269999999999998</v>
      </c>
      <c r="CJ90" s="230">
        <v>9250</v>
      </c>
      <c r="CK90" s="230">
        <v>4625</v>
      </c>
      <c r="CL90" s="230">
        <v>4625</v>
      </c>
      <c r="CM90" s="229">
        <v>1</v>
      </c>
      <c r="CN90" s="230">
        <v>3279125</v>
      </c>
      <c r="CO90" s="230">
        <v>3166275</v>
      </c>
      <c r="CP90" s="230">
        <v>112850</v>
      </c>
      <c r="CQ90" s="229">
        <v>3.56E-2</v>
      </c>
      <c r="CR90" s="230">
        <v>2140450</v>
      </c>
      <c r="CS90" s="230">
        <v>2151550</v>
      </c>
      <c r="CT90" s="230">
        <v>-11100</v>
      </c>
      <c r="CU90" s="229">
        <v>-5.1999999999999998E-3</v>
      </c>
      <c r="CV90" s="230">
        <v>26062800</v>
      </c>
      <c r="CW90" s="230">
        <v>25558675</v>
      </c>
      <c r="CX90" s="230">
        <v>504125</v>
      </c>
      <c r="CY90" s="229">
        <v>1.9699999999999999E-2</v>
      </c>
      <c r="CZ90" s="228">
        <v>31.5</v>
      </c>
      <c r="DA90" s="228">
        <v>31</v>
      </c>
      <c r="DB90" s="228">
        <v>0.5</v>
      </c>
      <c r="DC90" s="228">
        <v>0.5</v>
      </c>
      <c r="DD90" s="228">
        <v>29.64</v>
      </c>
      <c r="DE90" s="228">
        <v>29.16</v>
      </c>
      <c r="DF90" s="228">
        <v>1.86</v>
      </c>
      <c r="DG90" s="228">
        <v>0.48</v>
      </c>
      <c r="DH90" s="228">
        <v>31.12</v>
      </c>
      <c r="DI90" s="228">
        <v>30.95</v>
      </c>
      <c r="DJ90" s="228">
        <v>0.17</v>
      </c>
      <c r="DK90" s="228">
        <v>0.17</v>
      </c>
      <c r="DL90" s="228">
        <v>32.450000000000003</v>
      </c>
      <c r="DM90" s="228">
        <v>31.12</v>
      </c>
      <c r="DN90" s="228">
        <v>1.33</v>
      </c>
      <c r="DO90" s="228">
        <v>1.33</v>
      </c>
      <c r="DP90" s="228">
        <v>0.65</v>
      </c>
      <c r="DQ90" s="228">
        <v>0.68</v>
      </c>
      <c r="DR90" s="228">
        <v>-0.03</v>
      </c>
      <c r="DS90" s="229">
        <v>-4.41E-2</v>
      </c>
      <c r="DT90" s="228">
        <v>540</v>
      </c>
      <c r="DU90" s="228">
        <v>500</v>
      </c>
      <c r="DV90" s="228">
        <v>0.4</v>
      </c>
      <c r="DW90" s="228">
        <v>0.45</v>
      </c>
      <c r="DX90" s="228">
        <v>-0.05</v>
      </c>
      <c r="DY90" s="229">
        <v>-0.1111</v>
      </c>
      <c r="DZ90" s="229">
        <v>1.09E-2</v>
      </c>
      <c r="EA90" s="230">
        <v>176675</v>
      </c>
      <c r="EB90" s="229">
        <v>5.7999999999999996E-3</v>
      </c>
      <c r="EC90" s="229">
        <v>1.09E-2</v>
      </c>
      <c r="ED90" s="228">
        <v>0.14000000000000001</v>
      </c>
      <c r="EE90" s="229">
        <v>2.9999999999999997E-4</v>
      </c>
      <c r="EF90" s="230">
        <v>968111</v>
      </c>
      <c r="EG90" s="230">
        <v>556759</v>
      </c>
      <c r="EH90" s="229">
        <v>0.73880000000000001</v>
      </c>
      <c r="EI90" s="229">
        <v>0.48180000000000001</v>
      </c>
      <c r="EJ90" s="231">
        <v>36034.5</v>
      </c>
      <c r="EK90" s="231">
        <v>13563.85</v>
      </c>
      <c r="EL90" s="231">
        <v>17915.830000000002</v>
      </c>
      <c r="EM90" s="231">
        <v>5979</v>
      </c>
      <c r="EN90" s="231">
        <v>67514.179999999993</v>
      </c>
      <c r="EO90" s="231">
        <v>30140.71</v>
      </c>
      <c r="EP90" s="231">
        <v>37373.47</v>
      </c>
      <c r="EQ90" s="229">
        <v>1.24</v>
      </c>
      <c r="ER90" s="231">
        <v>18267</v>
      </c>
      <c r="ES90" s="231">
        <v>10998</v>
      </c>
      <c r="ET90" s="231">
        <v>111099</v>
      </c>
      <c r="EU90" s="231">
        <v>58892926</v>
      </c>
      <c r="EV90" s="231">
        <v>140363</v>
      </c>
      <c r="EW90" s="231">
        <v>132952</v>
      </c>
      <c r="EX90" s="231">
        <v>7411</v>
      </c>
      <c r="EY90" s="229">
        <v>5.57E-2</v>
      </c>
      <c r="EZ90" s="229">
        <v>0.4425</v>
      </c>
      <c r="FA90" s="227" t="s">
        <v>555</v>
      </c>
      <c r="FB90" s="161">
        <f t="shared" si="1"/>
        <v>224775</v>
      </c>
    </row>
    <row r="91" spans="1:158" ht="17.25" thickBot="1" x14ac:dyDescent="0.3">
      <c r="A91" s="226">
        <v>46146</v>
      </c>
      <c r="B91" s="227" t="s">
        <v>188</v>
      </c>
      <c r="C91" s="227" t="s">
        <v>234</v>
      </c>
      <c r="D91" s="228">
        <v>71475</v>
      </c>
      <c r="E91" s="228">
        <v>10.57</v>
      </c>
      <c r="F91" s="228">
        <v>10.26</v>
      </c>
      <c r="G91" s="228">
        <v>0.31</v>
      </c>
      <c r="H91" s="229">
        <v>3.0200000000000001E-2</v>
      </c>
      <c r="I91" s="228">
        <v>10.52</v>
      </c>
      <c r="J91" s="228">
        <v>10.220000000000001</v>
      </c>
      <c r="K91" s="228">
        <v>0.3</v>
      </c>
      <c r="L91" s="229">
        <v>2.9399999999999999E-2</v>
      </c>
      <c r="M91" s="228">
        <v>10.57</v>
      </c>
      <c r="N91" s="228">
        <v>10.26</v>
      </c>
      <c r="O91" s="228">
        <v>0.31</v>
      </c>
      <c r="P91" s="229">
        <v>3.0200000000000001E-2</v>
      </c>
      <c r="Q91" s="228">
        <v>10.63</v>
      </c>
      <c r="R91" s="228">
        <v>10.33</v>
      </c>
      <c r="S91" s="228">
        <v>0.3</v>
      </c>
      <c r="T91" s="229">
        <v>2.9000000000000001E-2</v>
      </c>
      <c r="U91" s="228">
        <v>10.71</v>
      </c>
      <c r="V91" s="228">
        <v>10.4</v>
      </c>
      <c r="W91" s="228">
        <v>0.31</v>
      </c>
      <c r="X91" s="229">
        <v>2.98E-2</v>
      </c>
      <c r="Y91" s="228">
        <v>0.05</v>
      </c>
      <c r="Z91" s="228">
        <v>0.04</v>
      </c>
      <c r="AA91" s="228">
        <v>0.01</v>
      </c>
      <c r="AB91" s="229">
        <v>4.7999999999999996E-3</v>
      </c>
      <c r="AC91" s="228">
        <v>0.05</v>
      </c>
      <c r="AD91" s="228">
        <v>0.04</v>
      </c>
      <c r="AE91" s="228">
        <v>0.01</v>
      </c>
      <c r="AF91" s="229">
        <v>4.7999999999999996E-3</v>
      </c>
      <c r="AG91" s="228">
        <v>0.11</v>
      </c>
      <c r="AH91" s="228">
        <v>0.11</v>
      </c>
      <c r="AI91" s="228">
        <v>0</v>
      </c>
      <c r="AJ91" s="229">
        <v>1.0500000000000001E-2</v>
      </c>
      <c r="AK91" s="228">
        <v>0.19</v>
      </c>
      <c r="AL91" s="228">
        <v>0.18</v>
      </c>
      <c r="AM91" s="228">
        <v>0.01</v>
      </c>
      <c r="AN91" s="229">
        <v>1.8100000000000002E-2</v>
      </c>
      <c r="AO91" s="228">
        <v>10.63</v>
      </c>
      <c r="AP91" s="228">
        <v>10.73</v>
      </c>
      <c r="AQ91" s="228">
        <v>0</v>
      </c>
      <c r="AR91" s="230">
        <v>1601111475</v>
      </c>
      <c r="AS91" s="230">
        <v>421845450</v>
      </c>
      <c r="AT91" s="230">
        <v>1179266025</v>
      </c>
      <c r="AU91" s="229">
        <v>2.7955000000000001</v>
      </c>
      <c r="AV91" s="230">
        <v>1501117950</v>
      </c>
      <c r="AW91" s="230">
        <v>391897425</v>
      </c>
      <c r="AX91" s="230">
        <v>1109220525</v>
      </c>
      <c r="AY91" s="229">
        <v>2.8304</v>
      </c>
      <c r="AZ91" s="230">
        <v>89772600</v>
      </c>
      <c r="BA91" s="230">
        <v>25873950</v>
      </c>
      <c r="BB91" s="230">
        <v>63898650</v>
      </c>
      <c r="BC91" s="229">
        <v>2.4695999999999998</v>
      </c>
      <c r="BD91" s="230">
        <v>10220925</v>
      </c>
      <c r="BE91" s="230">
        <v>4074075</v>
      </c>
      <c r="BF91" s="230">
        <v>6146850</v>
      </c>
      <c r="BG91" s="229">
        <v>1.5087999999999999</v>
      </c>
      <c r="BH91" s="230">
        <v>3029110500</v>
      </c>
      <c r="BI91" s="230">
        <v>1325360925</v>
      </c>
      <c r="BJ91" s="230">
        <v>1703749575</v>
      </c>
      <c r="BK91" s="229">
        <v>1.2855000000000001</v>
      </c>
      <c r="BL91" s="230">
        <v>730331550</v>
      </c>
      <c r="BM91" s="230">
        <v>387966300</v>
      </c>
      <c r="BN91" s="230">
        <v>342365250</v>
      </c>
      <c r="BO91" s="229">
        <v>0.88249999999999995</v>
      </c>
      <c r="BP91" s="230">
        <v>5360553525</v>
      </c>
      <c r="BQ91" s="230">
        <v>2135172675</v>
      </c>
      <c r="BR91" s="230">
        <v>3225380850</v>
      </c>
      <c r="BS91" s="229">
        <v>1.5105999999999999</v>
      </c>
      <c r="BT91" s="230">
        <v>1243636770</v>
      </c>
      <c r="BU91" s="230">
        <v>434076419</v>
      </c>
      <c r="BV91" s="230">
        <v>809560351</v>
      </c>
      <c r="BW91" s="229">
        <v>1.865</v>
      </c>
      <c r="BX91" s="230">
        <v>6763393350</v>
      </c>
      <c r="BY91" s="230">
        <v>6533100900</v>
      </c>
      <c r="BZ91" s="230">
        <v>230292450</v>
      </c>
      <c r="CA91" s="229">
        <v>3.5299999999999998E-2</v>
      </c>
      <c r="CB91" s="230">
        <v>6572841000</v>
      </c>
      <c r="CC91" s="230">
        <v>6387006000</v>
      </c>
      <c r="CD91" s="230">
        <v>185835000</v>
      </c>
      <c r="CE91" s="229">
        <v>2.9100000000000001E-2</v>
      </c>
      <c r="CF91" s="230">
        <v>174756375</v>
      </c>
      <c r="CG91" s="230">
        <v>136159875</v>
      </c>
      <c r="CH91" s="230">
        <v>38596500</v>
      </c>
      <c r="CI91" s="229">
        <v>0.28349999999999997</v>
      </c>
      <c r="CJ91" s="230">
        <v>15795975</v>
      </c>
      <c r="CK91" s="230">
        <v>9935025</v>
      </c>
      <c r="CL91" s="230">
        <v>5860950</v>
      </c>
      <c r="CM91" s="229">
        <v>0.58989999999999998</v>
      </c>
      <c r="CN91" s="230">
        <v>1592391525</v>
      </c>
      <c r="CO91" s="230">
        <v>1324574700</v>
      </c>
      <c r="CP91" s="230">
        <v>267816825</v>
      </c>
      <c r="CQ91" s="229">
        <v>0.20219999999999999</v>
      </c>
      <c r="CR91" s="230">
        <v>771858525</v>
      </c>
      <c r="CS91" s="230">
        <v>673723350</v>
      </c>
      <c r="CT91" s="230">
        <v>98135175</v>
      </c>
      <c r="CU91" s="229">
        <v>0.1457</v>
      </c>
      <c r="CV91" s="230">
        <v>9127643400</v>
      </c>
      <c r="CW91" s="230">
        <v>8531398950</v>
      </c>
      <c r="CX91" s="230">
        <v>596244450</v>
      </c>
      <c r="CY91" s="229">
        <v>6.9900000000000004E-2</v>
      </c>
      <c r="CZ91" s="228">
        <v>53.39</v>
      </c>
      <c r="DA91" s="228">
        <v>49.47</v>
      </c>
      <c r="DB91" s="228">
        <v>3.92</v>
      </c>
      <c r="DC91" s="228">
        <v>3.92</v>
      </c>
      <c r="DD91" s="228">
        <v>63.52</v>
      </c>
      <c r="DE91" s="228">
        <v>63.55</v>
      </c>
      <c r="DF91" s="228">
        <v>-10.130000000000001</v>
      </c>
      <c r="DG91" s="228">
        <v>-0.03</v>
      </c>
      <c r="DH91" s="228">
        <v>54.28</v>
      </c>
      <c r="DI91" s="228">
        <v>49.91</v>
      </c>
      <c r="DJ91" s="228">
        <v>4.37</v>
      </c>
      <c r="DK91" s="228">
        <v>4.37</v>
      </c>
      <c r="DL91" s="228">
        <v>49.7</v>
      </c>
      <c r="DM91" s="228">
        <v>47.99</v>
      </c>
      <c r="DN91" s="228">
        <v>1.71</v>
      </c>
      <c r="DO91" s="228">
        <v>1.71</v>
      </c>
      <c r="DP91" s="228">
        <v>0.48</v>
      </c>
      <c r="DQ91" s="228">
        <v>0.51</v>
      </c>
      <c r="DR91" s="228">
        <v>-0.03</v>
      </c>
      <c r="DS91" s="229">
        <v>-5.8799999999999998E-2</v>
      </c>
      <c r="DT91" s="228">
        <v>11</v>
      </c>
      <c r="DU91" s="228">
        <v>10</v>
      </c>
      <c r="DV91" s="228">
        <v>0.24</v>
      </c>
      <c r="DW91" s="228">
        <v>0.28999999999999998</v>
      </c>
      <c r="DX91" s="228">
        <v>-0.05</v>
      </c>
      <c r="DY91" s="229">
        <v>-0.1724</v>
      </c>
      <c r="DZ91" s="229">
        <v>2.8199999999999999E-2</v>
      </c>
      <c r="EA91" s="230">
        <v>146094900</v>
      </c>
      <c r="EB91" s="229">
        <v>5.7000000000000002E-3</v>
      </c>
      <c r="EC91" s="229">
        <v>2.8199999999999999E-2</v>
      </c>
      <c r="ED91" s="228">
        <v>0.1</v>
      </c>
      <c r="EE91" s="229">
        <v>9.4000000000000004E-3</v>
      </c>
      <c r="EF91" s="230">
        <v>360043480</v>
      </c>
      <c r="EG91" s="230">
        <v>80677061</v>
      </c>
      <c r="EH91" s="229">
        <v>3.4628000000000001</v>
      </c>
      <c r="EI91" s="229">
        <v>0.28949999999999998</v>
      </c>
      <c r="EJ91" s="231">
        <v>369048.07</v>
      </c>
      <c r="EK91" s="231">
        <v>75369.08</v>
      </c>
      <c r="EL91" s="231">
        <v>170274.83</v>
      </c>
      <c r="EM91" s="231">
        <v>27396</v>
      </c>
      <c r="EN91" s="231">
        <v>614691.98</v>
      </c>
      <c r="EO91" s="231">
        <v>236628.73</v>
      </c>
      <c r="EP91" s="231">
        <v>378063.25</v>
      </c>
      <c r="EQ91" s="229">
        <v>1.5976999999999999</v>
      </c>
      <c r="ER91" s="231">
        <v>181272</v>
      </c>
      <c r="ES91" s="231">
        <v>77212</v>
      </c>
      <c r="ET91" s="231">
        <v>715018</v>
      </c>
      <c r="EU91" s="231">
        <v>12096038468</v>
      </c>
      <c r="EV91" s="231">
        <v>973502</v>
      </c>
      <c r="EW91" s="231">
        <v>884459</v>
      </c>
      <c r="EX91" s="231">
        <v>89043</v>
      </c>
      <c r="EY91" s="229">
        <v>0.1007</v>
      </c>
      <c r="EZ91" s="229">
        <v>0.75460000000000005</v>
      </c>
      <c r="FA91" s="227" t="s">
        <v>555</v>
      </c>
      <c r="FB91" s="161">
        <f t="shared" si="1"/>
        <v>190552350</v>
      </c>
    </row>
    <row r="92" spans="1:158" ht="17.25" thickBot="1" x14ac:dyDescent="0.3">
      <c r="A92" s="226">
        <v>46146</v>
      </c>
      <c r="B92" s="227" t="s">
        <v>172</v>
      </c>
      <c r="C92" s="227" t="s">
        <v>235</v>
      </c>
      <c r="D92" s="228">
        <v>9275</v>
      </c>
      <c r="E92" s="228">
        <v>69.989999999999995</v>
      </c>
      <c r="F92" s="228">
        <v>70.06</v>
      </c>
      <c r="G92" s="228">
        <v>-7.0000000000000007E-2</v>
      </c>
      <c r="H92" s="229">
        <v>-1E-3</v>
      </c>
      <c r="I92" s="228">
        <v>69.59</v>
      </c>
      <c r="J92" s="228">
        <v>69.64</v>
      </c>
      <c r="K92" s="228">
        <v>-0.05</v>
      </c>
      <c r="L92" s="229">
        <v>-6.9999999999999999E-4</v>
      </c>
      <c r="M92" s="228">
        <v>69.989999999999995</v>
      </c>
      <c r="N92" s="228">
        <v>70.06</v>
      </c>
      <c r="O92" s="228">
        <v>-7.0000000000000007E-2</v>
      </c>
      <c r="P92" s="229">
        <v>-1E-3</v>
      </c>
      <c r="Q92" s="228">
        <v>70.459999999999994</v>
      </c>
      <c r="R92" s="228">
        <v>70.489999999999995</v>
      </c>
      <c r="S92" s="228">
        <v>-0.03</v>
      </c>
      <c r="T92" s="229">
        <v>-4.0000000000000002E-4</v>
      </c>
      <c r="U92" s="228">
        <v>70.75</v>
      </c>
      <c r="V92" s="228">
        <v>70.739999999999995</v>
      </c>
      <c r="W92" s="228">
        <v>0.01</v>
      </c>
      <c r="X92" s="229">
        <v>1E-4</v>
      </c>
      <c r="Y92" s="228">
        <v>0.4</v>
      </c>
      <c r="Z92" s="228">
        <v>0.42</v>
      </c>
      <c r="AA92" s="228">
        <v>-0.02</v>
      </c>
      <c r="AB92" s="229">
        <v>5.7000000000000002E-3</v>
      </c>
      <c r="AC92" s="228">
        <v>0.4</v>
      </c>
      <c r="AD92" s="228">
        <v>0.42</v>
      </c>
      <c r="AE92" s="228">
        <v>-0.02</v>
      </c>
      <c r="AF92" s="229">
        <v>5.7000000000000002E-3</v>
      </c>
      <c r="AG92" s="228">
        <v>0.87</v>
      </c>
      <c r="AH92" s="228">
        <v>0.85</v>
      </c>
      <c r="AI92" s="228">
        <v>0.02</v>
      </c>
      <c r="AJ92" s="229">
        <v>1.2500000000000001E-2</v>
      </c>
      <c r="AK92" s="228">
        <v>1.1599999999999999</v>
      </c>
      <c r="AL92" s="228">
        <v>1.1000000000000001</v>
      </c>
      <c r="AM92" s="228">
        <v>0.06</v>
      </c>
      <c r="AN92" s="229">
        <v>1.67E-2</v>
      </c>
      <c r="AO92" s="228">
        <v>70.42</v>
      </c>
      <c r="AP92" s="228">
        <v>71</v>
      </c>
      <c r="AQ92" s="228">
        <v>0</v>
      </c>
      <c r="AR92" s="230">
        <v>34530825</v>
      </c>
      <c r="AS92" s="230">
        <v>48842150</v>
      </c>
      <c r="AT92" s="230">
        <v>-14311325</v>
      </c>
      <c r="AU92" s="229">
        <v>-0.29299999999999998</v>
      </c>
      <c r="AV92" s="230">
        <v>30023175</v>
      </c>
      <c r="AW92" s="230">
        <v>42943250</v>
      </c>
      <c r="AX92" s="230">
        <v>-12920075</v>
      </c>
      <c r="AY92" s="229">
        <v>-0.3009</v>
      </c>
      <c r="AZ92" s="230">
        <v>4081000</v>
      </c>
      <c r="BA92" s="230">
        <v>5221825</v>
      </c>
      <c r="BB92" s="230">
        <v>-1140825</v>
      </c>
      <c r="BC92" s="229">
        <v>-0.2185</v>
      </c>
      <c r="BD92" s="230">
        <v>426650</v>
      </c>
      <c r="BE92" s="230">
        <v>677075</v>
      </c>
      <c r="BF92" s="230">
        <v>-250425</v>
      </c>
      <c r="BG92" s="229">
        <v>-0.36990000000000001</v>
      </c>
      <c r="BH92" s="230">
        <v>67021150</v>
      </c>
      <c r="BI92" s="230">
        <v>73458000</v>
      </c>
      <c r="BJ92" s="230">
        <v>-6436850</v>
      </c>
      <c r="BK92" s="229">
        <v>-8.7599999999999997E-2</v>
      </c>
      <c r="BL92" s="230">
        <v>60482275</v>
      </c>
      <c r="BM92" s="230">
        <v>53006625</v>
      </c>
      <c r="BN92" s="230">
        <v>7475650</v>
      </c>
      <c r="BO92" s="229">
        <v>0.14099999999999999</v>
      </c>
      <c r="BP92" s="230">
        <v>162034250</v>
      </c>
      <c r="BQ92" s="230">
        <v>175306775</v>
      </c>
      <c r="BR92" s="230">
        <v>-13272525</v>
      </c>
      <c r="BS92" s="229">
        <v>-7.5700000000000003E-2</v>
      </c>
      <c r="BT92" s="230">
        <v>21757124</v>
      </c>
      <c r="BU92" s="230">
        <v>25606993</v>
      </c>
      <c r="BV92" s="230">
        <v>-3849869</v>
      </c>
      <c r="BW92" s="229">
        <v>-0.15029999999999999</v>
      </c>
      <c r="BX92" s="230">
        <v>407218875</v>
      </c>
      <c r="BY92" s="230">
        <v>400522325</v>
      </c>
      <c r="BZ92" s="230">
        <v>6696550</v>
      </c>
      <c r="CA92" s="229">
        <v>1.67E-2</v>
      </c>
      <c r="CB92" s="230">
        <v>364507500</v>
      </c>
      <c r="CC92" s="230">
        <v>359387700</v>
      </c>
      <c r="CD92" s="230">
        <v>5119800</v>
      </c>
      <c r="CE92" s="229">
        <v>1.4200000000000001E-2</v>
      </c>
      <c r="CF92" s="230">
        <v>41598375</v>
      </c>
      <c r="CG92" s="230">
        <v>40346250</v>
      </c>
      <c r="CH92" s="230">
        <v>1252125</v>
      </c>
      <c r="CI92" s="229">
        <v>3.1E-2</v>
      </c>
      <c r="CJ92" s="230">
        <v>1113000</v>
      </c>
      <c r="CK92" s="230">
        <v>788375</v>
      </c>
      <c r="CL92" s="230">
        <v>324625</v>
      </c>
      <c r="CM92" s="229">
        <v>0.4118</v>
      </c>
      <c r="CN92" s="230">
        <v>86016350</v>
      </c>
      <c r="CO92" s="230">
        <v>83308050</v>
      </c>
      <c r="CP92" s="230">
        <v>2708300</v>
      </c>
      <c r="CQ92" s="229">
        <v>3.2500000000000001E-2</v>
      </c>
      <c r="CR92" s="230">
        <v>79635150</v>
      </c>
      <c r="CS92" s="230">
        <v>76917575</v>
      </c>
      <c r="CT92" s="230">
        <v>2717575</v>
      </c>
      <c r="CU92" s="229">
        <v>3.5299999999999998E-2</v>
      </c>
      <c r="CV92" s="230">
        <v>572870375</v>
      </c>
      <c r="CW92" s="230">
        <v>560747950</v>
      </c>
      <c r="CX92" s="230">
        <v>12122425</v>
      </c>
      <c r="CY92" s="229">
        <v>2.1600000000000001E-2</v>
      </c>
      <c r="CZ92" s="228">
        <v>31.98</v>
      </c>
      <c r="DA92" s="228">
        <v>31.17</v>
      </c>
      <c r="DB92" s="228">
        <v>0.81</v>
      </c>
      <c r="DC92" s="228">
        <v>0.81</v>
      </c>
      <c r="DD92" s="228">
        <v>41.25</v>
      </c>
      <c r="DE92" s="228">
        <v>41.36</v>
      </c>
      <c r="DF92" s="228">
        <v>-9.27</v>
      </c>
      <c r="DG92" s="228">
        <v>-0.11</v>
      </c>
      <c r="DH92" s="228">
        <v>31.31</v>
      </c>
      <c r="DI92" s="228">
        <v>30.81</v>
      </c>
      <c r="DJ92" s="228">
        <v>0.5</v>
      </c>
      <c r="DK92" s="228">
        <v>0.5</v>
      </c>
      <c r="DL92" s="228">
        <v>32.729999999999997</v>
      </c>
      <c r="DM92" s="228">
        <v>31.67</v>
      </c>
      <c r="DN92" s="228">
        <v>1.06</v>
      </c>
      <c r="DO92" s="228">
        <v>1.06</v>
      </c>
      <c r="DP92" s="228">
        <v>0.93</v>
      </c>
      <c r="DQ92" s="228">
        <v>0.92</v>
      </c>
      <c r="DR92" s="228">
        <v>0.01</v>
      </c>
      <c r="DS92" s="229">
        <v>1.09E-2</v>
      </c>
      <c r="DT92" s="228">
        <v>70</v>
      </c>
      <c r="DU92" s="228">
        <v>70</v>
      </c>
      <c r="DV92" s="228">
        <v>0.9</v>
      </c>
      <c r="DW92" s="228">
        <v>0.72</v>
      </c>
      <c r="DX92" s="228">
        <v>0.18</v>
      </c>
      <c r="DY92" s="229">
        <v>0.25</v>
      </c>
      <c r="DZ92" s="229">
        <v>0.10489999999999999</v>
      </c>
      <c r="EA92" s="230">
        <v>41134625</v>
      </c>
      <c r="EB92" s="229">
        <v>6.7000000000000002E-3</v>
      </c>
      <c r="EC92" s="229">
        <v>0.10489999999999999</v>
      </c>
      <c r="ED92" s="228">
        <v>0.57999999999999996</v>
      </c>
      <c r="EE92" s="229">
        <v>8.2000000000000007E-3</v>
      </c>
      <c r="EF92" s="230">
        <v>12119427</v>
      </c>
      <c r="EG92" s="230">
        <v>11984063</v>
      </c>
      <c r="EH92" s="229">
        <v>1.1299999999999999E-2</v>
      </c>
      <c r="EI92" s="229">
        <v>0.55700000000000005</v>
      </c>
      <c r="EJ92" s="231">
        <v>50066.62</v>
      </c>
      <c r="EK92" s="231">
        <v>41134.97</v>
      </c>
      <c r="EL92" s="231">
        <v>24344.43</v>
      </c>
      <c r="EM92" s="231">
        <v>14740</v>
      </c>
      <c r="EN92" s="231">
        <v>115546.02</v>
      </c>
      <c r="EO92" s="231">
        <v>125685.94</v>
      </c>
      <c r="EP92" s="231">
        <v>-10139.92</v>
      </c>
      <c r="EQ92" s="229">
        <v>-8.0699999999999994E-2</v>
      </c>
      <c r="ER92" s="231">
        <v>62363</v>
      </c>
      <c r="ES92" s="231">
        <v>54479</v>
      </c>
      <c r="ET92" s="231">
        <v>285216</v>
      </c>
      <c r="EU92" s="231">
        <v>1101871266</v>
      </c>
      <c r="EV92" s="231">
        <v>402058</v>
      </c>
      <c r="EW92" s="231">
        <v>393856</v>
      </c>
      <c r="EX92" s="231">
        <v>8202</v>
      </c>
      <c r="EY92" s="229">
        <v>2.0799999999999999E-2</v>
      </c>
      <c r="EZ92" s="229">
        <v>0.51990000000000003</v>
      </c>
      <c r="FA92" s="227" t="s">
        <v>566</v>
      </c>
      <c r="FB92" s="161">
        <f t="shared" si="1"/>
        <v>42711375</v>
      </c>
    </row>
    <row r="93" spans="1:158" ht="17.25" thickBot="1" x14ac:dyDescent="0.3">
      <c r="A93" s="226">
        <v>46146</v>
      </c>
      <c r="B93" s="227" t="s">
        <v>161</v>
      </c>
      <c r="C93" s="227" t="s">
        <v>514</v>
      </c>
      <c r="D93" s="228">
        <v>3750</v>
      </c>
      <c r="E93" s="228">
        <v>125.72</v>
      </c>
      <c r="F93" s="228">
        <v>124.03</v>
      </c>
      <c r="G93" s="228">
        <v>1.69</v>
      </c>
      <c r="H93" s="229">
        <v>1.3599999999999999E-2</v>
      </c>
      <c r="I93" s="228">
        <v>126.97</v>
      </c>
      <c r="J93" s="228">
        <v>125.19</v>
      </c>
      <c r="K93" s="228">
        <v>1.78</v>
      </c>
      <c r="L93" s="229">
        <v>1.4200000000000001E-2</v>
      </c>
      <c r="M93" s="228">
        <v>125.72</v>
      </c>
      <c r="N93" s="228">
        <v>124.03</v>
      </c>
      <c r="O93" s="228">
        <v>1.69</v>
      </c>
      <c r="P93" s="229">
        <v>1.3599999999999999E-2</v>
      </c>
      <c r="Q93" s="228">
        <v>126.3</v>
      </c>
      <c r="R93" s="228">
        <v>124.69</v>
      </c>
      <c r="S93" s="228">
        <v>1.61</v>
      </c>
      <c r="T93" s="229">
        <v>1.29E-2</v>
      </c>
      <c r="U93" s="228">
        <v>127.08</v>
      </c>
      <c r="V93" s="228">
        <v>124.95</v>
      </c>
      <c r="W93" s="228">
        <v>2.13</v>
      </c>
      <c r="X93" s="229">
        <v>1.7000000000000001E-2</v>
      </c>
      <c r="Y93" s="228">
        <v>-1.25</v>
      </c>
      <c r="Z93" s="228">
        <v>-1.1599999999999999</v>
      </c>
      <c r="AA93" s="228">
        <v>-0.09</v>
      </c>
      <c r="AB93" s="229">
        <v>-9.7999999999999997E-3</v>
      </c>
      <c r="AC93" s="228">
        <v>-1.25</v>
      </c>
      <c r="AD93" s="228">
        <v>-1.1599999999999999</v>
      </c>
      <c r="AE93" s="228">
        <v>-0.09</v>
      </c>
      <c r="AF93" s="229">
        <v>-9.7999999999999997E-3</v>
      </c>
      <c r="AG93" s="228">
        <v>-0.67</v>
      </c>
      <c r="AH93" s="228">
        <v>-0.5</v>
      </c>
      <c r="AI93" s="228">
        <v>-0.17</v>
      </c>
      <c r="AJ93" s="229">
        <v>-5.3E-3</v>
      </c>
      <c r="AK93" s="228">
        <v>0.11</v>
      </c>
      <c r="AL93" s="228">
        <v>-0.24</v>
      </c>
      <c r="AM93" s="228">
        <v>0.35</v>
      </c>
      <c r="AN93" s="229">
        <v>8.9999999999999998E-4</v>
      </c>
      <c r="AO93" s="228">
        <v>125.34</v>
      </c>
      <c r="AP93" s="228">
        <v>125.9</v>
      </c>
      <c r="AQ93" s="228">
        <v>0</v>
      </c>
      <c r="AR93" s="230">
        <v>8490000</v>
      </c>
      <c r="AS93" s="230">
        <v>5595000</v>
      </c>
      <c r="AT93" s="230">
        <v>2895000</v>
      </c>
      <c r="AU93" s="229">
        <v>0.51739999999999997</v>
      </c>
      <c r="AV93" s="230">
        <v>7893750</v>
      </c>
      <c r="AW93" s="230">
        <v>5085000</v>
      </c>
      <c r="AX93" s="230">
        <v>2808750</v>
      </c>
      <c r="AY93" s="229">
        <v>0.5524</v>
      </c>
      <c r="AZ93" s="230">
        <v>551250</v>
      </c>
      <c r="BA93" s="230">
        <v>435000</v>
      </c>
      <c r="BB93" s="230">
        <v>116250</v>
      </c>
      <c r="BC93" s="229">
        <v>0.26719999999999999</v>
      </c>
      <c r="BD93" s="230">
        <v>45000</v>
      </c>
      <c r="BE93" s="230">
        <v>75000</v>
      </c>
      <c r="BF93" s="230">
        <v>-30000</v>
      </c>
      <c r="BG93" s="229">
        <v>-0.4</v>
      </c>
      <c r="BH93" s="230">
        <v>31252500</v>
      </c>
      <c r="BI93" s="230">
        <v>25413750</v>
      </c>
      <c r="BJ93" s="230">
        <v>5838750</v>
      </c>
      <c r="BK93" s="229">
        <v>0.22969999999999999</v>
      </c>
      <c r="BL93" s="230">
        <v>14201250</v>
      </c>
      <c r="BM93" s="230">
        <v>8988750</v>
      </c>
      <c r="BN93" s="230">
        <v>5212500</v>
      </c>
      <c r="BO93" s="229">
        <v>0.57989999999999997</v>
      </c>
      <c r="BP93" s="230">
        <v>53943750</v>
      </c>
      <c r="BQ93" s="230">
        <v>39997500</v>
      </c>
      <c r="BR93" s="230">
        <v>13946250</v>
      </c>
      <c r="BS93" s="229">
        <v>0.34870000000000001</v>
      </c>
      <c r="BT93" s="230">
        <v>6774041</v>
      </c>
      <c r="BU93" s="230">
        <v>5408816</v>
      </c>
      <c r="BV93" s="230">
        <v>1365225</v>
      </c>
      <c r="BW93" s="229">
        <v>0.25240000000000001</v>
      </c>
      <c r="BX93" s="230">
        <v>71399250</v>
      </c>
      <c r="BY93" s="230">
        <v>71532600</v>
      </c>
      <c r="BZ93" s="230">
        <v>-133350</v>
      </c>
      <c r="CA93" s="229">
        <v>-1.9E-3</v>
      </c>
      <c r="CB93" s="230">
        <v>68137500</v>
      </c>
      <c r="CC93" s="230">
        <v>68205000</v>
      </c>
      <c r="CD93" s="230">
        <v>-67500</v>
      </c>
      <c r="CE93" s="229">
        <v>-1E-3</v>
      </c>
      <c r="CF93" s="230">
        <v>3131250</v>
      </c>
      <c r="CG93" s="230">
        <v>3236250</v>
      </c>
      <c r="CH93" s="230">
        <v>-105000</v>
      </c>
      <c r="CI93" s="229">
        <v>-3.2399999999999998E-2</v>
      </c>
      <c r="CJ93" s="230">
        <v>130500</v>
      </c>
      <c r="CK93" s="230">
        <v>91350</v>
      </c>
      <c r="CL93" s="230">
        <v>39150</v>
      </c>
      <c r="CM93" s="229">
        <v>0.42859999999999998</v>
      </c>
      <c r="CN93" s="230">
        <v>43470000</v>
      </c>
      <c r="CO93" s="230">
        <v>39772500</v>
      </c>
      <c r="CP93" s="230">
        <v>3697500</v>
      </c>
      <c r="CQ93" s="229">
        <v>9.2999999999999999E-2</v>
      </c>
      <c r="CR93" s="230">
        <v>26235000</v>
      </c>
      <c r="CS93" s="230">
        <v>24326250</v>
      </c>
      <c r="CT93" s="230">
        <v>1908750</v>
      </c>
      <c r="CU93" s="229">
        <v>7.85E-2</v>
      </c>
      <c r="CV93" s="230">
        <v>141104250</v>
      </c>
      <c r="CW93" s="230">
        <v>135631350</v>
      </c>
      <c r="CX93" s="230">
        <v>5472900</v>
      </c>
      <c r="CY93" s="229">
        <v>4.0399999999999998E-2</v>
      </c>
      <c r="CZ93" s="228">
        <v>39.94</v>
      </c>
      <c r="DA93" s="228">
        <v>39.46</v>
      </c>
      <c r="DB93" s="228">
        <v>0.48</v>
      </c>
      <c r="DC93" s="228">
        <v>0.48</v>
      </c>
      <c r="DD93" s="228">
        <v>51.96</v>
      </c>
      <c r="DE93" s="228">
        <v>52.06</v>
      </c>
      <c r="DF93" s="228">
        <v>-12.02</v>
      </c>
      <c r="DG93" s="228">
        <v>-0.1</v>
      </c>
      <c r="DH93" s="228">
        <v>40.380000000000003</v>
      </c>
      <c r="DI93" s="228">
        <v>39.75</v>
      </c>
      <c r="DJ93" s="228">
        <v>0.63</v>
      </c>
      <c r="DK93" s="228">
        <v>0.63</v>
      </c>
      <c r="DL93" s="228">
        <v>38.97</v>
      </c>
      <c r="DM93" s="228">
        <v>38.64</v>
      </c>
      <c r="DN93" s="228">
        <v>0.33</v>
      </c>
      <c r="DO93" s="228">
        <v>0.33</v>
      </c>
      <c r="DP93" s="228">
        <v>0.6</v>
      </c>
      <c r="DQ93" s="228">
        <v>0.61</v>
      </c>
      <c r="DR93" s="228">
        <v>-0.01</v>
      </c>
      <c r="DS93" s="229">
        <v>-1.6400000000000001E-2</v>
      </c>
      <c r="DT93" s="228">
        <v>150</v>
      </c>
      <c r="DU93" s="228">
        <v>150</v>
      </c>
      <c r="DV93" s="228">
        <v>0.45</v>
      </c>
      <c r="DW93" s="228">
        <v>0.35</v>
      </c>
      <c r="DX93" s="228">
        <v>0.1</v>
      </c>
      <c r="DY93" s="229">
        <v>0.28570000000000001</v>
      </c>
      <c r="DZ93" s="229">
        <v>4.5699999999999998E-2</v>
      </c>
      <c r="EA93" s="230">
        <v>3327600</v>
      </c>
      <c r="EB93" s="229">
        <v>4.5999999999999999E-3</v>
      </c>
      <c r="EC93" s="229">
        <v>4.5699999999999998E-2</v>
      </c>
      <c r="ED93" s="228">
        <v>0.56000000000000005</v>
      </c>
      <c r="EE93" s="229">
        <v>4.4999999999999997E-3</v>
      </c>
      <c r="EF93" s="230">
        <v>3773435</v>
      </c>
      <c r="EG93" s="230">
        <v>2400038</v>
      </c>
      <c r="EH93" s="229">
        <v>0.57220000000000004</v>
      </c>
      <c r="EI93" s="229">
        <v>0.55700000000000005</v>
      </c>
      <c r="EJ93" s="231">
        <v>42747.51</v>
      </c>
      <c r="EK93" s="231">
        <v>17347.59</v>
      </c>
      <c r="EL93" s="231">
        <v>10654.55</v>
      </c>
      <c r="EM93" s="231">
        <v>6299</v>
      </c>
      <c r="EN93" s="231">
        <v>70749.649999999994</v>
      </c>
      <c r="EO93" s="231">
        <v>52253.760000000002</v>
      </c>
      <c r="EP93" s="231">
        <v>18495.89</v>
      </c>
      <c r="EQ93" s="229">
        <v>0.35399999999999998</v>
      </c>
      <c r="ER93" s="231">
        <v>58859</v>
      </c>
      <c r="ES93" s="231">
        <v>33157</v>
      </c>
      <c r="ET93" s="231">
        <v>89783</v>
      </c>
      <c r="EU93" s="231">
        <v>133395043</v>
      </c>
      <c r="EV93" s="231">
        <v>181799</v>
      </c>
      <c r="EW93" s="231">
        <v>173572</v>
      </c>
      <c r="EX93" s="231">
        <v>8227</v>
      </c>
      <c r="EY93" s="229">
        <v>4.7399999999999998E-2</v>
      </c>
      <c r="EZ93" s="229">
        <v>1.0578000000000001</v>
      </c>
      <c r="FA93" s="227" t="s">
        <v>691</v>
      </c>
      <c r="FB93" s="161">
        <f t="shared" si="1"/>
        <v>3261750</v>
      </c>
    </row>
    <row r="94" spans="1:158" ht="17.25" thickBot="1" x14ac:dyDescent="0.3">
      <c r="A94" s="226">
        <v>46146</v>
      </c>
      <c r="B94" s="227" t="s">
        <v>206</v>
      </c>
      <c r="C94" s="227" t="s">
        <v>501</v>
      </c>
      <c r="D94" s="228">
        <v>1000</v>
      </c>
      <c r="E94" s="228">
        <v>645.54999999999995</v>
      </c>
      <c r="F94" s="228">
        <v>640</v>
      </c>
      <c r="G94" s="228">
        <v>5.55</v>
      </c>
      <c r="H94" s="229">
        <v>8.6999999999999994E-3</v>
      </c>
      <c r="I94" s="228">
        <v>643.70000000000005</v>
      </c>
      <c r="J94" s="228">
        <v>635.85</v>
      </c>
      <c r="K94" s="228">
        <v>7.85</v>
      </c>
      <c r="L94" s="229">
        <v>1.23E-2</v>
      </c>
      <c r="M94" s="228">
        <v>645.54999999999995</v>
      </c>
      <c r="N94" s="228">
        <v>640</v>
      </c>
      <c r="O94" s="228">
        <v>5.55</v>
      </c>
      <c r="P94" s="229">
        <v>8.6999999999999994E-3</v>
      </c>
      <c r="Q94" s="228">
        <v>648.20000000000005</v>
      </c>
      <c r="R94" s="228">
        <v>640.95000000000005</v>
      </c>
      <c r="S94" s="228">
        <v>7.25</v>
      </c>
      <c r="T94" s="229">
        <v>1.1299999999999999E-2</v>
      </c>
      <c r="U94" s="228">
        <v>650</v>
      </c>
      <c r="V94" s="228">
        <v>645.95000000000005</v>
      </c>
      <c r="W94" s="228">
        <v>4.05</v>
      </c>
      <c r="X94" s="229">
        <v>6.3E-3</v>
      </c>
      <c r="Y94" s="228">
        <v>1.85</v>
      </c>
      <c r="Z94" s="228">
        <v>4.1500000000000004</v>
      </c>
      <c r="AA94" s="228">
        <v>-2.2999999999999998</v>
      </c>
      <c r="AB94" s="229">
        <v>2.8999999999999998E-3</v>
      </c>
      <c r="AC94" s="228">
        <v>1.85</v>
      </c>
      <c r="AD94" s="228">
        <v>4.1500000000000004</v>
      </c>
      <c r="AE94" s="228">
        <v>-2.2999999999999998</v>
      </c>
      <c r="AF94" s="229">
        <v>2.8999999999999998E-3</v>
      </c>
      <c r="AG94" s="228">
        <v>4.5</v>
      </c>
      <c r="AH94" s="228">
        <v>5.0999999999999996</v>
      </c>
      <c r="AI94" s="228">
        <v>-0.6</v>
      </c>
      <c r="AJ94" s="229">
        <v>7.0000000000000001E-3</v>
      </c>
      <c r="AK94" s="228">
        <v>6.3</v>
      </c>
      <c r="AL94" s="228">
        <v>10.1</v>
      </c>
      <c r="AM94" s="228">
        <v>-3.8</v>
      </c>
      <c r="AN94" s="229">
        <v>9.7999999999999997E-3</v>
      </c>
      <c r="AO94" s="228">
        <v>645.89</v>
      </c>
      <c r="AP94" s="228">
        <v>646.95000000000005</v>
      </c>
      <c r="AQ94" s="228">
        <v>0</v>
      </c>
      <c r="AR94" s="230">
        <v>2007000</v>
      </c>
      <c r="AS94" s="230">
        <v>2195000</v>
      </c>
      <c r="AT94" s="230">
        <v>-188000</v>
      </c>
      <c r="AU94" s="229">
        <v>-8.5599999999999996E-2</v>
      </c>
      <c r="AV94" s="230">
        <v>1927000</v>
      </c>
      <c r="AW94" s="230">
        <v>2091000</v>
      </c>
      <c r="AX94" s="230">
        <v>-164000</v>
      </c>
      <c r="AY94" s="229">
        <v>-7.8399999999999997E-2</v>
      </c>
      <c r="AZ94" s="230">
        <v>77000</v>
      </c>
      <c r="BA94" s="230">
        <v>99000</v>
      </c>
      <c r="BB94" s="230">
        <v>-22000</v>
      </c>
      <c r="BC94" s="229">
        <v>-0.22220000000000001</v>
      </c>
      <c r="BD94" s="230">
        <v>3000</v>
      </c>
      <c r="BE94" s="230">
        <v>5000</v>
      </c>
      <c r="BF94" s="230">
        <v>-2000</v>
      </c>
      <c r="BG94" s="229">
        <v>-0.4</v>
      </c>
      <c r="BH94" s="230">
        <v>3085000</v>
      </c>
      <c r="BI94" s="230">
        <v>5031000</v>
      </c>
      <c r="BJ94" s="230">
        <v>-1946000</v>
      </c>
      <c r="BK94" s="229">
        <v>-0.38679999999999998</v>
      </c>
      <c r="BL94" s="230">
        <v>2253000</v>
      </c>
      <c r="BM94" s="230">
        <v>4136000</v>
      </c>
      <c r="BN94" s="230">
        <v>-1883000</v>
      </c>
      <c r="BO94" s="229">
        <v>-0.45529999999999998</v>
      </c>
      <c r="BP94" s="230">
        <v>7345000</v>
      </c>
      <c r="BQ94" s="230">
        <v>11362000</v>
      </c>
      <c r="BR94" s="230">
        <v>-4017000</v>
      </c>
      <c r="BS94" s="229">
        <v>-0.35349999999999998</v>
      </c>
      <c r="BT94" s="230">
        <v>1626271</v>
      </c>
      <c r="BU94" s="230">
        <v>1520251</v>
      </c>
      <c r="BV94" s="230">
        <v>106020</v>
      </c>
      <c r="BW94" s="229">
        <v>6.9699999999999998E-2</v>
      </c>
      <c r="BX94" s="230">
        <v>21964000</v>
      </c>
      <c r="BY94" s="230">
        <v>22176000</v>
      </c>
      <c r="BZ94" s="230">
        <v>-212000</v>
      </c>
      <c r="CA94" s="229">
        <v>-9.5999999999999992E-3</v>
      </c>
      <c r="CB94" s="230">
        <v>20194000</v>
      </c>
      <c r="CC94" s="230">
        <v>20444000</v>
      </c>
      <c r="CD94" s="230">
        <v>-250000</v>
      </c>
      <c r="CE94" s="229">
        <v>-1.2200000000000001E-2</v>
      </c>
      <c r="CF94" s="230">
        <v>1762000</v>
      </c>
      <c r="CG94" s="230">
        <v>1725000</v>
      </c>
      <c r="CH94" s="230">
        <v>37000</v>
      </c>
      <c r="CI94" s="229">
        <v>2.1399999999999999E-2</v>
      </c>
      <c r="CJ94" s="230">
        <v>8000</v>
      </c>
      <c r="CK94" s="230">
        <v>7000</v>
      </c>
      <c r="CL94" s="230">
        <v>1000</v>
      </c>
      <c r="CM94" s="229">
        <v>0.1429</v>
      </c>
      <c r="CN94" s="230">
        <v>4078000</v>
      </c>
      <c r="CO94" s="230">
        <v>3638000</v>
      </c>
      <c r="CP94" s="230">
        <v>440000</v>
      </c>
      <c r="CQ94" s="229">
        <v>0.12089999999999999</v>
      </c>
      <c r="CR94" s="230">
        <v>5012000</v>
      </c>
      <c r="CS94" s="230">
        <v>4753000</v>
      </c>
      <c r="CT94" s="230">
        <v>259000</v>
      </c>
      <c r="CU94" s="229">
        <v>5.45E-2</v>
      </c>
      <c r="CV94" s="230">
        <v>31054000</v>
      </c>
      <c r="CW94" s="230">
        <v>30567000</v>
      </c>
      <c r="CX94" s="230">
        <v>487000</v>
      </c>
      <c r="CY94" s="229">
        <v>1.5900000000000001E-2</v>
      </c>
      <c r="CZ94" s="228">
        <v>30.9</v>
      </c>
      <c r="DA94" s="228">
        <v>30.71</v>
      </c>
      <c r="DB94" s="228">
        <v>0.19</v>
      </c>
      <c r="DC94" s="228">
        <v>0.19</v>
      </c>
      <c r="DD94" s="228">
        <v>34.85</v>
      </c>
      <c r="DE94" s="228">
        <v>34.9</v>
      </c>
      <c r="DF94" s="228">
        <v>-3.95</v>
      </c>
      <c r="DG94" s="228">
        <v>-0.05</v>
      </c>
      <c r="DH94" s="228">
        <v>30.27</v>
      </c>
      <c r="DI94" s="228">
        <v>30.26</v>
      </c>
      <c r="DJ94" s="228">
        <v>0.01</v>
      </c>
      <c r="DK94" s="228">
        <v>0.01</v>
      </c>
      <c r="DL94" s="228">
        <v>31.77</v>
      </c>
      <c r="DM94" s="228">
        <v>31.26</v>
      </c>
      <c r="DN94" s="228">
        <v>0.51</v>
      </c>
      <c r="DO94" s="228">
        <v>0.51</v>
      </c>
      <c r="DP94" s="228">
        <v>1.23</v>
      </c>
      <c r="DQ94" s="228">
        <v>1.31</v>
      </c>
      <c r="DR94" s="228">
        <v>-0.08</v>
      </c>
      <c r="DS94" s="229">
        <v>-6.1100000000000002E-2</v>
      </c>
      <c r="DT94" s="228">
        <v>700</v>
      </c>
      <c r="DU94" s="228">
        <v>640</v>
      </c>
      <c r="DV94" s="228">
        <v>0.73</v>
      </c>
      <c r="DW94" s="228">
        <v>0.82</v>
      </c>
      <c r="DX94" s="228">
        <v>-0.09</v>
      </c>
      <c r="DY94" s="229">
        <v>-0.10979999999999999</v>
      </c>
      <c r="DZ94" s="229">
        <v>8.0600000000000005E-2</v>
      </c>
      <c r="EA94" s="230">
        <v>1732000</v>
      </c>
      <c r="EB94" s="229">
        <v>4.1000000000000003E-3</v>
      </c>
      <c r="EC94" s="229">
        <v>8.0600000000000005E-2</v>
      </c>
      <c r="ED94" s="228">
        <v>1.06</v>
      </c>
      <c r="EE94" s="229">
        <v>1.6000000000000001E-3</v>
      </c>
      <c r="EF94" s="230">
        <v>827007</v>
      </c>
      <c r="EG94" s="230">
        <v>755128</v>
      </c>
      <c r="EH94" s="229">
        <v>9.5200000000000007E-2</v>
      </c>
      <c r="EI94" s="229">
        <v>0.50849999999999995</v>
      </c>
      <c r="EJ94" s="231">
        <v>21075.39</v>
      </c>
      <c r="EK94" s="231">
        <v>14269.11</v>
      </c>
      <c r="EL94" s="231">
        <v>12963.78</v>
      </c>
      <c r="EM94" s="231">
        <v>6928</v>
      </c>
      <c r="EN94" s="231">
        <v>48308.28</v>
      </c>
      <c r="EO94" s="231">
        <v>74049.11</v>
      </c>
      <c r="EP94" s="231">
        <v>-25740.83</v>
      </c>
      <c r="EQ94" s="229">
        <v>-0.34760000000000002</v>
      </c>
      <c r="ER94" s="231">
        <v>27391</v>
      </c>
      <c r="ES94" s="231">
        <v>32037</v>
      </c>
      <c r="ET94" s="231">
        <v>141836</v>
      </c>
      <c r="EU94" s="231">
        <v>123332004</v>
      </c>
      <c r="EV94" s="231">
        <v>201264</v>
      </c>
      <c r="EW94" s="231">
        <v>196764</v>
      </c>
      <c r="EX94" s="231">
        <v>4500</v>
      </c>
      <c r="EY94" s="229">
        <v>2.29E-2</v>
      </c>
      <c r="EZ94" s="229">
        <v>0.25180000000000002</v>
      </c>
      <c r="FA94" s="227" t="s">
        <v>691</v>
      </c>
      <c r="FB94" s="161">
        <f t="shared" si="1"/>
        <v>1770000</v>
      </c>
    </row>
    <row r="95" spans="1:158" ht="17.25" thickBot="1" x14ac:dyDescent="0.3">
      <c r="A95" s="226">
        <v>46146</v>
      </c>
      <c r="B95" s="227" t="s">
        <v>172</v>
      </c>
      <c r="C95" s="227" t="s">
        <v>577</v>
      </c>
      <c r="D95" s="228">
        <v>1000</v>
      </c>
      <c r="E95" s="228">
        <v>834.35</v>
      </c>
      <c r="F95" s="228">
        <v>855.95</v>
      </c>
      <c r="G95" s="228">
        <v>-21.6</v>
      </c>
      <c r="H95" s="229">
        <v>-2.52E-2</v>
      </c>
      <c r="I95" s="228">
        <v>830.35</v>
      </c>
      <c r="J95" s="228">
        <v>851.85</v>
      </c>
      <c r="K95" s="228">
        <v>-21.5</v>
      </c>
      <c r="L95" s="229">
        <v>-2.52E-2</v>
      </c>
      <c r="M95" s="228">
        <v>834.35</v>
      </c>
      <c r="N95" s="228">
        <v>855.95</v>
      </c>
      <c r="O95" s="228">
        <v>-21.6</v>
      </c>
      <c r="P95" s="229">
        <v>-2.52E-2</v>
      </c>
      <c r="Q95" s="228">
        <v>835.8</v>
      </c>
      <c r="R95" s="228">
        <v>856.1</v>
      </c>
      <c r="S95" s="228">
        <v>-20.3</v>
      </c>
      <c r="T95" s="229">
        <v>-2.3699999999999999E-2</v>
      </c>
      <c r="U95" s="228">
        <v>838.4</v>
      </c>
      <c r="V95" s="228">
        <v>860.35</v>
      </c>
      <c r="W95" s="228">
        <v>-21.95</v>
      </c>
      <c r="X95" s="229">
        <v>-2.5499999999999998E-2</v>
      </c>
      <c r="Y95" s="228">
        <v>4</v>
      </c>
      <c r="Z95" s="228">
        <v>4.0999999999999996</v>
      </c>
      <c r="AA95" s="228">
        <v>-0.1</v>
      </c>
      <c r="AB95" s="229">
        <v>4.7999999999999996E-3</v>
      </c>
      <c r="AC95" s="228">
        <v>4</v>
      </c>
      <c r="AD95" s="228">
        <v>4.0999999999999996</v>
      </c>
      <c r="AE95" s="228">
        <v>-0.1</v>
      </c>
      <c r="AF95" s="229">
        <v>4.7999999999999996E-3</v>
      </c>
      <c r="AG95" s="228">
        <v>5.45</v>
      </c>
      <c r="AH95" s="228">
        <v>4.25</v>
      </c>
      <c r="AI95" s="228">
        <v>1.2</v>
      </c>
      <c r="AJ95" s="229">
        <v>6.6E-3</v>
      </c>
      <c r="AK95" s="228">
        <v>8.0500000000000007</v>
      </c>
      <c r="AL95" s="228">
        <v>8.5</v>
      </c>
      <c r="AM95" s="228">
        <v>-0.45</v>
      </c>
      <c r="AN95" s="229">
        <v>9.7000000000000003E-3</v>
      </c>
      <c r="AO95" s="228">
        <v>843.4</v>
      </c>
      <c r="AP95" s="228">
        <v>846.8</v>
      </c>
      <c r="AQ95" s="228">
        <v>0</v>
      </c>
      <c r="AR95" s="230">
        <v>2966000</v>
      </c>
      <c r="AS95" s="230">
        <v>8994000</v>
      </c>
      <c r="AT95" s="230">
        <v>-6028000</v>
      </c>
      <c r="AU95" s="229">
        <v>-0.67020000000000002</v>
      </c>
      <c r="AV95" s="230">
        <v>2807000</v>
      </c>
      <c r="AW95" s="230">
        <v>8568000</v>
      </c>
      <c r="AX95" s="230">
        <v>-5761000</v>
      </c>
      <c r="AY95" s="229">
        <v>-0.6724</v>
      </c>
      <c r="AZ95" s="230">
        <v>156000</v>
      </c>
      <c r="BA95" s="230">
        <v>385000</v>
      </c>
      <c r="BB95" s="230">
        <v>-229000</v>
      </c>
      <c r="BC95" s="229">
        <v>-0.5948</v>
      </c>
      <c r="BD95" s="230">
        <v>3000</v>
      </c>
      <c r="BE95" s="230">
        <v>41000</v>
      </c>
      <c r="BF95" s="230">
        <v>-38000</v>
      </c>
      <c r="BG95" s="229">
        <v>-0.92679999999999996</v>
      </c>
      <c r="BH95" s="230">
        <v>8222000</v>
      </c>
      <c r="BI95" s="230">
        <v>26506000</v>
      </c>
      <c r="BJ95" s="230">
        <v>-18284000</v>
      </c>
      <c r="BK95" s="229">
        <v>-0.68979999999999997</v>
      </c>
      <c r="BL95" s="230">
        <v>3264000</v>
      </c>
      <c r="BM95" s="230">
        <v>18128000</v>
      </c>
      <c r="BN95" s="230">
        <v>-14864000</v>
      </c>
      <c r="BO95" s="229">
        <v>-0.81989999999999996</v>
      </c>
      <c r="BP95" s="230">
        <v>14452000</v>
      </c>
      <c r="BQ95" s="230">
        <v>53628000</v>
      </c>
      <c r="BR95" s="230">
        <v>-39176000</v>
      </c>
      <c r="BS95" s="229">
        <v>-0.73050000000000004</v>
      </c>
      <c r="BT95" s="230">
        <v>3388313</v>
      </c>
      <c r="BU95" s="230">
        <v>9884300</v>
      </c>
      <c r="BV95" s="230">
        <v>-6495987</v>
      </c>
      <c r="BW95" s="229">
        <v>-0.65720000000000001</v>
      </c>
      <c r="BX95" s="230">
        <v>13023000</v>
      </c>
      <c r="BY95" s="230">
        <v>12637000</v>
      </c>
      <c r="BZ95" s="230">
        <v>386000</v>
      </c>
      <c r="CA95" s="229">
        <v>3.0499999999999999E-2</v>
      </c>
      <c r="CB95" s="230">
        <v>12486000</v>
      </c>
      <c r="CC95" s="230">
        <v>12169000</v>
      </c>
      <c r="CD95" s="230">
        <v>317000</v>
      </c>
      <c r="CE95" s="229">
        <v>2.5999999999999999E-2</v>
      </c>
      <c r="CF95" s="230">
        <v>513000</v>
      </c>
      <c r="CG95" s="230">
        <v>446000</v>
      </c>
      <c r="CH95" s="230">
        <v>67000</v>
      </c>
      <c r="CI95" s="229">
        <v>0.1502</v>
      </c>
      <c r="CJ95" s="230">
        <v>24000</v>
      </c>
      <c r="CK95" s="230">
        <v>22000</v>
      </c>
      <c r="CL95" s="230">
        <v>2000</v>
      </c>
      <c r="CM95" s="229">
        <v>9.0899999999999995E-2</v>
      </c>
      <c r="CN95" s="230">
        <v>6767000</v>
      </c>
      <c r="CO95" s="230">
        <v>5821000</v>
      </c>
      <c r="CP95" s="230">
        <v>946000</v>
      </c>
      <c r="CQ95" s="229">
        <v>0.16250000000000001</v>
      </c>
      <c r="CR95" s="230">
        <v>3612000</v>
      </c>
      <c r="CS95" s="230">
        <v>3405000</v>
      </c>
      <c r="CT95" s="230">
        <v>207000</v>
      </c>
      <c r="CU95" s="229">
        <v>6.08E-2</v>
      </c>
      <c r="CV95" s="230">
        <v>23402000</v>
      </c>
      <c r="CW95" s="230">
        <v>21863000</v>
      </c>
      <c r="CX95" s="230">
        <v>1539000</v>
      </c>
      <c r="CY95" s="229">
        <v>7.0400000000000004E-2</v>
      </c>
      <c r="CZ95" s="228">
        <v>36.6</v>
      </c>
      <c r="DA95" s="228">
        <v>34.840000000000003</v>
      </c>
      <c r="DB95" s="228">
        <v>1.76</v>
      </c>
      <c r="DC95" s="228">
        <v>1.76</v>
      </c>
      <c r="DD95" s="228">
        <v>41.36</v>
      </c>
      <c r="DE95" s="228">
        <v>41.31</v>
      </c>
      <c r="DF95" s="228">
        <v>-4.76</v>
      </c>
      <c r="DG95" s="228">
        <v>0.05</v>
      </c>
      <c r="DH95" s="228">
        <v>37.03</v>
      </c>
      <c r="DI95" s="228">
        <v>35.19</v>
      </c>
      <c r="DJ95" s="228">
        <v>1.84</v>
      </c>
      <c r="DK95" s="228">
        <v>1.84</v>
      </c>
      <c r="DL95" s="228">
        <v>35.51</v>
      </c>
      <c r="DM95" s="228">
        <v>34.33</v>
      </c>
      <c r="DN95" s="228">
        <v>1.18</v>
      </c>
      <c r="DO95" s="228">
        <v>1.18</v>
      </c>
      <c r="DP95" s="228">
        <v>0.53</v>
      </c>
      <c r="DQ95" s="228">
        <v>0.57999999999999996</v>
      </c>
      <c r="DR95" s="228">
        <v>-0.05</v>
      </c>
      <c r="DS95" s="229">
        <v>-8.6199999999999999E-2</v>
      </c>
      <c r="DT95" s="231">
        <v>1000</v>
      </c>
      <c r="DU95" s="228">
        <v>900</v>
      </c>
      <c r="DV95" s="228">
        <v>0.4</v>
      </c>
      <c r="DW95" s="228">
        <v>0.68</v>
      </c>
      <c r="DX95" s="228">
        <v>-0.28000000000000003</v>
      </c>
      <c r="DY95" s="229">
        <v>-0.4118</v>
      </c>
      <c r="DZ95" s="229">
        <v>4.1200000000000001E-2</v>
      </c>
      <c r="EA95" s="230">
        <v>468000</v>
      </c>
      <c r="EB95" s="229">
        <v>1.6999999999999999E-3</v>
      </c>
      <c r="EC95" s="229">
        <v>4.1200000000000001E-2</v>
      </c>
      <c r="ED95" s="228">
        <v>3.4</v>
      </c>
      <c r="EE95" s="229">
        <v>4.0000000000000001E-3</v>
      </c>
      <c r="EF95" s="230">
        <v>1717017</v>
      </c>
      <c r="EG95" s="230">
        <v>3649731</v>
      </c>
      <c r="EH95" s="229">
        <v>-0.52949999999999997</v>
      </c>
      <c r="EI95" s="229">
        <v>0.50670000000000004</v>
      </c>
      <c r="EJ95" s="231">
        <v>75059.210000000006</v>
      </c>
      <c r="EK95" s="231">
        <v>27485.16</v>
      </c>
      <c r="EL95" s="231">
        <v>25020.43</v>
      </c>
      <c r="EM95" s="231">
        <v>8870</v>
      </c>
      <c r="EN95" s="231">
        <v>127564.8</v>
      </c>
      <c r="EO95" s="231">
        <v>471955.17</v>
      </c>
      <c r="EP95" s="231">
        <v>-344390.37</v>
      </c>
      <c r="EQ95" s="229">
        <v>-0.72970000000000002</v>
      </c>
      <c r="ER95" s="231">
        <v>63015</v>
      </c>
      <c r="ES95" s="231">
        <v>30512</v>
      </c>
      <c r="ET95" s="231">
        <v>108666</v>
      </c>
      <c r="EU95" s="231">
        <v>52862157</v>
      </c>
      <c r="EV95" s="231">
        <v>202193</v>
      </c>
      <c r="EW95" s="231">
        <v>191563</v>
      </c>
      <c r="EX95" s="231">
        <v>10630</v>
      </c>
      <c r="EY95" s="229">
        <v>5.5500000000000001E-2</v>
      </c>
      <c r="EZ95" s="229">
        <v>0.44269999999999998</v>
      </c>
      <c r="FA95" s="227" t="s">
        <v>566</v>
      </c>
      <c r="FB95" s="161">
        <f t="shared" si="1"/>
        <v>537000</v>
      </c>
    </row>
    <row r="96" spans="1:158" ht="17.25" thickBot="1" x14ac:dyDescent="0.3">
      <c r="A96" s="226">
        <v>46146</v>
      </c>
      <c r="B96" s="227" t="s">
        <v>181</v>
      </c>
      <c r="C96" s="227" t="s">
        <v>684</v>
      </c>
      <c r="D96" s="228">
        <v>1</v>
      </c>
      <c r="E96" s="228">
        <v>18.3</v>
      </c>
      <c r="F96" s="228">
        <v>18.46</v>
      </c>
      <c r="G96" s="228">
        <v>-0.16</v>
      </c>
      <c r="H96" s="229">
        <v>-8.6999999999999994E-3</v>
      </c>
      <c r="I96" s="228">
        <v>18.3</v>
      </c>
      <c r="J96" s="228">
        <v>18.46</v>
      </c>
      <c r="K96" s="228">
        <v>-0.16</v>
      </c>
      <c r="L96" s="229">
        <v>-8.6999999999999994E-3</v>
      </c>
      <c r="M96" s="228">
        <v>0</v>
      </c>
      <c r="N96" s="228">
        <v>0</v>
      </c>
      <c r="O96" s="228">
        <v>0</v>
      </c>
      <c r="P96" s="229">
        <v>0</v>
      </c>
      <c r="Q96" s="228">
        <v>0</v>
      </c>
      <c r="R96" s="228">
        <v>0</v>
      </c>
      <c r="S96" s="228">
        <v>0</v>
      </c>
      <c r="T96" s="229">
        <v>0</v>
      </c>
      <c r="U96" s="228">
        <v>0</v>
      </c>
      <c r="V96" s="228">
        <v>0</v>
      </c>
      <c r="W96" s="228">
        <v>0</v>
      </c>
      <c r="X96" s="229">
        <v>0</v>
      </c>
      <c r="Y96" s="228">
        <v>0</v>
      </c>
      <c r="Z96" s="228">
        <v>0</v>
      </c>
      <c r="AA96" s="228">
        <v>0</v>
      </c>
      <c r="AB96" s="229">
        <v>0</v>
      </c>
      <c r="AC96" s="228">
        <v>0</v>
      </c>
      <c r="AD96" s="228">
        <v>0</v>
      </c>
      <c r="AE96" s="228">
        <v>0</v>
      </c>
      <c r="AF96" s="229">
        <v>0</v>
      </c>
      <c r="AG96" s="228">
        <v>0</v>
      </c>
      <c r="AH96" s="228">
        <v>0</v>
      </c>
      <c r="AI96" s="228">
        <v>0</v>
      </c>
      <c r="AJ96" s="229">
        <v>0</v>
      </c>
      <c r="AK96" s="228">
        <v>0</v>
      </c>
      <c r="AL96" s="228">
        <v>0</v>
      </c>
      <c r="AM96" s="228">
        <v>0</v>
      </c>
      <c r="AN96" s="229">
        <v>0</v>
      </c>
      <c r="AO96" s="228">
        <v>0</v>
      </c>
      <c r="AP96" s="228">
        <v>0</v>
      </c>
      <c r="AQ96" s="228">
        <v>0</v>
      </c>
      <c r="AR96" s="228">
        <v>0</v>
      </c>
      <c r="AS96" s="228">
        <v>0</v>
      </c>
      <c r="AT96" s="228">
        <v>0</v>
      </c>
      <c r="AU96" s="229">
        <v>0</v>
      </c>
      <c r="AV96" s="228">
        <v>0</v>
      </c>
      <c r="AW96" s="228">
        <v>0</v>
      </c>
      <c r="AX96" s="228">
        <v>0</v>
      </c>
      <c r="AY96" s="229">
        <v>0</v>
      </c>
      <c r="AZ96" s="228">
        <v>0</v>
      </c>
      <c r="BA96" s="228">
        <v>0</v>
      </c>
      <c r="BB96" s="228">
        <v>0</v>
      </c>
      <c r="BC96" s="229">
        <v>0</v>
      </c>
      <c r="BD96" s="228">
        <v>0</v>
      </c>
      <c r="BE96" s="228">
        <v>0</v>
      </c>
      <c r="BF96" s="228">
        <v>0</v>
      </c>
      <c r="BG96" s="229">
        <v>0</v>
      </c>
      <c r="BH96" s="228">
        <v>0</v>
      </c>
      <c r="BI96" s="228">
        <v>0</v>
      </c>
      <c r="BJ96" s="228">
        <v>0</v>
      </c>
      <c r="BK96" s="229">
        <v>0</v>
      </c>
      <c r="BL96" s="228">
        <v>0</v>
      </c>
      <c r="BM96" s="228">
        <v>0</v>
      </c>
      <c r="BN96" s="228">
        <v>0</v>
      </c>
      <c r="BO96" s="229">
        <v>0</v>
      </c>
      <c r="BP96" s="228">
        <v>0</v>
      </c>
      <c r="BQ96" s="228">
        <v>0</v>
      </c>
      <c r="BR96" s="228">
        <v>0</v>
      </c>
      <c r="BS96" s="229">
        <v>0</v>
      </c>
      <c r="BT96" s="228">
        <v>0</v>
      </c>
      <c r="BU96" s="228">
        <v>0</v>
      </c>
      <c r="BV96" s="228">
        <v>0</v>
      </c>
      <c r="BW96" s="229">
        <v>0</v>
      </c>
      <c r="BX96" s="228">
        <v>0</v>
      </c>
      <c r="BY96" s="228">
        <v>0</v>
      </c>
      <c r="BZ96" s="228">
        <v>0</v>
      </c>
      <c r="CA96" s="229">
        <v>0</v>
      </c>
      <c r="CB96" s="228">
        <v>0</v>
      </c>
      <c r="CC96" s="228">
        <v>0</v>
      </c>
      <c r="CD96" s="228">
        <v>0</v>
      </c>
      <c r="CE96" s="229">
        <v>0</v>
      </c>
      <c r="CF96" s="228">
        <v>0</v>
      </c>
      <c r="CG96" s="228">
        <v>0</v>
      </c>
      <c r="CH96" s="228">
        <v>0</v>
      </c>
      <c r="CI96" s="229">
        <v>0</v>
      </c>
      <c r="CJ96" s="228">
        <v>0</v>
      </c>
      <c r="CK96" s="228">
        <v>0</v>
      </c>
      <c r="CL96" s="228">
        <v>0</v>
      </c>
      <c r="CM96" s="229">
        <v>0</v>
      </c>
      <c r="CN96" s="228">
        <v>0</v>
      </c>
      <c r="CO96" s="228">
        <v>0</v>
      </c>
      <c r="CP96" s="228">
        <v>0</v>
      </c>
      <c r="CQ96" s="229">
        <v>0</v>
      </c>
      <c r="CR96" s="228">
        <v>0</v>
      </c>
      <c r="CS96" s="228">
        <v>0</v>
      </c>
      <c r="CT96" s="228">
        <v>0</v>
      </c>
      <c r="CU96" s="229">
        <v>0</v>
      </c>
      <c r="CV96" s="228">
        <v>0</v>
      </c>
      <c r="CW96" s="228">
        <v>0</v>
      </c>
      <c r="CX96" s="228">
        <v>0</v>
      </c>
      <c r="CY96" s="229">
        <v>0</v>
      </c>
      <c r="CZ96" s="228">
        <v>0</v>
      </c>
      <c r="DA96" s="228">
        <v>0</v>
      </c>
      <c r="DB96" s="228">
        <v>0</v>
      </c>
      <c r="DC96" s="228">
        <v>0</v>
      </c>
      <c r="DD96" s="228">
        <v>0</v>
      </c>
      <c r="DE96" s="228">
        <v>0</v>
      </c>
      <c r="DF96" s="228">
        <v>0</v>
      </c>
      <c r="DG96" s="228">
        <v>0</v>
      </c>
      <c r="DH96" s="228">
        <v>0</v>
      </c>
      <c r="DI96" s="228">
        <v>0</v>
      </c>
      <c r="DJ96" s="228">
        <v>0</v>
      </c>
      <c r="DK96" s="228">
        <v>0</v>
      </c>
      <c r="DL96" s="228">
        <v>0</v>
      </c>
      <c r="DM96" s="228">
        <v>0</v>
      </c>
      <c r="DN96" s="228">
        <v>0</v>
      </c>
      <c r="DO96" s="228">
        <v>0</v>
      </c>
      <c r="DP96" s="228">
        <v>0</v>
      </c>
      <c r="DQ96" s="228">
        <v>0</v>
      </c>
      <c r="DR96" s="228">
        <v>0</v>
      </c>
      <c r="DS96" s="229">
        <v>0</v>
      </c>
      <c r="DT96" s="228">
        <v>0</v>
      </c>
      <c r="DU96" s="228">
        <v>0</v>
      </c>
      <c r="DV96" s="228">
        <v>0</v>
      </c>
      <c r="DW96" s="228">
        <v>0</v>
      </c>
      <c r="DX96" s="228">
        <v>0</v>
      </c>
      <c r="DY96" s="229">
        <v>0</v>
      </c>
      <c r="DZ96" s="229">
        <v>0</v>
      </c>
      <c r="EA96" s="228">
        <v>0</v>
      </c>
      <c r="EB96" s="229">
        <v>0</v>
      </c>
      <c r="EC96" s="229">
        <v>0</v>
      </c>
      <c r="ED96" s="228">
        <v>0</v>
      </c>
      <c r="EE96" s="229">
        <v>0</v>
      </c>
      <c r="EF96" s="228">
        <v>0</v>
      </c>
      <c r="EG96" s="228">
        <v>0</v>
      </c>
      <c r="EH96" s="229">
        <v>0</v>
      </c>
      <c r="EI96" s="229">
        <v>0</v>
      </c>
      <c r="EJ96" s="228">
        <v>0</v>
      </c>
      <c r="EK96" s="228">
        <v>0</v>
      </c>
      <c r="EL96" s="228">
        <v>0</v>
      </c>
      <c r="EM96" s="228">
        <v>0</v>
      </c>
      <c r="EN96" s="228">
        <v>0</v>
      </c>
      <c r="EO96" s="228">
        <v>0</v>
      </c>
      <c r="EP96" s="228">
        <v>0</v>
      </c>
      <c r="EQ96" s="229">
        <v>0</v>
      </c>
      <c r="ER96" s="228">
        <v>0</v>
      </c>
      <c r="ES96" s="228">
        <v>0</v>
      </c>
      <c r="ET96" s="228">
        <v>0</v>
      </c>
      <c r="EU96" s="228">
        <v>0</v>
      </c>
      <c r="EV96" s="228">
        <v>0</v>
      </c>
      <c r="EW96" s="228">
        <v>0</v>
      </c>
      <c r="EX96" s="228">
        <v>0</v>
      </c>
      <c r="EY96" s="229">
        <v>0</v>
      </c>
      <c r="EZ96" s="229">
        <v>0</v>
      </c>
      <c r="FA96" s="227" t="s">
        <v>237</v>
      </c>
      <c r="FB96" s="161">
        <f t="shared" si="1"/>
        <v>0</v>
      </c>
    </row>
    <row r="97" spans="1:158" ht="17.25" thickBot="1" x14ac:dyDescent="0.3">
      <c r="A97" s="226">
        <v>46146</v>
      </c>
      <c r="B97" s="227" t="s">
        <v>215</v>
      </c>
      <c r="C97" s="227" t="s">
        <v>238</v>
      </c>
      <c r="D97" s="228">
        <v>150</v>
      </c>
      <c r="E97" s="231">
        <v>4285.3999999999996</v>
      </c>
      <c r="F97" s="231">
        <v>4321.3</v>
      </c>
      <c r="G97" s="228">
        <v>-35.9</v>
      </c>
      <c r="H97" s="229">
        <v>-8.3000000000000001E-3</v>
      </c>
      <c r="I97" s="231">
        <v>4262.3999999999996</v>
      </c>
      <c r="J97" s="231">
        <v>4295.3</v>
      </c>
      <c r="K97" s="228">
        <v>-32.9</v>
      </c>
      <c r="L97" s="229">
        <v>-7.7000000000000002E-3</v>
      </c>
      <c r="M97" s="231">
        <v>4285.3999999999996</v>
      </c>
      <c r="N97" s="231">
        <v>4321.3</v>
      </c>
      <c r="O97" s="228">
        <v>-35.9</v>
      </c>
      <c r="P97" s="229">
        <v>-8.3000000000000001E-3</v>
      </c>
      <c r="Q97" s="231">
        <v>4293.7</v>
      </c>
      <c r="R97" s="231">
        <v>4347.8</v>
      </c>
      <c r="S97" s="228">
        <v>-54.1</v>
      </c>
      <c r="T97" s="229">
        <v>-1.24E-2</v>
      </c>
      <c r="U97" s="231">
        <v>4318.8999999999996</v>
      </c>
      <c r="V97" s="231">
        <v>4363.8</v>
      </c>
      <c r="W97" s="228">
        <v>-44.9</v>
      </c>
      <c r="X97" s="229">
        <v>-1.03E-2</v>
      </c>
      <c r="Y97" s="228">
        <v>23</v>
      </c>
      <c r="Z97" s="228">
        <v>26</v>
      </c>
      <c r="AA97" s="228">
        <v>-3</v>
      </c>
      <c r="AB97" s="229">
        <v>5.4000000000000003E-3</v>
      </c>
      <c r="AC97" s="228">
        <v>23</v>
      </c>
      <c r="AD97" s="228">
        <v>26</v>
      </c>
      <c r="AE97" s="228">
        <v>-3</v>
      </c>
      <c r="AF97" s="229">
        <v>5.4000000000000003E-3</v>
      </c>
      <c r="AG97" s="228">
        <v>31.3</v>
      </c>
      <c r="AH97" s="228">
        <v>52.5</v>
      </c>
      <c r="AI97" s="228">
        <v>-21.2</v>
      </c>
      <c r="AJ97" s="229">
        <v>7.3000000000000001E-3</v>
      </c>
      <c r="AK97" s="228">
        <v>56.5</v>
      </c>
      <c r="AL97" s="228">
        <v>68.5</v>
      </c>
      <c r="AM97" s="228">
        <v>-12</v>
      </c>
      <c r="AN97" s="229">
        <v>1.3299999999999999E-2</v>
      </c>
      <c r="AO97" s="231">
        <v>4318.99</v>
      </c>
      <c r="AP97" s="231">
        <v>4333.68</v>
      </c>
      <c r="AQ97" s="228">
        <v>0</v>
      </c>
      <c r="AR97" s="230">
        <v>1411050</v>
      </c>
      <c r="AS97" s="230">
        <v>1823550</v>
      </c>
      <c r="AT97" s="230">
        <v>-412500</v>
      </c>
      <c r="AU97" s="229">
        <v>-0.22620000000000001</v>
      </c>
      <c r="AV97" s="230">
        <v>1333500</v>
      </c>
      <c r="AW97" s="230">
        <v>1743900</v>
      </c>
      <c r="AX97" s="230">
        <v>-410400</v>
      </c>
      <c r="AY97" s="229">
        <v>-0.23530000000000001</v>
      </c>
      <c r="AZ97" s="230">
        <v>69150</v>
      </c>
      <c r="BA97" s="230">
        <v>64650</v>
      </c>
      <c r="BB97" s="230">
        <v>4500</v>
      </c>
      <c r="BC97" s="229">
        <v>6.9599999999999995E-2</v>
      </c>
      <c r="BD97" s="230">
        <v>8400</v>
      </c>
      <c r="BE97" s="230">
        <v>15000</v>
      </c>
      <c r="BF97" s="230">
        <v>-6600</v>
      </c>
      <c r="BG97" s="229">
        <v>-0.44</v>
      </c>
      <c r="BH97" s="230">
        <v>3537000</v>
      </c>
      <c r="BI97" s="230">
        <v>3686850</v>
      </c>
      <c r="BJ97" s="230">
        <v>-149850</v>
      </c>
      <c r="BK97" s="229">
        <v>-4.0599999999999997E-2</v>
      </c>
      <c r="BL97" s="230">
        <v>2613750</v>
      </c>
      <c r="BM97" s="230">
        <v>4429650</v>
      </c>
      <c r="BN97" s="230">
        <v>-1815900</v>
      </c>
      <c r="BO97" s="229">
        <v>-0.40989999999999999</v>
      </c>
      <c r="BP97" s="230">
        <v>7561800</v>
      </c>
      <c r="BQ97" s="230">
        <v>9940050</v>
      </c>
      <c r="BR97" s="230">
        <v>-2378250</v>
      </c>
      <c r="BS97" s="229">
        <v>-0.23930000000000001</v>
      </c>
      <c r="BT97" s="230">
        <v>1279448</v>
      </c>
      <c r="BU97" s="230">
        <v>2112703</v>
      </c>
      <c r="BV97" s="230">
        <v>-833255</v>
      </c>
      <c r="BW97" s="229">
        <v>-0.39439999999999997</v>
      </c>
      <c r="BX97" s="230">
        <v>7691550</v>
      </c>
      <c r="BY97" s="230">
        <v>7398600</v>
      </c>
      <c r="BZ97" s="230">
        <v>292950</v>
      </c>
      <c r="CA97" s="229">
        <v>3.9600000000000003E-2</v>
      </c>
      <c r="CB97" s="230">
        <v>7440600</v>
      </c>
      <c r="CC97" s="230">
        <v>7181100</v>
      </c>
      <c r="CD97" s="230">
        <v>259500</v>
      </c>
      <c r="CE97" s="229">
        <v>3.61E-2</v>
      </c>
      <c r="CF97" s="230">
        <v>234900</v>
      </c>
      <c r="CG97" s="230">
        <v>204450</v>
      </c>
      <c r="CH97" s="230">
        <v>30450</v>
      </c>
      <c r="CI97" s="229">
        <v>0.1489</v>
      </c>
      <c r="CJ97" s="230">
        <v>16050</v>
      </c>
      <c r="CK97" s="230">
        <v>13050</v>
      </c>
      <c r="CL97" s="230">
        <v>3000</v>
      </c>
      <c r="CM97" s="229">
        <v>0.22989999999999999</v>
      </c>
      <c r="CN97" s="230">
        <v>3055650</v>
      </c>
      <c r="CO97" s="230">
        <v>2368350</v>
      </c>
      <c r="CP97" s="230">
        <v>687300</v>
      </c>
      <c r="CQ97" s="229">
        <v>0.29020000000000001</v>
      </c>
      <c r="CR97" s="230">
        <v>1936050</v>
      </c>
      <c r="CS97" s="230">
        <v>1885050</v>
      </c>
      <c r="CT97" s="230">
        <v>51000</v>
      </c>
      <c r="CU97" s="229">
        <v>2.7099999999999999E-2</v>
      </c>
      <c r="CV97" s="230">
        <v>12683250</v>
      </c>
      <c r="CW97" s="230">
        <v>11652000</v>
      </c>
      <c r="CX97" s="230">
        <v>1031250</v>
      </c>
      <c r="CY97" s="229">
        <v>8.8499999999999995E-2</v>
      </c>
      <c r="CZ97" s="228">
        <v>39.799999999999997</v>
      </c>
      <c r="DA97" s="228">
        <v>43.43</v>
      </c>
      <c r="DB97" s="228">
        <v>-3.63</v>
      </c>
      <c r="DC97" s="228">
        <v>-3.63</v>
      </c>
      <c r="DD97" s="228">
        <v>39.71</v>
      </c>
      <c r="DE97" s="228">
        <v>39.799999999999997</v>
      </c>
      <c r="DF97" s="228">
        <v>0.09</v>
      </c>
      <c r="DG97" s="228">
        <v>-0.09</v>
      </c>
      <c r="DH97" s="228">
        <v>38.92</v>
      </c>
      <c r="DI97" s="228">
        <v>42.53</v>
      </c>
      <c r="DJ97" s="228">
        <v>-3.61</v>
      </c>
      <c r="DK97" s="228">
        <v>-3.61</v>
      </c>
      <c r="DL97" s="228">
        <v>40.99</v>
      </c>
      <c r="DM97" s="228">
        <v>44.18</v>
      </c>
      <c r="DN97" s="228">
        <v>-3.19</v>
      </c>
      <c r="DO97" s="228">
        <v>-3.19</v>
      </c>
      <c r="DP97" s="228">
        <v>0.63</v>
      </c>
      <c r="DQ97" s="228">
        <v>0.8</v>
      </c>
      <c r="DR97" s="228">
        <v>-0.17</v>
      </c>
      <c r="DS97" s="229">
        <v>-0.21249999999999999</v>
      </c>
      <c r="DT97" s="231">
        <v>4600</v>
      </c>
      <c r="DU97" s="231">
        <v>4200</v>
      </c>
      <c r="DV97" s="228">
        <v>0.74</v>
      </c>
      <c r="DW97" s="228">
        <v>1.2</v>
      </c>
      <c r="DX97" s="228">
        <v>-0.46</v>
      </c>
      <c r="DY97" s="229">
        <v>-0.38329999999999997</v>
      </c>
      <c r="DZ97" s="229">
        <v>3.2599999999999997E-2</v>
      </c>
      <c r="EA97" s="230">
        <v>217500</v>
      </c>
      <c r="EB97" s="229">
        <v>1.9E-3</v>
      </c>
      <c r="EC97" s="229">
        <v>3.2599999999999997E-2</v>
      </c>
      <c r="ED97" s="228">
        <v>14.69</v>
      </c>
      <c r="EE97" s="229">
        <v>3.3999999999999998E-3</v>
      </c>
      <c r="EF97" s="230">
        <v>803396</v>
      </c>
      <c r="EG97" s="230">
        <v>1066340</v>
      </c>
      <c r="EH97" s="229">
        <v>-0.24660000000000001</v>
      </c>
      <c r="EI97" s="229">
        <v>0.62790000000000001</v>
      </c>
      <c r="EJ97" s="231">
        <v>165260.26999999999</v>
      </c>
      <c r="EK97" s="231">
        <v>111018.93</v>
      </c>
      <c r="EL97" s="231">
        <v>60956.35</v>
      </c>
      <c r="EM97" s="231">
        <v>18362</v>
      </c>
      <c r="EN97" s="231">
        <v>337235.55</v>
      </c>
      <c r="EO97" s="231">
        <v>438089.36</v>
      </c>
      <c r="EP97" s="231">
        <v>-100853.81</v>
      </c>
      <c r="EQ97" s="229">
        <v>-0.23019999999999999</v>
      </c>
      <c r="ER97" s="231">
        <v>142052</v>
      </c>
      <c r="ES97" s="231">
        <v>82627</v>
      </c>
      <c r="ET97" s="231">
        <v>329639</v>
      </c>
      <c r="EU97" s="231">
        <v>33878797</v>
      </c>
      <c r="EV97" s="231">
        <v>554318</v>
      </c>
      <c r="EW97" s="231">
        <v>510656</v>
      </c>
      <c r="EX97" s="231">
        <v>43662</v>
      </c>
      <c r="EY97" s="229">
        <v>8.5500000000000007E-2</v>
      </c>
      <c r="EZ97" s="229">
        <v>0.37440000000000001</v>
      </c>
      <c r="FA97" s="227" t="s">
        <v>566</v>
      </c>
      <c r="FB97" s="161">
        <f t="shared" si="1"/>
        <v>250950</v>
      </c>
    </row>
    <row r="98" spans="1:158" ht="17.25" thickBot="1" x14ac:dyDescent="0.3">
      <c r="A98" s="226">
        <v>46146</v>
      </c>
      <c r="B98" s="227" t="s">
        <v>172</v>
      </c>
      <c r="C98" s="227" t="s">
        <v>239</v>
      </c>
      <c r="D98" s="228">
        <v>700</v>
      </c>
      <c r="E98" s="228">
        <v>919</v>
      </c>
      <c r="F98" s="228">
        <v>921.35</v>
      </c>
      <c r="G98" s="228">
        <v>-2.35</v>
      </c>
      <c r="H98" s="229">
        <v>-2.5999999999999999E-3</v>
      </c>
      <c r="I98" s="228">
        <v>913.9</v>
      </c>
      <c r="J98" s="228">
        <v>916.05</v>
      </c>
      <c r="K98" s="228">
        <v>-2.15</v>
      </c>
      <c r="L98" s="229">
        <v>-2.3E-3</v>
      </c>
      <c r="M98" s="228">
        <v>919</v>
      </c>
      <c r="N98" s="228">
        <v>921.35</v>
      </c>
      <c r="O98" s="228">
        <v>-2.35</v>
      </c>
      <c r="P98" s="229">
        <v>-2.5999999999999999E-3</v>
      </c>
      <c r="Q98" s="228">
        <v>923.3</v>
      </c>
      <c r="R98" s="228">
        <v>925.95</v>
      </c>
      <c r="S98" s="228">
        <v>-2.65</v>
      </c>
      <c r="T98" s="229">
        <v>-2.8999999999999998E-3</v>
      </c>
      <c r="U98" s="228">
        <v>927.5</v>
      </c>
      <c r="V98" s="228">
        <v>930.05</v>
      </c>
      <c r="W98" s="228">
        <v>-2.5499999999999998</v>
      </c>
      <c r="X98" s="229">
        <v>-2.7000000000000001E-3</v>
      </c>
      <c r="Y98" s="228">
        <v>5.0999999999999996</v>
      </c>
      <c r="Z98" s="228">
        <v>5.3</v>
      </c>
      <c r="AA98" s="228">
        <v>-0.2</v>
      </c>
      <c r="AB98" s="229">
        <v>5.5999999999999999E-3</v>
      </c>
      <c r="AC98" s="228">
        <v>5.0999999999999996</v>
      </c>
      <c r="AD98" s="228">
        <v>5.3</v>
      </c>
      <c r="AE98" s="228">
        <v>-0.2</v>
      </c>
      <c r="AF98" s="229">
        <v>5.5999999999999999E-3</v>
      </c>
      <c r="AG98" s="228">
        <v>9.4</v>
      </c>
      <c r="AH98" s="228">
        <v>9.9</v>
      </c>
      <c r="AI98" s="228">
        <v>-0.5</v>
      </c>
      <c r="AJ98" s="229">
        <v>1.03E-2</v>
      </c>
      <c r="AK98" s="228">
        <v>13.6</v>
      </c>
      <c r="AL98" s="228">
        <v>14</v>
      </c>
      <c r="AM98" s="228">
        <v>-0.4</v>
      </c>
      <c r="AN98" s="229">
        <v>1.49E-2</v>
      </c>
      <c r="AO98" s="228">
        <v>933.66</v>
      </c>
      <c r="AP98" s="228">
        <v>937.8</v>
      </c>
      <c r="AQ98" s="228">
        <v>0</v>
      </c>
      <c r="AR98" s="230">
        <v>4263000</v>
      </c>
      <c r="AS98" s="230">
        <v>4361000</v>
      </c>
      <c r="AT98" s="230">
        <v>-98000</v>
      </c>
      <c r="AU98" s="229">
        <v>-2.2499999999999999E-2</v>
      </c>
      <c r="AV98" s="230">
        <v>3642100</v>
      </c>
      <c r="AW98" s="230">
        <v>4057900</v>
      </c>
      <c r="AX98" s="230">
        <v>-415800</v>
      </c>
      <c r="AY98" s="229">
        <v>-0.10249999999999999</v>
      </c>
      <c r="AZ98" s="230">
        <v>597100</v>
      </c>
      <c r="BA98" s="230">
        <v>292600</v>
      </c>
      <c r="BB98" s="230">
        <v>304500</v>
      </c>
      <c r="BC98" s="229">
        <v>1.0407</v>
      </c>
      <c r="BD98" s="230">
        <v>23800</v>
      </c>
      <c r="BE98" s="230">
        <v>10500</v>
      </c>
      <c r="BF98" s="230">
        <v>13300</v>
      </c>
      <c r="BG98" s="229">
        <v>1.2666999999999999</v>
      </c>
      <c r="BH98" s="230">
        <v>8281700</v>
      </c>
      <c r="BI98" s="230">
        <v>9218300</v>
      </c>
      <c r="BJ98" s="230">
        <v>-936600</v>
      </c>
      <c r="BK98" s="229">
        <v>-0.1016</v>
      </c>
      <c r="BL98" s="230">
        <v>7051100</v>
      </c>
      <c r="BM98" s="230">
        <v>8171100</v>
      </c>
      <c r="BN98" s="230">
        <v>-1120000</v>
      </c>
      <c r="BO98" s="229">
        <v>-0.1371</v>
      </c>
      <c r="BP98" s="230">
        <v>19595800</v>
      </c>
      <c r="BQ98" s="230">
        <v>21750400</v>
      </c>
      <c r="BR98" s="230">
        <v>-2154600</v>
      </c>
      <c r="BS98" s="229">
        <v>-9.9099999999999994E-2</v>
      </c>
      <c r="BT98" s="230">
        <v>2037377</v>
      </c>
      <c r="BU98" s="230">
        <v>3532288</v>
      </c>
      <c r="BV98" s="230">
        <v>-1494911</v>
      </c>
      <c r="BW98" s="229">
        <v>-0.42320000000000002</v>
      </c>
      <c r="BX98" s="230">
        <v>35727300</v>
      </c>
      <c r="BY98" s="230">
        <v>36057700</v>
      </c>
      <c r="BZ98" s="230">
        <v>-330400</v>
      </c>
      <c r="CA98" s="229">
        <v>-9.1999999999999998E-3</v>
      </c>
      <c r="CB98" s="230">
        <v>34224400</v>
      </c>
      <c r="CC98" s="230">
        <v>34976200</v>
      </c>
      <c r="CD98" s="230">
        <v>-751800</v>
      </c>
      <c r="CE98" s="229">
        <v>-2.1499999999999998E-2</v>
      </c>
      <c r="CF98" s="230">
        <v>1479800</v>
      </c>
      <c r="CG98" s="230">
        <v>1069600</v>
      </c>
      <c r="CH98" s="230">
        <v>410200</v>
      </c>
      <c r="CI98" s="229">
        <v>0.38350000000000001</v>
      </c>
      <c r="CJ98" s="230">
        <v>23100</v>
      </c>
      <c r="CK98" s="230">
        <v>11900</v>
      </c>
      <c r="CL98" s="230">
        <v>11200</v>
      </c>
      <c r="CM98" s="229">
        <v>0.94120000000000004</v>
      </c>
      <c r="CN98" s="230">
        <v>5770100</v>
      </c>
      <c r="CO98" s="230">
        <v>5188400</v>
      </c>
      <c r="CP98" s="230">
        <v>581700</v>
      </c>
      <c r="CQ98" s="229">
        <v>0.11210000000000001</v>
      </c>
      <c r="CR98" s="230">
        <v>5426400</v>
      </c>
      <c r="CS98" s="230">
        <v>5380900</v>
      </c>
      <c r="CT98" s="230">
        <v>45500</v>
      </c>
      <c r="CU98" s="229">
        <v>8.5000000000000006E-3</v>
      </c>
      <c r="CV98" s="230">
        <v>46923800</v>
      </c>
      <c r="CW98" s="230">
        <v>46627000</v>
      </c>
      <c r="CX98" s="230">
        <v>296800</v>
      </c>
      <c r="CY98" s="229">
        <v>6.4000000000000003E-3</v>
      </c>
      <c r="CZ98" s="228">
        <v>32.92</v>
      </c>
      <c r="DA98" s="228">
        <v>32.380000000000003</v>
      </c>
      <c r="DB98" s="228">
        <v>0.54</v>
      </c>
      <c r="DC98" s="228">
        <v>0.54</v>
      </c>
      <c r="DD98" s="228">
        <v>43.43</v>
      </c>
      <c r="DE98" s="228">
        <v>43.54</v>
      </c>
      <c r="DF98" s="228">
        <v>-10.51</v>
      </c>
      <c r="DG98" s="228">
        <v>-0.11</v>
      </c>
      <c r="DH98" s="228">
        <v>32.6</v>
      </c>
      <c r="DI98" s="228">
        <v>31.71</v>
      </c>
      <c r="DJ98" s="228">
        <v>0.89</v>
      </c>
      <c r="DK98" s="228">
        <v>0.89</v>
      </c>
      <c r="DL98" s="228">
        <v>33.299999999999997</v>
      </c>
      <c r="DM98" s="228">
        <v>33.14</v>
      </c>
      <c r="DN98" s="228">
        <v>0.16</v>
      </c>
      <c r="DO98" s="228">
        <v>0.16</v>
      </c>
      <c r="DP98" s="228">
        <v>0.94</v>
      </c>
      <c r="DQ98" s="228">
        <v>1.04</v>
      </c>
      <c r="DR98" s="228">
        <v>-0.1</v>
      </c>
      <c r="DS98" s="229">
        <v>-9.6199999999999994E-2</v>
      </c>
      <c r="DT98" s="228">
        <v>900</v>
      </c>
      <c r="DU98" s="228">
        <v>900</v>
      </c>
      <c r="DV98" s="228">
        <v>0.85</v>
      </c>
      <c r="DW98" s="228">
        <v>0.89</v>
      </c>
      <c r="DX98" s="228">
        <v>-0.04</v>
      </c>
      <c r="DY98" s="229">
        <v>-4.4900000000000002E-2</v>
      </c>
      <c r="DZ98" s="229">
        <v>4.2099999999999999E-2</v>
      </c>
      <c r="EA98" s="230">
        <v>1081500</v>
      </c>
      <c r="EB98" s="229">
        <v>4.7000000000000002E-3</v>
      </c>
      <c r="EC98" s="229">
        <v>4.2099999999999999E-2</v>
      </c>
      <c r="ED98" s="228">
        <v>4.1399999999999997</v>
      </c>
      <c r="EE98" s="229">
        <v>4.4000000000000003E-3</v>
      </c>
      <c r="EF98" s="230">
        <v>913694</v>
      </c>
      <c r="EG98" s="230">
        <v>1638790</v>
      </c>
      <c r="EH98" s="229">
        <v>-0.4425</v>
      </c>
      <c r="EI98" s="229">
        <v>0.44850000000000001</v>
      </c>
      <c r="EJ98" s="231">
        <v>80986.95</v>
      </c>
      <c r="EK98" s="231">
        <v>63820.45</v>
      </c>
      <c r="EL98" s="231">
        <v>39828.58</v>
      </c>
      <c r="EM98" s="231">
        <v>21201</v>
      </c>
      <c r="EN98" s="231">
        <v>184635.98</v>
      </c>
      <c r="EO98" s="231">
        <v>201804.2</v>
      </c>
      <c r="EP98" s="231">
        <v>-17168.22</v>
      </c>
      <c r="EQ98" s="229">
        <v>-8.5099999999999995E-2</v>
      </c>
      <c r="ER98" s="231">
        <v>53404</v>
      </c>
      <c r="ES98" s="231">
        <v>47644</v>
      </c>
      <c r="ET98" s="231">
        <v>328399</v>
      </c>
      <c r="EU98" s="231">
        <v>93808799</v>
      </c>
      <c r="EV98" s="231">
        <v>429448</v>
      </c>
      <c r="EW98" s="231">
        <v>426627</v>
      </c>
      <c r="EX98" s="231">
        <v>2821</v>
      </c>
      <c r="EY98" s="229">
        <v>6.6E-3</v>
      </c>
      <c r="EZ98" s="229">
        <v>0.50019999999999998</v>
      </c>
      <c r="FA98" s="227" t="s">
        <v>567</v>
      </c>
      <c r="FB98" s="161">
        <f t="shared" si="1"/>
        <v>1502900</v>
      </c>
    </row>
    <row r="99" spans="1:158" ht="17.25" thickBot="1" x14ac:dyDescent="0.3">
      <c r="A99" s="226">
        <v>46146</v>
      </c>
      <c r="B99" s="227" t="s">
        <v>188</v>
      </c>
      <c r="C99" s="227" t="s">
        <v>473</v>
      </c>
      <c r="D99" s="228">
        <v>1700</v>
      </c>
      <c r="E99" s="228">
        <v>402.55</v>
      </c>
      <c r="F99" s="228">
        <v>412.2</v>
      </c>
      <c r="G99" s="228">
        <v>-9.65</v>
      </c>
      <c r="H99" s="229">
        <v>-2.3400000000000001E-2</v>
      </c>
      <c r="I99" s="228">
        <v>400.25</v>
      </c>
      <c r="J99" s="228">
        <v>409.95</v>
      </c>
      <c r="K99" s="228">
        <v>-9.6999999999999993</v>
      </c>
      <c r="L99" s="229">
        <v>-2.3699999999999999E-2</v>
      </c>
      <c r="M99" s="228">
        <v>402.55</v>
      </c>
      <c r="N99" s="228">
        <v>412.2</v>
      </c>
      <c r="O99" s="228">
        <v>-9.65</v>
      </c>
      <c r="P99" s="229">
        <v>-2.3400000000000001E-2</v>
      </c>
      <c r="Q99" s="228">
        <v>404.8</v>
      </c>
      <c r="R99" s="228">
        <v>414.15</v>
      </c>
      <c r="S99" s="228">
        <v>-9.35</v>
      </c>
      <c r="T99" s="229">
        <v>-2.2599999999999999E-2</v>
      </c>
      <c r="U99" s="228">
        <v>412</v>
      </c>
      <c r="V99" s="228">
        <v>415.35</v>
      </c>
      <c r="W99" s="228">
        <v>-3.35</v>
      </c>
      <c r="X99" s="229">
        <v>-8.0999999999999996E-3</v>
      </c>
      <c r="Y99" s="228">
        <v>2.2999999999999998</v>
      </c>
      <c r="Z99" s="228">
        <v>2.25</v>
      </c>
      <c r="AA99" s="228">
        <v>0.05</v>
      </c>
      <c r="AB99" s="229">
        <v>5.7000000000000002E-3</v>
      </c>
      <c r="AC99" s="228">
        <v>2.2999999999999998</v>
      </c>
      <c r="AD99" s="228">
        <v>2.25</v>
      </c>
      <c r="AE99" s="228">
        <v>0.05</v>
      </c>
      <c r="AF99" s="229">
        <v>5.7000000000000002E-3</v>
      </c>
      <c r="AG99" s="228">
        <v>4.55</v>
      </c>
      <c r="AH99" s="228">
        <v>4.2</v>
      </c>
      <c r="AI99" s="228">
        <v>0.35</v>
      </c>
      <c r="AJ99" s="229">
        <v>1.14E-2</v>
      </c>
      <c r="AK99" s="228">
        <v>11.75</v>
      </c>
      <c r="AL99" s="228">
        <v>5.4</v>
      </c>
      <c r="AM99" s="228">
        <v>6.35</v>
      </c>
      <c r="AN99" s="229">
        <v>2.9399999999999999E-2</v>
      </c>
      <c r="AO99" s="228">
        <v>402.11</v>
      </c>
      <c r="AP99" s="228">
        <v>403.35</v>
      </c>
      <c r="AQ99" s="228">
        <v>0</v>
      </c>
      <c r="AR99" s="230">
        <v>24738400</v>
      </c>
      <c r="AS99" s="230">
        <v>7694200</v>
      </c>
      <c r="AT99" s="230">
        <v>17044200</v>
      </c>
      <c r="AU99" s="229">
        <v>2.2151999999999998</v>
      </c>
      <c r="AV99" s="230">
        <v>23896900</v>
      </c>
      <c r="AW99" s="230">
        <v>7410300</v>
      </c>
      <c r="AX99" s="230">
        <v>16486600</v>
      </c>
      <c r="AY99" s="229">
        <v>2.2248000000000001</v>
      </c>
      <c r="AZ99" s="230">
        <v>744600</v>
      </c>
      <c r="BA99" s="230">
        <v>266900</v>
      </c>
      <c r="BB99" s="230">
        <v>477700</v>
      </c>
      <c r="BC99" s="229">
        <v>1.7898000000000001</v>
      </c>
      <c r="BD99" s="230">
        <v>96900</v>
      </c>
      <c r="BE99" s="230">
        <v>17000</v>
      </c>
      <c r="BF99" s="230">
        <v>79900</v>
      </c>
      <c r="BG99" s="229">
        <v>4.7</v>
      </c>
      <c r="BH99" s="230">
        <v>80233200</v>
      </c>
      <c r="BI99" s="230">
        <v>21800800</v>
      </c>
      <c r="BJ99" s="230">
        <v>58432400</v>
      </c>
      <c r="BK99" s="229">
        <v>2.6802999999999999</v>
      </c>
      <c r="BL99" s="230">
        <v>38319700</v>
      </c>
      <c r="BM99" s="230">
        <v>12523900</v>
      </c>
      <c r="BN99" s="230">
        <v>25795800</v>
      </c>
      <c r="BO99" s="229">
        <v>2.0596999999999999</v>
      </c>
      <c r="BP99" s="230">
        <v>143291300</v>
      </c>
      <c r="BQ99" s="230">
        <v>42018900</v>
      </c>
      <c r="BR99" s="230">
        <v>101272400</v>
      </c>
      <c r="BS99" s="229">
        <v>2.4102000000000001</v>
      </c>
      <c r="BT99" s="230">
        <v>12982992</v>
      </c>
      <c r="BU99" s="230">
        <v>4488871</v>
      </c>
      <c r="BV99" s="230">
        <v>8494121</v>
      </c>
      <c r="BW99" s="229">
        <v>1.8923000000000001</v>
      </c>
      <c r="BX99" s="230">
        <v>80748300</v>
      </c>
      <c r="BY99" s="230">
        <v>76715900</v>
      </c>
      <c r="BZ99" s="230">
        <v>4032400</v>
      </c>
      <c r="CA99" s="229">
        <v>5.2600000000000001E-2</v>
      </c>
      <c r="CB99" s="230">
        <v>77016800</v>
      </c>
      <c r="CC99" s="230">
        <v>73232600</v>
      </c>
      <c r="CD99" s="230">
        <v>3784200</v>
      </c>
      <c r="CE99" s="229">
        <v>5.1700000000000003E-2</v>
      </c>
      <c r="CF99" s="230">
        <v>3648200</v>
      </c>
      <c r="CG99" s="230">
        <v>3466300</v>
      </c>
      <c r="CH99" s="230">
        <v>181900</v>
      </c>
      <c r="CI99" s="229">
        <v>5.2499999999999998E-2</v>
      </c>
      <c r="CJ99" s="230">
        <v>83300</v>
      </c>
      <c r="CK99" s="230">
        <v>17000</v>
      </c>
      <c r="CL99" s="230">
        <v>66300</v>
      </c>
      <c r="CM99" s="229">
        <v>3.9</v>
      </c>
      <c r="CN99" s="230">
        <v>29132900</v>
      </c>
      <c r="CO99" s="230">
        <v>22713700</v>
      </c>
      <c r="CP99" s="230">
        <v>6419200</v>
      </c>
      <c r="CQ99" s="229">
        <v>0.28260000000000002</v>
      </c>
      <c r="CR99" s="230">
        <v>21306100</v>
      </c>
      <c r="CS99" s="230">
        <v>17744600</v>
      </c>
      <c r="CT99" s="230">
        <v>3561500</v>
      </c>
      <c r="CU99" s="229">
        <v>0.20069999999999999</v>
      </c>
      <c r="CV99" s="230">
        <v>131187300</v>
      </c>
      <c r="CW99" s="230">
        <v>117174200</v>
      </c>
      <c r="CX99" s="230">
        <v>14013100</v>
      </c>
      <c r="CY99" s="229">
        <v>0.1196</v>
      </c>
      <c r="CZ99" s="228">
        <v>30.27</v>
      </c>
      <c r="DA99" s="228">
        <v>34.07</v>
      </c>
      <c r="DB99" s="228">
        <v>-3.8</v>
      </c>
      <c r="DC99" s="228">
        <v>-3.8</v>
      </c>
      <c r="DD99" s="228">
        <v>37.43</v>
      </c>
      <c r="DE99" s="228">
        <v>37.39</v>
      </c>
      <c r="DF99" s="228">
        <v>-7.16</v>
      </c>
      <c r="DG99" s="228">
        <v>0.04</v>
      </c>
      <c r="DH99" s="228">
        <v>30.73</v>
      </c>
      <c r="DI99" s="228">
        <v>34.229999999999997</v>
      </c>
      <c r="DJ99" s="228">
        <v>-3.5</v>
      </c>
      <c r="DK99" s="228">
        <v>-3.5</v>
      </c>
      <c r="DL99" s="228">
        <v>29.3</v>
      </c>
      <c r="DM99" s="228">
        <v>33.799999999999997</v>
      </c>
      <c r="DN99" s="228">
        <v>-4.5</v>
      </c>
      <c r="DO99" s="228">
        <v>-4.5</v>
      </c>
      <c r="DP99" s="228">
        <v>0.73</v>
      </c>
      <c r="DQ99" s="228">
        <v>0.78</v>
      </c>
      <c r="DR99" s="228">
        <v>-0.05</v>
      </c>
      <c r="DS99" s="229">
        <v>-6.4100000000000004E-2</v>
      </c>
      <c r="DT99" s="228">
        <v>440</v>
      </c>
      <c r="DU99" s="228">
        <v>400</v>
      </c>
      <c r="DV99" s="228">
        <v>0.48</v>
      </c>
      <c r="DW99" s="228">
        <v>0.56999999999999995</v>
      </c>
      <c r="DX99" s="228">
        <v>-0.09</v>
      </c>
      <c r="DY99" s="229">
        <v>-0.15790000000000001</v>
      </c>
      <c r="DZ99" s="229">
        <v>4.6199999999999998E-2</v>
      </c>
      <c r="EA99" s="230">
        <v>3483300</v>
      </c>
      <c r="EB99" s="229">
        <v>5.5999999999999999E-3</v>
      </c>
      <c r="EC99" s="229">
        <v>4.6199999999999998E-2</v>
      </c>
      <c r="ED99" s="228">
        <v>1.24</v>
      </c>
      <c r="EE99" s="229">
        <v>3.0999999999999999E-3</v>
      </c>
      <c r="EF99" s="230">
        <v>4625415</v>
      </c>
      <c r="EG99" s="230">
        <v>2440686</v>
      </c>
      <c r="EH99" s="229">
        <v>0.89510000000000001</v>
      </c>
      <c r="EI99" s="229">
        <v>0.35630000000000001</v>
      </c>
      <c r="EJ99" s="231">
        <v>342916.08</v>
      </c>
      <c r="EK99" s="231">
        <v>155489.85999999999</v>
      </c>
      <c r="EL99" s="231">
        <v>99489.48</v>
      </c>
      <c r="EM99" s="231">
        <v>17227</v>
      </c>
      <c r="EN99" s="231">
        <v>597895.42000000004</v>
      </c>
      <c r="EO99" s="231">
        <v>179096</v>
      </c>
      <c r="EP99" s="231">
        <v>418799.42</v>
      </c>
      <c r="EQ99" s="229">
        <v>2.3384</v>
      </c>
      <c r="ER99" s="231">
        <v>124129</v>
      </c>
      <c r="ES99" s="231">
        <v>85155</v>
      </c>
      <c r="ET99" s="231">
        <v>325142</v>
      </c>
      <c r="EU99" s="231">
        <v>193625858</v>
      </c>
      <c r="EV99" s="231">
        <v>534426</v>
      </c>
      <c r="EW99" s="231">
        <v>485281</v>
      </c>
      <c r="EX99" s="231">
        <v>49145</v>
      </c>
      <c r="EY99" s="229">
        <v>0.1013</v>
      </c>
      <c r="EZ99" s="229">
        <v>0.67749999999999999</v>
      </c>
      <c r="FA99" s="227" t="s">
        <v>566</v>
      </c>
      <c r="FB99" s="161">
        <f t="shared" si="1"/>
        <v>3731500</v>
      </c>
    </row>
    <row r="100" spans="1:158" ht="17.25" thickBot="1" x14ac:dyDescent="0.3">
      <c r="A100" s="226">
        <v>46146</v>
      </c>
      <c r="B100" s="227" t="s">
        <v>221</v>
      </c>
      <c r="C100" s="227" t="s">
        <v>240</v>
      </c>
      <c r="D100" s="228">
        <v>400</v>
      </c>
      <c r="E100" s="231">
        <v>1173</v>
      </c>
      <c r="F100" s="231">
        <v>1187.4000000000001</v>
      </c>
      <c r="G100" s="228">
        <v>-14.4</v>
      </c>
      <c r="H100" s="229">
        <v>-1.21E-2</v>
      </c>
      <c r="I100" s="231">
        <v>1168.4000000000001</v>
      </c>
      <c r="J100" s="231">
        <v>1181.8</v>
      </c>
      <c r="K100" s="228">
        <v>-13.4</v>
      </c>
      <c r="L100" s="229">
        <v>-1.1299999999999999E-2</v>
      </c>
      <c r="M100" s="231">
        <v>1173</v>
      </c>
      <c r="N100" s="231">
        <v>1187.4000000000001</v>
      </c>
      <c r="O100" s="228">
        <v>-14.4</v>
      </c>
      <c r="P100" s="229">
        <v>-1.21E-2</v>
      </c>
      <c r="Q100" s="231">
        <v>1174.9000000000001</v>
      </c>
      <c r="R100" s="231">
        <v>1189.5999999999999</v>
      </c>
      <c r="S100" s="228">
        <v>-14.7</v>
      </c>
      <c r="T100" s="229">
        <v>-1.24E-2</v>
      </c>
      <c r="U100" s="231">
        <v>1177.8</v>
      </c>
      <c r="V100" s="231">
        <v>1194.5999999999999</v>
      </c>
      <c r="W100" s="228">
        <v>-16.8</v>
      </c>
      <c r="X100" s="229">
        <v>-1.41E-2</v>
      </c>
      <c r="Y100" s="228">
        <v>4.5999999999999996</v>
      </c>
      <c r="Z100" s="228">
        <v>5.6</v>
      </c>
      <c r="AA100" s="228">
        <v>-1</v>
      </c>
      <c r="AB100" s="229">
        <v>3.8999999999999998E-3</v>
      </c>
      <c r="AC100" s="228">
        <v>4.5999999999999996</v>
      </c>
      <c r="AD100" s="228">
        <v>5.6</v>
      </c>
      <c r="AE100" s="228">
        <v>-1</v>
      </c>
      <c r="AF100" s="229">
        <v>3.8999999999999998E-3</v>
      </c>
      <c r="AG100" s="228">
        <v>6.5</v>
      </c>
      <c r="AH100" s="228">
        <v>7.8</v>
      </c>
      <c r="AI100" s="228">
        <v>-1.3</v>
      </c>
      <c r="AJ100" s="229">
        <v>5.5999999999999999E-3</v>
      </c>
      <c r="AK100" s="228">
        <v>9.4</v>
      </c>
      <c r="AL100" s="228">
        <v>12.8</v>
      </c>
      <c r="AM100" s="228">
        <v>-3.4</v>
      </c>
      <c r="AN100" s="229">
        <v>8.0000000000000002E-3</v>
      </c>
      <c r="AO100" s="231">
        <v>1180.01</v>
      </c>
      <c r="AP100" s="231">
        <v>1179.48</v>
      </c>
      <c r="AQ100" s="228">
        <v>0</v>
      </c>
      <c r="AR100" s="230">
        <v>6088800</v>
      </c>
      <c r="AS100" s="230">
        <v>9730000</v>
      </c>
      <c r="AT100" s="230">
        <v>-3641200</v>
      </c>
      <c r="AU100" s="229">
        <v>-0.37419999999999998</v>
      </c>
      <c r="AV100" s="230">
        <v>5178400</v>
      </c>
      <c r="AW100" s="230">
        <v>8982400</v>
      </c>
      <c r="AX100" s="230">
        <v>-3804000</v>
      </c>
      <c r="AY100" s="229">
        <v>-0.42349999999999999</v>
      </c>
      <c r="AZ100" s="230">
        <v>813600</v>
      </c>
      <c r="BA100" s="230">
        <v>620000</v>
      </c>
      <c r="BB100" s="230">
        <v>193600</v>
      </c>
      <c r="BC100" s="229">
        <v>0.31230000000000002</v>
      </c>
      <c r="BD100" s="230">
        <v>96800</v>
      </c>
      <c r="BE100" s="230">
        <v>127600</v>
      </c>
      <c r="BF100" s="230">
        <v>-30800</v>
      </c>
      <c r="BG100" s="229">
        <v>-0.2414</v>
      </c>
      <c r="BH100" s="230">
        <v>20477200</v>
      </c>
      <c r="BI100" s="230">
        <v>30620400</v>
      </c>
      <c r="BJ100" s="230">
        <v>-10143200</v>
      </c>
      <c r="BK100" s="229">
        <v>-0.33129999999999998</v>
      </c>
      <c r="BL100" s="230">
        <v>10794400</v>
      </c>
      <c r="BM100" s="230">
        <v>16850000</v>
      </c>
      <c r="BN100" s="230">
        <v>-6055600</v>
      </c>
      <c r="BO100" s="229">
        <v>-0.3594</v>
      </c>
      <c r="BP100" s="230">
        <v>37360400</v>
      </c>
      <c r="BQ100" s="230">
        <v>57200400</v>
      </c>
      <c r="BR100" s="230">
        <v>-19840000</v>
      </c>
      <c r="BS100" s="229">
        <v>-0.34689999999999999</v>
      </c>
      <c r="BT100" s="230">
        <v>8273730</v>
      </c>
      <c r="BU100" s="230">
        <v>13487173</v>
      </c>
      <c r="BV100" s="230">
        <v>-5213443</v>
      </c>
      <c r="BW100" s="229">
        <v>-0.38650000000000001</v>
      </c>
      <c r="BX100" s="230">
        <v>83433600</v>
      </c>
      <c r="BY100" s="230">
        <v>82482800</v>
      </c>
      <c r="BZ100" s="230">
        <v>950800</v>
      </c>
      <c r="CA100" s="229">
        <v>1.15E-2</v>
      </c>
      <c r="CB100" s="230">
        <v>78118800</v>
      </c>
      <c r="CC100" s="230">
        <v>77661600</v>
      </c>
      <c r="CD100" s="230">
        <v>457200</v>
      </c>
      <c r="CE100" s="229">
        <v>5.8999999999999999E-3</v>
      </c>
      <c r="CF100" s="230">
        <v>5118800</v>
      </c>
      <c r="CG100" s="230">
        <v>4674400</v>
      </c>
      <c r="CH100" s="230">
        <v>444400</v>
      </c>
      <c r="CI100" s="229">
        <v>9.5100000000000004E-2</v>
      </c>
      <c r="CJ100" s="230">
        <v>196000</v>
      </c>
      <c r="CK100" s="230">
        <v>146800</v>
      </c>
      <c r="CL100" s="230">
        <v>49200</v>
      </c>
      <c r="CM100" s="229">
        <v>0.33510000000000001</v>
      </c>
      <c r="CN100" s="230">
        <v>35053200</v>
      </c>
      <c r="CO100" s="230">
        <v>32055600</v>
      </c>
      <c r="CP100" s="230">
        <v>2997600</v>
      </c>
      <c r="CQ100" s="229">
        <v>9.35E-2</v>
      </c>
      <c r="CR100" s="230">
        <v>20548000</v>
      </c>
      <c r="CS100" s="230">
        <v>19684000</v>
      </c>
      <c r="CT100" s="230">
        <v>864000</v>
      </c>
      <c r="CU100" s="229">
        <v>4.3900000000000002E-2</v>
      </c>
      <c r="CV100" s="230">
        <v>139034800</v>
      </c>
      <c r="CW100" s="230">
        <v>134222400</v>
      </c>
      <c r="CX100" s="230">
        <v>4812400</v>
      </c>
      <c r="CY100" s="229">
        <v>3.5900000000000001E-2</v>
      </c>
      <c r="CZ100" s="228">
        <v>31.22</v>
      </c>
      <c r="DA100" s="228">
        <v>30.34</v>
      </c>
      <c r="DB100" s="228">
        <v>0.88</v>
      </c>
      <c r="DC100" s="228">
        <v>0.88</v>
      </c>
      <c r="DD100" s="228">
        <v>32.4</v>
      </c>
      <c r="DE100" s="228">
        <v>32.450000000000003</v>
      </c>
      <c r="DF100" s="228">
        <v>-1.18</v>
      </c>
      <c r="DG100" s="228">
        <v>-0.05</v>
      </c>
      <c r="DH100" s="228">
        <v>31.65</v>
      </c>
      <c r="DI100" s="228">
        <v>30.49</v>
      </c>
      <c r="DJ100" s="228">
        <v>1.1599999999999999</v>
      </c>
      <c r="DK100" s="228">
        <v>1.1599999999999999</v>
      </c>
      <c r="DL100" s="228">
        <v>30.4</v>
      </c>
      <c r="DM100" s="228">
        <v>30.07</v>
      </c>
      <c r="DN100" s="228">
        <v>0.33</v>
      </c>
      <c r="DO100" s="228">
        <v>0.33</v>
      </c>
      <c r="DP100" s="228">
        <v>0.59</v>
      </c>
      <c r="DQ100" s="228">
        <v>0.61</v>
      </c>
      <c r="DR100" s="228">
        <v>-0.02</v>
      </c>
      <c r="DS100" s="229">
        <v>-3.2800000000000003E-2</v>
      </c>
      <c r="DT100" s="231">
        <v>1300</v>
      </c>
      <c r="DU100" s="231">
        <v>1160</v>
      </c>
      <c r="DV100" s="228">
        <v>0.53</v>
      </c>
      <c r="DW100" s="228">
        <v>0.55000000000000004</v>
      </c>
      <c r="DX100" s="228">
        <v>-0.02</v>
      </c>
      <c r="DY100" s="229">
        <v>-3.6400000000000002E-2</v>
      </c>
      <c r="DZ100" s="229">
        <v>6.3700000000000007E-2</v>
      </c>
      <c r="EA100" s="230">
        <v>4821200</v>
      </c>
      <c r="EB100" s="229">
        <v>1.6000000000000001E-3</v>
      </c>
      <c r="EC100" s="229">
        <v>6.3700000000000007E-2</v>
      </c>
      <c r="ED100" s="228">
        <v>-0.53</v>
      </c>
      <c r="EE100" s="229">
        <v>-4.0000000000000002E-4</v>
      </c>
      <c r="EF100" s="230">
        <v>4568517</v>
      </c>
      <c r="EG100" s="230">
        <v>5623550</v>
      </c>
      <c r="EH100" s="229">
        <v>-0.18759999999999999</v>
      </c>
      <c r="EI100" s="229">
        <v>0.55220000000000002</v>
      </c>
      <c r="EJ100" s="231">
        <v>259723.29</v>
      </c>
      <c r="EK100" s="231">
        <v>125549.79</v>
      </c>
      <c r="EL100" s="231">
        <v>71847.69</v>
      </c>
      <c r="EM100" s="231">
        <v>65067</v>
      </c>
      <c r="EN100" s="231">
        <v>457120.77</v>
      </c>
      <c r="EO100" s="231">
        <v>695708.27</v>
      </c>
      <c r="EP100" s="231">
        <v>-238587.5</v>
      </c>
      <c r="EQ100" s="229">
        <v>-0.34289999999999998</v>
      </c>
      <c r="ER100" s="231">
        <v>444429</v>
      </c>
      <c r="ES100" s="231">
        <v>242542</v>
      </c>
      <c r="ET100" s="231">
        <v>978783</v>
      </c>
      <c r="EU100" s="231">
        <v>475237614</v>
      </c>
      <c r="EV100" s="231">
        <v>1665755</v>
      </c>
      <c r="EW100" s="231">
        <v>1618813</v>
      </c>
      <c r="EX100" s="231">
        <v>46942</v>
      </c>
      <c r="EY100" s="229">
        <v>2.9000000000000001E-2</v>
      </c>
      <c r="EZ100" s="229">
        <v>0.29260000000000003</v>
      </c>
      <c r="FA100" s="227" t="s">
        <v>566</v>
      </c>
      <c r="FB100" s="161">
        <f t="shared" si="1"/>
        <v>5314800</v>
      </c>
    </row>
    <row r="101" spans="1:158" ht="17.25" thickBot="1" x14ac:dyDescent="0.3">
      <c r="A101" s="226">
        <v>46146</v>
      </c>
      <c r="B101" s="227" t="s">
        <v>161</v>
      </c>
      <c r="C101" s="227" t="s">
        <v>666</v>
      </c>
      <c r="D101" s="228">
        <v>3575</v>
      </c>
      <c r="E101" s="228">
        <v>103.93</v>
      </c>
      <c r="F101" s="228">
        <v>101.51</v>
      </c>
      <c r="G101" s="228">
        <v>2.42</v>
      </c>
      <c r="H101" s="229">
        <v>2.3800000000000002E-2</v>
      </c>
      <c r="I101" s="228">
        <v>103.38</v>
      </c>
      <c r="J101" s="228">
        <v>100.95</v>
      </c>
      <c r="K101" s="228">
        <v>2.4300000000000002</v>
      </c>
      <c r="L101" s="229">
        <v>2.41E-2</v>
      </c>
      <c r="M101" s="228">
        <v>103.93</v>
      </c>
      <c r="N101" s="228">
        <v>101.51</v>
      </c>
      <c r="O101" s="228">
        <v>2.42</v>
      </c>
      <c r="P101" s="229">
        <v>2.3800000000000002E-2</v>
      </c>
      <c r="Q101" s="228">
        <v>104.64</v>
      </c>
      <c r="R101" s="228">
        <v>102.2</v>
      </c>
      <c r="S101" s="228">
        <v>2.44</v>
      </c>
      <c r="T101" s="229">
        <v>2.3900000000000001E-2</v>
      </c>
      <c r="U101" s="228">
        <v>105.21</v>
      </c>
      <c r="V101" s="228">
        <v>102.75</v>
      </c>
      <c r="W101" s="228">
        <v>2.46</v>
      </c>
      <c r="X101" s="229">
        <v>2.3900000000000001E-2</v>
      </c>
      <c r="Y101" s="228">
        <v>0.55000000000000004</v>
      </c>
      <c r="Z101" s="228">
        <v>0.56000000000000005</v>
      </c>
      <c r="AA101" s="228">
        <v>-0.01</v>
      </c>
      <c r="AB101" s="229">
        <v>5.3E-3</v>
      </c>
      <c r="AC101" s="228">
        <v>0.55000000000000004</v>
      </c>
      <c r="AD101" s="228">
        <v>0.56000000000000005</v>
      </c>
      <c r="AE101" s="228">
        <v>-0.01</v>
      </c>
      <c r="AF101" s="229">
        <v>5.3E-3</v>
      </c>
      <c r="AG101" s="228">
        <v>1.26</v>
      </c>
      <c r="AH101" s="228">
        <v>1.25</v>
      </c>
      <c r="AI101" s="228">
        <v>0.01</v>
      </c>
      <c r="AJ101" s="229">
        <v>1.2200000000000001E-2</v>
      </c>
      <c r="AK101" s="228">
        <v>1.83</v>
      </c>
      <c r="AL101" s="228">
        <v>1.8</v>
      </c>
      <c r="AM101" s="228">
        <v>0.03</v>
      </c>
      <c r="AN101" s="229">
        <v>1.77E-2</v>
      </c>
      <c r="AO101" s="228">
        <v>101.53</v>
      </c>
      <c r="AP101" s="228">
        <v>102.17</v>
      </c>
      <c r="AQ101" s="228">
        <v>0</v>
      </c>
      <c r="AR101" s="230">
        <v>30376775</v>
      </c>
      <c r="AS101" s="230">
        <v>19927050</v>
      </c>
      <c r="AT101" s="230">
        <v>10449725</v>
      </c>
      <c r="AU101" s="229">
        <v>0.52439999999999998</v>
      </c>
      <c r="AV101" s="230">
        <v>29497325</v>
      </c>
      <c r="AW101" s="230">
        <v>19176300</v>
      </c>
      <c r="AX101" s="230">
        <v>10321025</v>
      </c>
      <c r="AY101" s="229">
        <v>0.53820000000000001</v>
      </c>
      <c r="AZ101" s="230">
        <v>743600</v>
      </c>
      <c r="BA101" s="230">
        <v>622050</v>
      </c>
      <c r="BB101" s="230">
        <v>121550</v>
      </c>
      <c r="BC101" s="229">
        <v>0.19539999999999999</v>
      </c>
      <c r="BD101" s="230">
        <v>135850</v>
      </c>
      <c r="BE101" s="230">
        <v>128700</v>
      </c>
      <c r="BF101" s="230">
        <v>7150</v>
      </c>
      <c r="BG101" s="229">
        <v>5.5599999999999997E-2</v>
      </c>
      <c r="BH101" s="230">
        <v>26322725</v>
      </c>
      <c r="BI101" s="230">
        <v>13195325</v>
      </c>
      <c r="BJ101" s="230">
        <v>13127400</v>
      </c>
      <c r="BK101" s="229">
        <v>0.99490000000000001</v>
      </c>
      <c r="BL101" s="230">
        <v>9752600</v>
      </c>
      <c r="BM101" s="230">
        <v>6420700</v>
      </c>
      <c r="BN101" s="230">
        <v>3331900</v>
      </c>
      <c r="BO101" s="229">
        <v>0.51890000000000003</v>
      </c>
      <c r="BP101" s="230">
        <v>66452100</v>
      </c>
      <c r="BQ101" s="230">
        <v>39543075</v>
      </c>
      <c r="BR101" s="230">
        <v>26909025</v>
      </c>
      <c r="BS101" s="229">
        <v>0.68049999999999999</v>
      </c>
      <c r="BT101" s="230">
        <v>40930180</v>
      </c>
      <c r="BU101" s="230">
        <v>42579213</v>
      </c>
      <c r="BV101" s="230">
        <v>-1649033</v>
      </c>
      <c r="BW101" s="229">
        <v>-3.8699999999999998E-2</v>
      </c>
      <c r="BX101" s="230">
        <v>94451625</v>
      </c>
      <c r="BY101" s="230">
        <v>95287775</v>
      </c>
      <c r="BZ101" s="230">
        <v>-836150</v>
      </c>
      <c r="CA101" s="229">
        <v>-8.8000000000000005E-3</v>
      </c>
      <c r="CB101" s="230">
        <v>91280475</v>
      </c>
      <c r="CC101" s="230">
        <v>92342250</v>
      </c>
      <c r="CD101" s="230">
        <v>-1061775</v>
      </c>
      <c r="CE101" s="229">
        <v>-1.15E-2</v>
      </c>
      <c r="CF101" s="230">
        <v>2409550</v>
      </c>
      <c r="CG101" s="230">
        <v>2241525</v>
      </c>
      <c r="CH101" s="230">
        <v>168025</v>
      </c>
      <c r="CI101" s="229">
        <v>7.4999999999999997E-2</v>
      </c>
      <c r="CJ101" s="230">
        <v>761600</v>
      </c>
      <c r="CK101" s="230">
        <v>704000</v>
      </c>
      <c r="CL101" s="230">
        <v>57600</v>
      </c>
      <c r="CM101" s="229">
        <v>8.1799999999999998E-2</v>
      </c>
      <c r="CN101" s="230">
        <v>16874000</v>
      </c>
      <c r="CO101" s="230">
        <v>15082925</v>
      </c>
      <c r="CP101" s="230">
        <v>1791075</v>
      </c>
      <c r="CQ101" s="229">
        <v>0.1187</v>
      </c>
      <c r="CR101" s="230">
        <v>11911900</v>
      </c>
      <c r="CS101" s="230">
        <v>10514075</v>
      </c>
      <c r="CT101" s="230">
        <v>1397825</v>
      </c>
      <c r="CU101" s="229">
        <v>0.13289999999999999</v>
      </c>
      <c r="CV101" s="230">
        <v>123237525</v>
      </c>
      <c r="CW101" s="230">
        <v>120884775</v>
      </c>
      <c r="CX101" s="230">
        <v>2352750</v>
      </c>
      <c r="CY101" s="229">
        <v>1.95E-2</v>
      </c>
      <c r="CZ101" s="228">
        <v>52.55</v>
      </c>
      <c r="DA101" s="228">
        <v>51.16</v>
      </c>
      <c r="DB101" s="228">
        <v>1.39</v>
      </c>
      <c r="DC101" s="228">
        <v>1.39</v>
      </c>
      <c r="DD101" s="228">
        <v>53.82</v>
      </c>
      <c r="DE101" s="228">
        <v>53.86</v>
      </c>
      <c r="DF101" s="228">
        <v>-1.27</v>
      </c>
      <c r="DG101" s="228">
        <v>-0.04</v>
      </c>
      <c r="DH101" s="228">
        <v>52.66</v>
      </c>
      <c r="DI101" s="228">
        <v>51.53</v>
      </c>
      <c r="DJ101" s="228">
        <v>1.1299999999999999</v>
      </c>
      <c r="DK101" s="228">
        <v>1.1299999999999999</v>
      </c>
      <c r="DL101" s="228">
        <v>52.27</v>
      </c>
      <c r="DM101" s="228">
        <v>50.42</v>
      </c>
      <c r="DN101" s="228">
        <v>1.85</v>
      </c>
      <c r="DO101" s="228">
        <v>1.85</v>
      </c>
      <c r="DP101" s="228">
        <v>0.71</v>
      </c>
      <c r="DQ101" s="228">
        <v>0.7</v>
      </c>
      <c r="DR101" s="228">
        <v>0.01</v>
      </c>
      <c r="DS101" s="229">
        <v>1.43E-2</v>
      </c>
      <c r="DT101" s="228">
        <v>110</v>
      </c>
      <c r="DU101" s="228">
        <v>100</v>
      </c>
      <c r="DV101" s="228">
        <v>0.37</v>
      </c>
      <c r="DW101" s="228">
        <v>0.49</v>
      </c>
      <c r="DX101" s="228">
        <v>-0.12</v>
      </c>
      <c r="DY101" s="229">
        <v>-0.24490000000000001</v>
      </c>
      <c r="DZ101" s="229">
        <v>3.3599999999999998E-2</v>
      </c>
      <c r="EA101" s="230">
        <v>2945525</v>
      </c>
      <c r="EB101" s="229">
        <v>6.7999999999999996E-3</v>
      </c>
      <c r="EC101" s="229">
        <v>3.3599999999999998E-2</v>
      </c>
      <c r="ED101" s="228">
        <v>0.64</v>
      </c>
      <c r="EE101" s="229">
        <v>6.3E-3</v>
      </c>
      <c r="EF101" s="230">
        <v>16483628</v>
      </c>
      <c r="EG101" s="230">
        <v>24582192</v>
      </c>
      <c r="EH101" s="229">
        <v>-0.32940000000000003</v>
      </c>
      <c r="EI101" s="229">
        <v>0.4027</v>
      </c>
      <c r="EJ101" s="231">
        <v>28822.67</v>
      </c>
      <c r="EK101" s="231">
        <v>9955.9500000000007</v>
      </c>
      <c r="EL101" s="231">
        <v>30961.21</v>
      </c>
      <c r="EM101" s="231">
        <v>10033</v>
      </c>
      <c r="EN101" s="231">
        <v>69739.83</v>
      </c>
      <c r="EO101" s="231">
        <v>41456.46</v>
      </c>
      <c r="EP101" s="231">
        <v>28283.37</v>
      </c>
      <c r="EQ101" s="229">
        <v>0.68220000000000003</v>
      </c>
      <c r="ER101" s="231">
        <v>17893</v>
      </c>
      <c r="ES101" s="231">
        <v>12003</v>
      </c>
      <c r="ET101" s="231">
        <v>98190</v>
      </c>
      <c r="EU101" s="231">
        <v>144708707</v>
      </c>
      <c r="EV101" s="231">
        <v>128087</v>
      </c>
      <c r="EW101" s="231">
        <v>123322</v>
      </c>
      <c r="EX101" s="231">
        <v>4765</v>
      </c>
      <c r="EY101" s="229">
        <v>3.8600000000000002E-2</v>
      </c>
      <c r="EZ101" s="229">
        <v>0.85160000000000002</v>
      </c>
      <c r="FA101" s="227" t="s">
        <v>691</v>
      </c>
      <c r="FB101" s="161">
        <f t="shared" si="1"/>
        <v>3171150</v>
      </c>
    </row>
    <row r="102" spans="1:158" ht="17.25" thickBot="1" x14ac:dyDescent="0.3">
      <c r="A102" s="226">
        <v>46146</v>
      </c>
      <c r="B102" s="227" t="s">
        <v>193</v>
      </c>
      <c r="C102" s="227" t="s">
        <v>241</v>
      </c>
      <c r="D102" s="228">
        <v>4875</v>
      </c>
      <c r="E102" s="228">
        <v>143.08000000000001</v>
      </c>
      <c r="F102" s="228">
        <v>143.12</v>
      </c>
      <c r="G102" s="228">
        <v>-0.04</v>
      </c>
      <c r="H102" s="229">
        <v>-2.9999999999999997E-4</v>
      </c>
      <c r="I102" s="228">
        <v>142.26</v>
      </c>
      <c r="J102" s="228">
        <v>142.25</v>
      </c>
      <c r="K102" s="228">
        <v>0.01</v>
      </c>
      <c r="L102" s="229">
        <v>1E-4</v>
      </c>
      <c r="M102" s="228">
        <v>143.08000000000001</v>
      </c>
      <c r="N102" s="228">
        <v>143.12</v>
      </c>
      <c r="O102" s="228">
        <v>-0.04</v>
      </c>
      <c r="P102" s="229">
        <v>-2.9999999999999997E-4</v>
      </c>
      <c r="Q102" s="228">
        <v>144.02000000000001</v>
      </c>
      <c r="R102" s="228">
        <v>144.04</v>
      </c>
      <c r="S102" s="228">
        <v>-0.02</v>
      </c>
      <c r="T102" s="229">
        <v>-1E-4</v>
      </c>
      <c r="U102" s="228">
        <v>145.1</v>
      </c>
      <c r="V102" s="228">
        <v>144.21</v>
      </c>
      <c r="W102" s="228">
        <v>0.89</v>
      </c>
      <c r="X102" s="229">
        <v>6.1999999999999998E-3</v>
      </c>
      <c r="Y102" s="228">
        <v>0.82</v>
      </c>
      <c r="Z102" s="228">
        <v>0.87</v>
      </c>
      <c r="AA102" s="228">
        <v>-0.05</v>
      </c>
      <c r="AB102" s="229">
        <v>5.7999999999999996E-3</v>
      </c>
      <c r="AC102" s="228">
        <v>0.82</v>
      </c>
      <c r="AD102" s="228">
        <v>0.87</v>
      </c>
      <c r="AE102" s="228">
        <v>-0.05</v>
      </c>
      <c r="AF102" s="229">
        <v>5.7999999999999996E-3</v>
      </c>
      <c r="AG102" s="228">
        <v>1.76</v>
      </c>
      <c r="AH102" s="228">
        <v>1.79</v>
      </c>
      <c r="AI102" s="228">
        <v>-0.03</v>
      </c>
      <c r="AJ102" s="229">
        <v>1.24E-2</v>
      </c>
      <c r="AK102" s="228">
        <v>2.84</v>
      </c>
      <c r="AL102" s="228">
        <v>1.96</v>
      </c>
      <c r="AM102" s="228">
        <v>0.88</v>
      </c>
      <c r="AN102" s="229">
        <v>0.02</v>
      </c>
      <c r="AO102" s="228">
        <v>143.69999999999999</v>
      </c>
      <c r="AP102" s="228">
        <v>144.69999999999999</v>
      </c>
      <c r="AQ102" s="228">
        <v>0</v>
      </c>
      <c r="AR102" s="230">
        <v>8643375</v>
      </c>
      <c r="AS102" s="230">
        <v>20855250</v>
      </c>
      <c r="AT102" s="230">
        <v>-12211875</v>
      </c>
      <c r="AU102" s="229">
        <v>-0.58560000000000001</v>
      </c>
      <c r="AV102" s="230">
        <v>7951125</v>
      </c>
      <c r="AW102" s="230">
        <v>19904625</v>
      </c>
      <c r="AX102" s="230">
        <v>-11953500</v>
      </c>
      <c r="AY102" s="229">
        <v>-0.60050000000000003</v>
      </c>
      <c r="AZ102" s="230">
        <v>580125</v>
      </c>
      <c r="BA102" s="230">
        <v>867750</v>
      </c>
      <c r="BB102" s="230">
        <v>-287625</v>
      </c>
      <c r="BC102" s="229">
        <v>-0.33150000000000002</v>
      </c>
      <c r="BD102" s="230">
        <v>112125</v>
      </c>
      <c r="BE102" s="230">
        <v>82875</v>
      </c>
      <c r="BF102" s="230">
        <v>29250</v>
      </c>
      <c r="BG102" s="229">
        <v>0.35289999999999999</v>
      </c>
      <c r="BH102" s="230">
        <v>23424375</v>
      </c>
      <c r="BI102" s="230">
        <v>29030625</v>
      </c>
      <c r="BJ102" s="230">
        <v>-5606250</v>
      </c>
      <c r="BK102" s="229">
        <v>-0.19309999999999999</v>
      </c>
      <c r="BL102" s="230">
        <v>13006500</v>
      </c>
      <c r="BM102" s="230">
        <v>20567625</v>
      </c>
      <c r="BN102" s="230">
        <v>-7561125</v>
      </c>
      <c r="BO102" s="229">
        <v>-0.36759999999999998</v>
      </c>
      <c r="BP102" s="230">
        <v>45074250</v>
      </c>
      <c r="BQ102" s="230">
        <v>70453500</v>
      </c>
      <c r="BR102" s="230">
        <v>-25379250</v>
      </c>
      <c r="BS102" s="229">
        <v>-0.36020000000000002</v>
      </c>
      <c r="BT102" s="230">
        <v>9807640</v>
      </c>
      <c r="BU102" s="230">
        <v>17916777</v>
      </c>
      <c r="BV102" s="230">
        <v>-8109137</v>
      </c>
      <c r="BW102" s="229">
        <v>-0.4526</v>
      </c>
      <c r="BX102" s="230">
        <v>112895250</v>
      </c>
      <c r="BY102" s="230">
        <v>111471750</v>
      </c>
      <c r="BZ102" s="230">
        <v>1423500</v>
      </c>
      <c r="CA102" s="229">
        <v>1.2800000000000001E-2</v>
      </c>
      <c r="CB102" s="230">
        <v>104417625</v>
      </c>
      <c r="CC102" s="230">
        <v>103242750</v>
      </c>
      <c r="CD102" s="230">
        <v>1174875</v>
      </c>
      <c r="CE102" s="229">
        <v>1.14E-2</v>
      </c>
      <c r="CF102" s="230">
        <v>8311875</v>
      </c>
      <c r="CG102" s="230">
        <v>8126625</v>
      </c>
      <c r="CH102" s="230">
        <v>185250</v>
      </c>
      <c r="CI102" s="229">
        <v>2.2800000000000001E-2</v>
      </c>
      <c r="CJ102" s="230">
        <v>165750</v>
      </c>
      <c r="CK102" s="230">
        <v>102375</v>
      </c>
      <c r="CL102" s="230">
        <v>63375</v>
      </c>
      <c r="CM102" s="229">
        <v>0.61899999999999999</v>
      </c>
      <c r="CN102" s="230">
        <v>38020125</v>
      </c>
      <c r="CO102" s="230">
        <v>34636875</v>
      </c>
      <c r="CP102" s="230">
        <v>3383250</v>
      </c>
      <c r="CQ102" s="229">
        <v>9.7699999999999995E-2</v>
      </c>
      <c r="CR102" s="230">
        <v>30098250</v>
      </c>
      <c r="CS102" s="230">
        <v>27982500</v>
      </c>
      <c r="CT102" s="230">
        <v>2115750</v>
      </c>
      <c r="CU102" s="229">
        <v>7.5600000000000001E-2</v>
      </c>
      <c r="CV102" s="230">
        <v>181013625</v>
      </c>
      <c r="CW102" s="230">
        <v>174091125</v>
      </c>
      <c r="CX102" s="230">
        <v>6922500</v>
      </c>
      <c r="CY102" s="229">
        <v>3.9800000000000002E-2</v>
      </c>
      <c r="CZ102" s="228">
        <v>35.94</v>
      </c>
      <c r="DA102" s="228">
        <v>37.54</v>
      </c>
      <c r="DB102" s="228">
        <v>-1.6</v>
      </c>
      <c r="DC102" s="228">
        <v>-1.6</v>
      </c>
      <c r="DD102" s="228">
        <v>33.56</v>
      </c>
      <c r="DE102" s="228">
        <v>33.64</v>
      </c>
      <c r="DF102" s="228">
        <v>2.38</v>
      </c>
      <c r="DG102" s="228">
        <v>-0.08</v>
      </c>
      <c r="DH102" s="228">
        <v>36.15</v>
      </c>
      <c r="DI102" s="228">
        <v>37.340000000000003</v>
      </c>
      <c r="DJ102" s="228">
        <v>-1.19</v>
      </c>
      <c r="DK102" s="228">
        <v>-1.19</v>
      </c>
      <c r="DL102" s="228">
        <v>35.549999999999997</v>
      </c>
      <c r="DM102" s="228">
        <v>37.83</v>
      </c>
      <c r="DN102" s="228">
        <v>-2.2799999999999998</v>
      </c>
      <c r="DO102" s="228">
        <v>-2.2799999999999998</v>
      </c>
      <c r="DP102" s="228">
        <v>0.79</v>
      </c>
      <c r="DQ102" s="228">
        <v>0.81</v>
      </c>
      <c r="DR102" s="228">
        <v>-0.02</v>
      </c>
      <c r="DS102" s="229">
        <v>-2.47E-2</v>
      </c>
      <c r="DT102" s="228">
        <v>150</v>
      </c>
      <c r="DU102" s="228">
        <v>140</v>
      </c>
      <c r="DV102" s="228">
        <v>0.56000000000000005</v>
      </c>
      <c r="DW102" s="228">
        <v>0.71</v>
      </c>
      <c r="DX102" s="228">
        <v>-0.15</v>
      </c>
      <c r="DY102" s="229">
        <v>-0.21129999999999999</v>
      </c>
      <c r="DZ102" s="229">
        <v>7.51E-2</v>
      </c>
      <c r="EA102" s="230">
        <v>8229000</v>
      </c>
      <c r="EB102" s="229">
        <v>6.6E-3</v>
      </c>
      <c r="EC102" s="229">
        <v>7.51E-2</v>
      </c>
      <c r="ED102" s="228">
        <v>1</v>
      </c>
      <c r="EE102" s="229">
        <v>7.0000000000000001E-3</v>
      </c>
      <c r="EF102" s="230">
        <v>5049487</v>
      </c>
      <c r="EG102" s="230">
        <v>9276564</v>
      </c>
      <c r="EH102" s="229">
        <v>-0.45569999999999999</v>
      </c>
      <c r="EI102" s="229">
        <v>0.51490000000000002</v>
      </c>
      <c r="EJ102" s="231">
        <v>36164.57</v>
      </c>
      <c r="EK102" s="231">
        <v>18524.95</v>
      </c>
      <c r="EL102" s="231">
        <v>12427.97</v>
      </c>
      <c r="EM102" s="231">
        <v>7487</v>
      </c>
      <c r="EN102" s="231">
        <v>67117.490000000005</v>
      </c>
      <c r="EO102" s="231">
        <v>103590.68</v>
      </c>
      <c r="EP102" s="231">
        <v>-36473.19</v>
      </c>
      <c r="EQ102" s="229">
        <v>-0.35210000000000002</v>
      </c>
      <c r="ER102" s="231">
        <v>58414</v>
      </c>
      <c r="ES102" s="231">
        <v>43413</v>
      </c>
      <c r="ET102" s="231">
        <v>161612</v>
      </c>
      <c r="EU102" s="231">
        <v>684903861</v>
      </c>
      <c r="EV102" s="231">
        <v>263439</v>
      </c>
      <c r="EW102" s="231">
        <v>253497</v>
      </c>
      <c r="EX102" s="231">
        <v>9942</v>
      </c>
      <c r="EY102" s="229">
        <v>3.9199999999999999E-2</v>
      </c>
      <c r="EZ102" s="229">
        <v>0.26429999999999998</v>
      </c>
      <c r="FA102" s="227" t="s">
        <v>566</v>
      </c>
      <c r="FB102" s="161">
        <f t="shared" si="1"/>
        <v>8477625</v>
      </c>
    </row>
    <row r="103" spans="1:158" ht="17.25" thickBot="1" x14ac:dyDescent="0.3">
      <c r="A103" s="226">
        <v>46146</v>
      </c>
      <c r="B103" s="227" t="s">
        <v>175</v>
      </c>
      <c r="C103" s="227" t="s">
        <v>662</v>
      </c>
      <c r="D103" s="228">
        <v>3450</v>
      </c>
      <c r="E103" s="228">
        <v>135.68</v>
      </c>
      <c r="F103" s="228">
        <v>135.36000000000001</v>
      </c>
      <c r="G103" s="228">
        <v>0.32</v>
      </c>
      <c r="H103" s="229">
        <v>2.3999999999999998E-3</v>
      </c>
      <c r="I103" s="228">
        <v>135.36000000000001</v>
      </c>
      <c r="J103" s="228">
        <v>135.1</v>
      </c>
      <c r="K103" s="228">
        <v>0.26</v>
      </c>
      <c r="L103" s="229">
        <v>1.9E-3</v>
      </c>
      <c r="M103" s="228">
        <v>135.68</v>
      </c>
      <c r="N103" s="228">
        <v>135.36000000000001</v>
      </c>
      <c r="O103" s="228">
        <v>0.32</v>
      </c>
      <c r="P103" s="229">
        <v>2.3999999999999998E-3</v>
      </c>
      <c r="Q103" s="228">
        <v>134.94</v>
      </c>
      <c r="R103" s="228">
        <v>134.52000000000001</v>
      </c>
      <c r="S103" s="228">
        <v>0.42</v>
      </c>
      <c r="T103" s="229">
        <v>3.0999999999999999E-3</v>
      </c>
      <c r="U103" s="228">
        <v>135</v>
      </c>
      <c r="V103" s="228">
        <v>133.94999999999999</v>
      </c>
      <c r="W103" s="228">
        <v>1.05</v>
      </c>
      <c r="X103" s="229">
        <v>7.7999999999999996E-3</v>
      </c>
      <c r="Y103" s="228">
        <v>0.32</v>
      </c>
      <c r="Z103" s="228">
        <v>0.26</v>
      </c>
      <c r="AA103" s="228">
        <v>0.06</v>
      </c>
      <c r="AB103" s="229">
        <v>2.3999999999999998E-3</v>
      </c>
      <c r="AC103" s="228">
        <v>0.32</v>
      </c>
      <c r="AD103" s="228">
        <v>0.26</v>
      </c>
      <c r="AE103" s="228">
        <v>0.06</v>
      </c>
      <c r="AF103" s="229">
        <v>2.3999999999999998E-3</v>
      </c>
      <c r="AG103" s="228">
        <v>-0.42</v>
      </c>
      <c r="AH103" s="228">
        <v>-0.57999999999999996</v>
      </c>
      <c r="AI103" s="228">
        <v>0.16</v>
      </c>
      <c r="AJ103" s="229">
        <v>-3.0999999999999999E-3</v>
      </c>
      <c r="AK103" s="228">
        <v>-0.36</v>
      </c>
      <c r="AL103" s="228">
        <v>-1.1499999999999999</v>
      </c>
      <c r="AM103" s="228">
        <v>0.79</v>
      </c>
      <c r="AN103" s="229">
        <v>-2.7000000000000001E-3</v>
      </c>
      <c r="AO103" s="228">
        <v>136.1</v>
      </c>
      <c r="AP103" s="228">
        <v>135.15</v>
      </c>
      <c r="AQ103" s="228">
        <v>0</v>
      </c>
      <c r="AR103" s="230">
        <v>5899500</v>
      </c>
      <c r="AS103" s="230">
        <v>6040950</v>
      </c>
      <c r="AT103" s="230">
        <v>-141450</v>
      </c>
      <c r="AU103" s="229">
        <v>-2.3400000000000001E-2</v>
      </c>
      <c r="AV103" s="230">
        <v>5030100</v>
      </c>
      <c r="AW103" s="230">
        <v>5016300</v>
      </c>
      <c r="AX103" s="230">
        <v>13800</v>
      </c>
      <c r="AY103" s="229">
        <v>2.8E-3</v>
      </c>
      <c r="AZ103" s="230">
        <v>690000</v>
      </c>
      <c r="BA103" s="230">
        <v>831450</v>
      </c>
      <c r="BB103" s="230">
        <v>-141450</v>
      </c>
      <c r="BC103" s="229">
        <v>-0.1701</v>
      </c>
      <c r="BD103" s="230">
        <v>179400</v>
      </c>
      <c r="BE103" s="230">
        <v>193200</v>
      </c>
      <c r="BF103" s="230">
        <v>-13800</v>
      </c>
      <c r="BG103" s="229">
        <v>-7.1400000000000005E-2</v>
      </c>
      <c r="BH103" s="230">
        <v>9528900</v>
      </c>
      <c r="BI103" s="230">
        <v>11057250</v>
      </c>
      <c r="BJ103" s="230">
        <v>-1528350</v>
      </c>
      <c r="BK103" s="229">
        <v>-0.13819999999999999</v>
      </c>
      <c r="BL103" s="230">
        <v>3967500</v>
      </c>
      <c r="BM103" s="230">
        <v>4195200</v>
      </c>
      <c r="BN103" s="230">
        <v>-227700</v>
      </c>
      <c r="BO103" s="229">
        <v>-5.4300000000000001E-2</v>
      </c>
      <c r="BP103" s="230">
        <v>19395900</v>
      </c>
      <c r="BQ103" s="230">
        <v>21293400</v>
      </c>
      <c r="BR103" s="230">
        <v>-1897500</v>
      </c>
      <c r="BS103" s="229">
        <v>-8.9099999999999999E-2</v>
      </c>
      <c r="BT103" s="230">
        <v>6358072</v>
      </c>
      <c r="BU103" s="230">
        <v>6325444</v>
      </c>
      <c r="BV103" s="230">
        <v>32628</v>
      </c>
      <c r="BW103" s="229">
        <v>5.1999999999999998E-3</v>
      </c>
      <c r="BX103" s="230">
        <v>47041600</v>
      </c>
      <c r="BY103" s="230">
        <v>46901775</v>
      </c>
      <c r="BZ103" s="230">
        <v>139825</v>
      </c>
      <c r="CA103" s="229">
        <v>3.0000000000000001E-3</v>
      </c>
      <c r="CB103" s="230">
        <v>40741050</v>
      </c>
      <c r="CC103" s="230">
        <v>40775550</v>
      </c>
      <c r="CD103" s="230">
        <v>-34500</v>
      </c>
      <c r="CE103" s="229">
        <v>-8.0000000000000004E-4</v>
      </c>
      <c r="CF103" s="230">
        <v>5658000</v>
      </c>
      <c r="CG103" s="230">
        <v>5651100</v>
      </c>
      <c r="CH103" s="230">
        <v>6900</v>
      </c>
      <c r="CI103" s="229">
        <v>1.1999999999999999E-3</v>
      </c>
      <c r="CJ103" s="230">
        <v>642550</v>
      </c>
      <c r="CK103" s="230">
        <v>475125</v>
      </c>
      <c r="CL103" s="230">
        <v>167425</v>
      </c>
      <c r="CM103" s="229">
        <v>0.35239999999999999</v>
      </c>
      <c r="CN103" s="230">
        <v>16114950</v>
      </c>
      <c r="CO103" s="230">
        <v>14893650</v>
      </c>
      <c r="CP103" s="230">
        <v>1221300</v>
      </c>
      <c r="CQ103" s="229">
        <v>8.2000000000000003E-2</v>
      </c>
      <c r="CR103" s="230">
        <v>11616150</v>
      </c>
      <c r="CS103" s="230">
        <v>11229750</v>
      </c>
      <c r="CT103" s="230">
        <v>386400</v>
      </c>
      <c r="CU103" s="229">
        <v>3.44E-2</v>
      </c>
      <c r="CV103" s="230">
        <v>74772700</v>
      </c>
      <c r="CW103" s="230">
        <v>73025175</v>
      </c>
      <c r="CX103" s="230">
        <v>1747525</v>
      </c>
      <c r="CY103" s="229">
        <v>2.3900000000000001E-2</v>
      </c>
      <c r="CZ103" s="228">
        <v>42.96</v>
      </c>
      <c r="DA103" s="228">
        <v>41.34</v>
      </c>
      <c r="DB103" s="228">
        <v>1.62</v>
      </c>
      <c r="DC103" s="228">
        <v>1.62</v>
      </c>
      <c r="DD103" s="228">
        <v>49.19</v>
      </c>
      <c r="DE103" s="228">
        <v>49.31</v>
      </c>
      <c r="DF103" s="228">
        <v>-6.23</v>
      </c>
      <c r="DG103" s="228">
        <v>-0.12</v>
      </c>
      <c r="DH103" s="228">
        <v>42.56</v>
      </c>
      <c r="DI103" s="228">
        <v>41.05</v>
      </c>
      <c r="DJ103" s="228">
        <v>1.51</v>
      </c>
      <c r="DK103" s="228">
        <v>1.51</v>
      </c>
      <c r="DL103" s="228">
        <v>43.93</v>
      </c>
      <c r="DM103" s="228">
        <v>42.13</v>
      </c>
      <c r="DN103" s="228">
        <v>1.8</v>
      </c>
      <c r="DO103" s="228">
        <v>1.8</v>
      </c>
      <c r="DP103" s="228">
        <v>0.72</v>
      </c>
      <c r="DQ103" s="228">
        <v>0.75</v>
      </c>
      <c r="DR103" s="228">
        <v>-0.03</v>
      </c>
      <c r="DS103" s="229">
        <v>-0.04</v>
      </c>
      <c r="DT103" s="228">
        <v>140</v>
      </c>
      <c r="DU103" s="228">
        <v>130</v>
      </c>
      <c r="DV103" s="228">
        <v>0.42</v>
      </c>
      <c r="DW103" s="228">
        <v>0.38</v>
      </c>
      <c r="DX103" s="228">
        <v>0.04</v>
      </c>
      <c r="DY103" s="229">
        <v>0.1053</v>
      </c>
      <c r="DZ103" s="229">
        <v>0.13389999999999999</v>
      </c>
      <c r="EA103" s="230">
        <v>6126225</v>
      </c>
      <c r="EB103" s="229">
        <v>-5.4999999999999997E-3</v>
      </c>
      <c r="EC103" s="229">
        <v>0.13389999999999999</v>
      </c>
      <c r="ED103" s="228">
        <v>-0.95</v>
      </c>
      <c r="EE103" s="229">
        <v>-7.0000000000000001E-3</v>
      </c>
      <c r="EF103" s="230">
        <v>2017559</v>
      </c>
      <c r="EG103" s="230">
        <v>1895882</v>
      </c>
      <c r="EH103" s="229">
        <v>6.4199999999999993E-2</v>
      </c>
      <c r="EI103" s="229">
        <v>0.31730000000000003</v>
      </c>
      <c r="EJ103" s="231">
        <v>13964.44</v>
      </c>
      <c r="EK103" s="231">
        <v>5343.43</v>
      </c>
      <c r="EL103" s="231">
        <v>8095.97</v>
      </c>
      <c r="EM103" s="231">
        <v>5911</v>
      </c>
      <c r="EN103" s="231">
        <v>27403.84</v>
      </c>
      <c r="EO103" s="231">
        <v>30106.04</v>
      </c>
      <c r="EP103" s="231">
        <v>-2702.2</v>
      </c>
      <c r="EQ103" s="229">
        <v>-8.9800000000000005E-2</v>
      </c>
      <c r="ER103" s="231">
        <v>23119</v>
      </c>
      <c r="ES103" s="231">
        <v>15342</v>
      </c>
      <c r="ET103" s="231">
        <v>63780</v>
      </c>
      <c r="EU103" s="231">
        <v>119011160</v>
      </c>
      <c r="EV103" s="231">
        <v>102240</v>
      </c>
      <c r="EW103" s="231">
        <v>99632</v>
      </c>
      <c r="EX103" s="231">
        <v>2608</v>
      </c>
      <c r="EY103" s="229">
        <v>2.6200000000000001E-2</v>
      </c>
      <c r="EZ103" s="229">
        <v>0.62829999999999997</v>
      </c>
      <c r="FA103" s="227" t="s">
        <v>555</v>
      </c>
      <c r="FB103" s="161">
        <f t="shared" si="1"/>
        <v>6300550</v>
      </c>
    </row>
    <row r="104" spans="1:158" ht="17.25" thickBot="1" x14ac:dyDescent="0.3">
      <c r="A104" s="226">
        <v>46146</v>
      </c>
      <c r="B104" s="227" t="s">
        <v>215</v>
      </c>
      <c r="C104" s="227" t="s">
        <v>591</v>
      </c>
      <c r="D104" s="228">
        <v>4250</v>
      </c>
      <c r="E104" s="228">
        <v>104.95</v>
      </c>
      <c r="F104" s="228">
        <v>104.12</v>
      </c>
      <c r="G104" s="228">
        <v>0.83</v>
      </c>
      <c r="H104" s="229">
        <v>8.0000000000000002E-3</v>
      </c>
      <c r="I104" s="228">
        <v>104.41</v>
      </c>
      <c r="J104" s="228">
        <v>104.21</v>
      </c>
      <c r="K104" s="228">
        <v>0.2</v>
      </c>
      <c r="L104" s="229">
        <v>1.9E-3</v>
      </c>
      <c r="M104" s="228">
        <v>104.95</v>
      </c>
      <c r="N104" s="228">
        <v>104.12</v>
      </c>
      <c r="O104" s="228">
        <v>0.83</v>
      </c>
      <c r="P104" s="229">
        <v>8.0000000000000002E-3</v>
      </c>
      <c r="Q104" s="228">
        <v>104.3</v>
      </c>
      <c r="R104" s="228">
        <v>103.41</v>
      </c>
      <c r="S104" s="228">
        <v>0.89</v>
      </c>
      <c r="T104" s="229">
        <v>8.6E-3</v>
      </c>
      <c r="U104" s="228">
        <v>103.92</v>
      </c>
      <c r="V104" s="228">
        <v>103.27</v>
      </c>
      <c r="W104" s="228">
        <v>0.65</v>
      </c>
      <c r="X104" s="229">
        <v>6.3E-3</v>
      </c>
      <c r="Y104" s="228">
        <v>0.54</v>
      </c>
      <c r="Z104" s="228">
        <v>-0.09</v>
      </c>
      <c r="AA104" s="228">
        <v>0.63</v>
      </c>
      <c r="AB104" s="229">
        <v>5.1999999999999998E-3</v>
      </c>
      <c r="AC104" s="228">
        <v>0.54</v>
      </c>
      <c r="AD104" s="228">
        <v>-0.09</v>
      </c>
      <c r="AE104" s="228">
        <v>0.63</v>
      </c>
      <c r="AF104" s="229">
        <v>5.1999999999999998E-3</v>
      </c>
      <c r="AG104" s="228">
        <v>-0.11</v>
      </c>
      <c r="AH104" s="228">
        <v>-0.8</v>
      </c>
      <c r="AI104" s="228">
        <v>0.69</v>
      </c>
      <c r="AJ104" s="229">
        <v>-1.1000000000000001E-3</v>
      </c>
      <c r="AK104" s="228">
        <v>-0.49</v>
      </c>
      <c r="AL104" s="228">
        <v>-0.94</v>
      </c>
      <c r="AM104" s="228">
        <v>0.45</v>
      </c>
      <c r="AN104" s="229">
        <v>-4.7000000000000002E-3</v>
      </c>
      <c r="AO104" s="228">
        <v>104.94</v>
      </c>
      <c r="AP104" s="228">
        <v>104.22</v>
      </c>
      <c r="AQ104" s="228">
        <v>0</v>
      </c>
      <c r="AR104" s="230">
        <v>5372000</v>
      </c>
      <c r="AS104" s="230">
        <v>7518250</v>
      </c>
      <c r="AT104" s="230">
        <v>-2146250</v>
      </c>
      <c r="AU104" s="229">
        <v>-0.28549999999999998</v>
      </c>
      <c r="AV104" s="230">
        <v>4407250</v>
      </c>
      <c r="AW104" s="230">
        <v>5907500</v>
      </c>
      <c r="AX104" s="230">
        <v>-1500250</v>
      </c>
      <c r="AY104" s="229">
        <v>-0.254</v>
      </c>
      <c r="AZ104" s="230">
        <v>841500</v>
      </c>
      <c r="BA104" s="230">
        <v>1479000</v>
      </c>
      <c r="BB104" s="230">
        <v>-637500</v>
      </c>
      <c r="BC104" s="229">
        <v>-0.43099999999999999</v>
      </c>
      <c r="BD104" s="230">
        <v>123250</v>
      </c>
      <c r="BE104" s="230">
        <v>131750</v>
      </c>
      <c r="BF104" s="230">
        <v>-8500</v>
      </c>
      <c r="BG104" s="229">
        <v>-6.4500000000000002E-2</v>
      </c>
      <c r="BH104" s="230">
        <v>13051750</v>
      </c>
      <c r="BI104" s="230">
        <v>11653500</v>
      </c>
      <c r="BJ104" s="230">
        <v>1398250</v>
      </c>
      <c r="BK104" s="229">
        <v>0.12</v>
      </c>
      <c r="BL104" s="230">
        <v>6719250</v>
      </c>
      <c r="BM104" s="230">
        <v>7178250</v>
      </c>
      <c r="BN104" s="230">
        <v>-459000</v>
      </c>
      <c r="BO104" s="229">
        <v>-6.3899999999999998E-2</v>
      </c>
      <c r="BP104" s="230">
        <v>25143000</v>
      </c>
      <c r="BQ104" s="230">
        <v>26350000</v>
      </c>
      <c r="BR104" s="230">
        <v>-1207000</v>
      </c>
      <c r="BS104" s="229">
        <v>-4.58E-2</v>
      </c>
      <c r="BT104" s="230">
        <v>11667908</v>
      </c>
      <c r="BU104" s="230">
        <v>9639692</v>
      </c>
      <c r="BV104" s="230">
        <v>2028216</v>
      </c>
      <c r="BW104" s="229">
        <v>0.2104</v>
      </c>
      <c r="BX104" s="230">
        <v>53169275</v>
      </c>
      <c r="BY104" s="230">
        <v>53088175</v>
      </c>
      <c r="BZ104" s="230">
        <v>81100</v>
      </c>
      <c r="CA104" s="229">
        <v>1.5E-3</v>
      </c>
      <c r="CB104" s="230">
        <v>47536250</v>
      </c>
      <c r="CC104" s="230">
        <v>47578750</v>
      </c>
      <c r="CD104" s="230">
        <v>-42500</v>
      </c>
      <c r="CE104" s="229">
        <v>-8.9999999999999998E-4</v>
      </c>
      <c r="CF104" s="230">
        <v>5291250</v>
      </c>
      <c r="CG104" s="230">
        <v>5287000</v>
      </c>
      <c r="CH104" s="230">
        <v>4250</v>
      </c>
      <c r="CI104" s="229">
        <v>8.0000000000000004E-4</v>
      </c>
      <c r="CJ104" s="230">
        <v>341775</v>
      </c>
      <c r="CK104" s="230">
        <v>222425</v>
      </c>
      <c r="CL104" s="230">
        <v>119350</v>
      </c>
      <c r="CM104" s="229">
        <v>0.53659999999999997</v>
      </c>
      <c r="CN104" s="230">
        <v>25844250</v>
      </c>
      <c r="CO104" s="230">
        <v>24709500</v>
      </c>
      <c r="CP104" s="230">
        <v>1134750</v>
      </c>
      <c r="CQ104" s="229">
        <v>4.5900000000000003E-2</v>
      </c>
      <c r="CR104" s="230">
        <v>20795250</v>
      </c>
      <c r="CS104" s="230">
        <v>19477750</v>
      </c>
      <c r="CT104" s="230">
        <v>1317500</v>
      </c>
      <c r="CU104" s="229">
        <v>6.7599999999999993E-2</v>
      </c>
      <c r="CV104" s="230">
        <v>99808775</v>
      </c>
      <c r="CW104" s="230">
        <v>97275425</v>
      </c>
      <c r="CX104" s="230">
        <v>2533350</v>
      </c>
      <c r="CY104" s="229">
        <v>2.5999999999999999E-2</v>
      </c>
      <c r="CZ104" s="228">
        <v>40.630000000000003</v>
      </c>
      <c r="DA104" s="228">
        <v>41.03</v>
      </c>
      <c r="DB104" s="228">
        <v>-0.4</v>
      </c>
      <c r="DC104" s="228">
        <v>-0.4</v>
      </c>
      <c r="DD104" s="228">
        <v>44.95</v>
      </c>
      <c r="DE104" s="228">
        <v>45.05</v>
      </c>
      <c r="DF104" s="228">
        <v>-4.32</v>
      </c>
      <c r="DG104" s="228">
        <v>-0.1</v>
      </c>
      <c r="DH104" s="228">
        <v>40.18</v>
      </c>
      <c r="DI104" s="228">
        <v>40.380000000000003</v>
      </c>
      <c r="DJ104" s="228">
        <v>-0.2</v>
      </c>
      <c r="DK104" s="228">
        <v>-0.2</v>
      </c>
      <c r="DL104" s="228">
        <v>41.5</v>
      </c>
      <c r="DM104" s="228">
        <v>42.1</v>
      </c>
      <c r="DN104" s="228">
        <v>-0.6</v>
      </c>
      <c r="DO104" s="228">
        <v>-0.6</v>
      </c>
      <c r="DP104" s="228">
        <v>0.8</v>
      </c>
      <c r="DQ104" s="228">
        <v>0.79</v>
      </c>
      <c r="DR104" s="228">
        <v>0.01</v>
      </c>
      <c r="DS104" s="229">
        <v>1.2699999999999999E-2</v>
      </c>
      <c r="DT104" s="228">
        <v>110</v>
      </c>
      <c r="DU104" s="228">
        <v>90</v>
      </c>
      <c r="DV104" s="228">
        <v>0.51</v>
      </c>
      <c r="DW104" s="228">
        <v>0.62</v>
      </c>
      <c r="DX104" s="228">
        <v>-0.11</v>
      </c>
      <c r="DY104" s="229">
        <v>-0.1774</v>
      </c>
      <c r="DZ104" s="229">
        <v>0.10589999999999999</v>
      </c>
      <c r="EA104" s="230">
        <v>5509425</v>
      </c>
      <c r="EB104" s="229">
        <v>-6.1999999999999998E-3</v>
      </c>
      <c r="EC104" s="229">
        <v>0.10589999999999999</v>
      </c>
      <c r="ED104" s="228">
        <v>-0.72</v>
      </c>
      <c r="EE104" s="229">
        <v>-6.8999999999999999E-3</v>
      </c>
      <c r="EF104" s="230">
        <v>3303441</v>
      </c>
      <c r="EG104" s="230">
        <v>2489446</v>
      </c>
      <c r="EH104" s="229">
        <v>0.32700000000000001</v>
      </c>
      <c r="EI104" s="229">
        <v>0.28310000000000002</v>
      </c>
      <c r="EJ104" s="231">
        <v>14636.2</v>
      </c>
      <c r="EK104" s="231">
        <v>6870.7</v>
      </c>
      <c r="EL104" s="231">
        <v>5665.65</v>
      </c>
      <c r="EM104" s="231">
        <v>4979</v>
      </c>
      <c r="EN104" s="231">
        <v>27172.55</v>
      </c>
      <c r="EO104" s="231">
        <v>28176.34</v>
      </c>
      <c r="EP104" s="231">
        <v>-1003.79</v>
      </c>
      <c r="EQ104" s="229">
        <v>-3.56E-2</v>
      </c>
      <c r="ER104" s="231">
        <v>28504</v>
      </c>
      <c r="ES104" s="231">
        <v>21151</v>
      </c>
      <c r="ET104" s="231">
        <v>55763</v>
      </c>
      <c r="EU104" s="231">
        <v>267310350</v>
      </c>
      <c r="EV104" s="231">
        <v>105418</v>
      </c>
      <c r="EW104" s="231">
        <v>102357</v>
      </c>
      <c r="EX104" s="231">
        <v>3061</v>
      </c>
      <c r="EY104" s="229">
        <v>2.9899999999999999E-2</v>
      </c>
      <c r="EZ104" s="229">
        <v>0.37340000000000001</v>
      </c>
      <c r="FA104" s="227" t="s">
        <v>555</v>
      </c>
      <c r="FB104" s="161">
        <f t="shared" si="1"/>
        <v>5633025</v>
      </c>
    </row>
    <row r="105" spans="1:158" ht="17.25" thickBot="1" x14ac:dyDescent="0.3">
      <c r="A105" s="226">
        <v>46146</v>
      </c>
      <c r="B105" s="227" t="s">
        <v>168</v>
      </c>
      <c r="C105" s="227" t="s">
        <v>242</v>
      </c>
      <c r="D105" s="228">
        <v>1600</v>
      </c>
      <c r="E105" s="228">
        <v>312.60000000000002</v>
      </c>
      <c r="F105" s="228">
        <v>315.75</v>
      </c>
      <c r="G105" s="228">
        <v>-3.15</v>
      </c>
      <c r="H105" s="229">
        <v>-0.01</v>
      </c>
      <c r="I105" s="228">
        <v>311.10000000000002</v>
      </c>
      <c r="J105" s="228">
        <v>314.89999999999998</v>
      </c>
      <c r="K105" s="228">
        <v>-3.8</v>
      </c>
      <c r="L105" s="229">
        <v>-1.21E-2</v>
      </c>
      <c r="M105" s="228">
        <v>312.60000000000002</v>
      </c>
      <c r="N105" s="228">
        <v>315.75</v>
      </c>
      <c r="O105" s="228">
        <v>-3.15</v>
      </c>
      <c r="P105" s="229">
        <v>-0.01</v>
      </c>
      <c r="Q105" s="228">
        <v>314.5</v>
      </c>
      <c r="R105" s="228">
        <v>317.95</v>
      </c>
      <c r="S105" s="228">
        <v>-3.45</v>
      </c>
      <c r="T105" s="229">
        <v>-1.09E-2</v>
      </c>
      <c r="U105" s="228">
        <v>315.95</v>
      </c>
      <c r="V105" s="228">
        <v>319.39999999999998</v>
      </c>
      <c r="W105" s="228">
        <v>-3.45</v>
      </c>
      <c r="X105" s="229">
        <v>-1.0800000000000001E-2</v>
      </c>
      <c r="Y105" s="228">
        <v>1.5</v>
      </c>
      <c r="Z105" s="228">
        <v>0.85</v>
      </c>
      <c r="AA105" s="228">
        <v>0.65</v>
      </c>
      <c r="AB105" s="229">
        <v>4.7999999999999996E-3</v>
      </c>
      <c r="AC105" s="228">
        <v>1.5</v>
      </c>
      <c r="AD105" s="228">
        <v>0.85</v>
      </c>
      <c r="AE105" s="228">
        <v>0.65</v>
      </c>
      <c r="AF105" s="229">
        <v>4.7999999999999996E-3</v>
      </c>
      <c r="AG105" s="228">
        <v>3.4</v>
      </c>
      <c r="AH105" s="228">
        <v>3.05</v>
      </c>
      <c r="AI105" s="228">
        <v>0.35</v>
      </c>
      <c r="AJ105" s="229">
        <v>1.09E-2</v>
      </c>
      <c r="AK105" s="228">
        <v>4.8499999999999996</v>
      </c>
      <c r="AL105" s="228">
        <v>4.5</v>
      </c>
      <c r="AM105" s="228">
        <v>0.35</v>
      </c>
      <c r="AN105" s="229">
        <v>1.5599999999999999E-2</v>
      </c>
      <c r="AO105" s="228">
        <v>314.88</v>
      </c>
      <c r="AP105" s="228">
        <v>316.88</v>
      </c>
      <c r="AQ105" s="228">
        <v>0</v>
      </c>
      <c r="AR105" s="230">
        <v>20025600</v>
      </c>
      <c r="AS105" s="230">
        <v>19436800</v>
      </c>
      <c r="AT105" s="230">
        <v>588800</v>
      </c>
      <c r="AU105" s="229">
        <v>3.0300000000000001E-2</v>
      </c>
      <c r="AV105" s="230">
        <v>17521600</v>
      </c>
      <c r="AW105" s="230">
        <v>18147200</v>
      </c>
      <c r="AX105" s="230">
        <v>-625600</v>
      </c>
      <c r="AY105" s="229">
        <v>-3.4500000000000003E-2</v>
      </c>
      <c r="AZ105" s="230">
        <v>2262400</v>
      </c>
      <c r="BA105" s="230">
        <v>1004800</v>
      </c>
      <c r="BB105" s="230">
        <v>1257600</v>
      </c>
      <c r="BC105" s="229">
        <v>1.2516</v>
      </c>
      <c r="BD105" s="230">
        <v>241600</v>
      </c>
      <c r="BE105" s="230">
        <v>284800</v>
      </c>
      <c r="BF105" s="230">
        <v>-43200</v>
      </c>
      <c r="BG105" s="229">
        <v>-0.1517</v>
      </c>
      <c r="BH105" s="230">
        <v>146403200</v>
      </c>
      <c r="BI105" s="230">
        <v>115508800</v>
      </c>
      <c r="BJ105" s="230">
        <v>30894400</v>
      </c>
      <c r="BK105" s="229">
        <v>0.26750000000000002</v>
      </c>
      <c r="BL105" s="230">
        <v>40241600</v>
      </c>
      <c r="BM105" s="230">
        <v>40848000</v>
      </c>
      <c r="BN105" s="230">
        <v>-606400</v>
      </c>
      <c r="BO105" s="229">
        <v>-1.4800000000000001E-2</v>
      </c>
      <c r="BP105" s="230">
        <v>206670400</v>
      </c>
      <c r="BQ105" s="230">
        <v>175793600</v>
      </c>
      <c r="BR105" s="230">
        <v>30876800</v>
      </c>
      <c r="BS105" s="229">
        <v>0.17560000000000001</v>
      </c>
      <c r="BT105" s="230">
        <v>21543954</v>
      </c>
      <c r="BU105" s="230">
        <v>12275887</v>
      </c>
      <c r="BV105" s="230">
        <v>9268067</v>
      </c>
      <c r="BW105" s="229">
        <v>0.755</v>
      </c>
      <c r="BX105" s="230">
        <v>175454400</v>
      </c>
      <c r="BY105" s="230">
        <v>173678725</v>
      </c>
      <c r="BZ105" s="230">
        <v>1775675</v>
      </c>
      <c r="CA105" s="229">
        <v>1.0200000000000001E-2</v>
      </c>
      <c r="CB105" s="230">
        <v>154499200</v>
      </c>
      <c r="CC105" s="230">
        <v>154038400</v>
      </c>
      <c r="CD105" s="230">
        <v>460800</v>
      </c>
      <c r="CE105" s="229">
        <v>3.0000000000000001E-3</v>
      </c>
      <c r="CF105" s="230">
        <v>20403200</v>
      </c>
      <c r="CG105" s="230">
        <v>19238400</v>
      </c>
      <c r="CH105" s="230">
        <v>1164800</v>
      </c>
      <c r="CI105" s="229">
        <v>6.0499999999999998E-2</v>
      </c>
      <c r="CJ105" s="230">
        <v>552000</v>
      </c>
      <c r="CK105" s="230">
        <v>401925</v>
      </c>
      <c r="CL105" s="230">
        <v>150075</v>
      </c>
      <c r="CM105" s="229">
        <v>0.37340000000000001</v>
      </c>
      <c r="CN105" s="230">
        <v>87576250</v>
      </c>
      <c r="CO105" s="230">
        <v>68892800</v>
      </c>
      <c r="CP105" s="230">
        <v>18683450</v>
      </c>
      <c r="CQ105" s="229">
        <v>0.2712</v>
      </c>
      <c r="CR105" s="230">
        <v>37388800</v>
      </c>
      <c r="CS105" s="230">
        <v>38784000</v>
      </c>
      <c r="CT105" s="230">
        <v>-1395200</v>
      </c>
      <c r="CU105" s="229">
        <v>-3.5999999999999997E-2</v>
      </c>
      <c r="CV105" s="230">
        <v>300419450</v>
      </c>
      <c r="CW105" s="230">
        <v>281355525</v>
      </c>
      <c r="CX105" s="230">
        <v>19063925</v>
      </c>
      <c r="CY105" s="229">
        <v>6.7799999999999999E-2</v>
      </c>
      <c r="CZ105" s="228">
        <v>22.31</v>
      </c>
      <c r="DA105" s="228">
        <v>22.21</v>
      </c>
      <c r="DB105" s="228">
        <v>0.1</v>
      </c>
      <c r="DC105" s="228">
        <v>0.1</v>
      </c>
      <c r="DD105" s="228">
        <v>24.7</v>
      </c>
      <c r="DE105" s="228">
        <v>24.7</v>
      </c>
      <c r="DF105" s="228">
        <v>-2.39</v>
      </c>
      <c r="DG105" s="228">
        <v>0</v>
      </c>
      <c r="DH105" s="228">
        <v>22.34</v>
      </c>
      <c r="DI105" s="228">
        <v>22.25</v>
      </c>
      <c r="DJ105" s="228">
        <v>0.09</v>
      </c>
      <c r="DK105" s="228">
        <v>0.09</v>
      </c>
      <c r="DL105" s="228">
        <v>22.21</v>
      </c>
      <c r="DM105" s="228">
        <v>22.1</v>
      </c>
      <c r="DN105" s="228">
        <v>0.11</v>
      </c>
      <c r="DO105" s="228">
        <v>0.11</v>
      </c>
      <c r="DP105" s="228">
        <v>0.43</v>
      </c>
      <c r="DQ105" s="228">
        <v>0.56000000000000005</v>
      </c>
      <c r="DR105" s="228">
        <v>-0.13</v>
      </c>
      <c r="DS105" s="229">
        <v>-0.2321</v>
      </c>
      <c r="DT105" s="228">
        <v>320</v>
      </c>
      <c r="DU105" s="228">
        <v>290</v>
      </c>
      <c r="DV105" s="228">
        <v>0.27</v>
      </c>
      <c r="DW105" s="228">
        <v>0.35</v>
      </c>
      <c r="DX105" s="228">
        <v>-0.08</v>
      </c>
      <c r="DY105" s="229">
        <v>-0.2286</v>
      </c>
      <c r="DZ105" s="229">
        <v>0.11940000000000001</v>
      </c>
      <c r="EA105" s="230">
        <v>19640325</v>
      </c>
      <c r="EB105" s="229">
        <v>6.1000000000000004E-3</v>
      </c>
      <c r="EC105" s="229">
        <v>0.11940000000000001</v>
      </c>
      <c r="ED105" s="228">
        <v>2</v>
      </c>
      <c r="EE105" s="229">
        <v>6.4000000000000003E-3</v>
      </c>
      <c r="EF105" s="230">
        <v>12474144</v>
      </c>
      <c r="EG105" s="230">
        <v>5578160</v>
      </c>
      <c r="EH105" s="229">
        <v>1.2362</v>
      </c>
      <c r="EI105" s="229">
        <v>0.57899999999999996</v>
      </c>
      <c r="EJ105" s="231">
        <v>486433.72</v>
      </c>
      <c r="EK105" s="231">
        <v>125952.85</v>
      </c>
      <c r="EL105" s="231">
        <v>63170.75</v>
      </c>
      <c r="EM105" s="231">
        <v>39450</v>
      </c>
      <c r="EN105" s="231">
        <v>675557.32</v>
      </c>
      <c r="EO105" s="231">
        <v>575815.32999999996</v>
      </c>
      <c r="EP105" s="231">
        <v>99741.99</v>
      </c>
      <c r="EQ105" s="229">
        <v>0.17319999999999999</v>
      </c>
      <c r="ER105" s="231">
        <v>285720</v>
      </c>
      <c r="ES105" s="231">
        <v>115340</v>
      </c>
      <c r="ET105" s="231">
        <v>548877</v>
      </c>
      <c r="EU105" s="231">
        <v>1317896781</v>
      </c>
      <c r="EV105" s="231">
        <v>949937</v>
      </c>
      <c r="EW105" s="231">
        <v>893153</v>
      </c>
      <c r="EX105" s="231">
        <v>56784</v>
      </c>
      <c r="EY105" s="229">
        <v>6.3600000000000004E-2</v>
      </c>
      <c r="EZ105" s="229">
        <v>0.22800000000000001</v>
      </c>
      <c r="FA105" s="227" t="s">
        <v>566</v>
      </c>
      <c r="FB105" s="161">
        <f t="shared" si="1"/>
        <v>20955200</v>
      </c>
    </row>
    <row r="106" spans="1:158" ht="17.25" thickBot="1" x14ac:dyDescent="0.3">
      <c r="A106" s="226">
        <v>46146</v>
      </c>
      <c r="B106" s="227" t="s">
        <v>227</v>
      </c>
      <c r="C106" s="227" t="s">
        <v>243</v>
      </c>
      <c r="D106" s="228">
        <v>625</v>
      </c>
      <c r="E106" s="231">
        <v>1269.4000000000001</v>
      </c>
      <c r="F106" s="231">
        <v>1232.5999999999999</v>
      </c>
      <c r="G106" s="228">
        <v>36.799999999999997</v>
      </c>
      <c r="H106" s="229">
        <v>2.9899999999999999E-2</v>
      </c>
      <c r="I106" s="231">
        <v>1261.4000000000001</v>
      </c>
      <c r="J106" s="231">
        <v>1223.0999999999999</v>
      </c>
      <c r="K106" s="228">
        <v>38.299999999999997</v>
      </c>
      <c r="L106" s="229">
        <v>3.1300000000000001E-2</v>
      </c>
      <c r="M106" s="231">
        <v>1269.4000000000001</v>
      </c>
      <c r="N106" s="231">
        <v>1232.5999999999999</v>
      </c>
      <c r="O106" s="228">
        <v>36.799999999999997</v>
      </c>
      <c r="P106" s="229">
        <v>2.9899999999999999E-2</v>
      </c>
      <c r="Q106" s="231">
        <v>1277.3</v>
      </c>
      <c r="R106" s="231">
        <v>1238.8</v>
      </c>
      <c r="S106" s="228">
        <v>38.5</v>
      </c>
      <c r="T106" s="229">
        <v>3.1099999999999999E-2</v>
      </c>
      <c r="U106" s="231">
        <v>1272.2</v>
      </c>
      <c r="V106" s="231">
        <v>1236</v>
      </c>
      <c r="W106" s="228">
        <v>36.200000000000003</v>
      </c>
      <c r="X106" s="229">
        <v>2.93E-2</v>
      </c>
      <c r="Y106" s="228">
        <v>8</v>
      </c>
      <c r="Z106" s="228">
        <v>9.5</v>
      </c>
      <c r="AA106" s="228">
        <v>-1.5</v>
      </c>
      <c r="AB106" s="229">
        <v>6.3E-3</v>
      </c>
      <c r="AC106" s="228">
        <v>8</v>
      </c>
      <c r="AD106" s="228">
        <v>9.5</v>
      </c>
      <c r="AE106" s="228">
        <v>-1.5</v>
      </c>
      <c r="AF106" s="229">
        <v>6.3E-3</v>
      </c>
      <c r="AG106" s="228">
        <v>15.9</v>
      </c>
      <c r="AH106" s="228">
        <v>15.7</v>
      </c>
      <c r="AI106" s="228">
        <v>0.2</v>
      </c>
      <c r="AJ106" s="229">
        <v>1.26E-2</v>
      </c>
      <c r="AK106" s="228">
        <v>10.8</v>
      </c>
      <c r="AL106" s="228">
        <v>12.9</v>
      </c>
      <c r="AM106" s="228">
        <v>-2.1</v>
      </c>
      <c r="AN106" s="229">
        <v>8.6E-3</v>
      </c>
      <c r="AO106" s="231">
        <v>1268.92</v>
      </c>
      <c r="AP106" s="231">
        <v>1277.04</v>
      </c>
      <c r="AQ106" s="228">
        <v>0</v>
      </c>
      <c r="AR106" s="230">
        <v>4894375</v>
      </c>
      <c r="AS106" s="230">
        <v>3167500</v>
      </c>
      <c r="AT106" s="230">
        <v>1726875</v>
      </c>
      <c r="AU106" s="229">
        <v>0.54520000000000002</v>
      </c>
      <c r="AV106" s="230">
        <v>4798750</v>
      </c>
      <c r="AW106" s="230">
        <v>3107500</v>
      </c>
      <c r="AX106" s="230">
        <v>1691250</v>
      </c>
      <c r="AY106" s="229">
        <v>0.54420000000000002</v>
      </c>
      <c r="AZ106" s="230">
        <v>83750</v>
      </c>
      <c r="BA106" s="230">
        <v>57500</v>
      </c>
      <c r="BB106" s="230">
        <v>26250</v>
      </c>
      <c r="BC106" s="229">
        <v>0.45650000000000002</v>
      </c>
      <c r="BD106" s="230">
        <v>11875</v>
      </c>
      <c r="BE106" s="230">
        <v>2500</v>
      </c>
      <c r="BF106" s="230">
        <v>9375</v>
      </c>
      <c r="BG106" s="229">
        <v>3.75</v>
      </c>
      <c r="BH106" s="230">
        <v>12200000</v>
      </c>
      <c r="BI106" s="230">
        <v>4048125</v>
      </c>
      <c r="BJ106" s="230">
        <v>8151875</v>
      </c>
      <c r="BK106" s="229">
        <v>2.0137</v>
      </c>
      <c r="BL106" s="230">
        <v>7043125</v>
      </c>
      <c r="BM106" s="230">
        <v>3230000</v>
      </c>
      <c r="BN106" s="230">
        <v>3813125</v>
      </c>
      <c r="BO106" s="229">
        <v>1.1805000000000001</v>
      </c>
      <c r="BP106" s="230">
        <v>24137500</v>
      </c>
      <c r="BQ106" s="230">
        <v>10445625</v>
      </c>
      <c r="BR106" s="230">
        <v>13691875</v>
      </c>
      <c r="BS106" s="229">
        <v>1.3108</v>
      </c>
      <c r="BT106" s="230">
        <v>4415989</v>
      </c>
      <c r="BU106" s="230">
        <v>914095</v>
      </c>
      <c r="BV106" s="230">
        <v>3501894</v>
      </c>
      <c r="BW106" s="229">
        <v>3.831</v>
      </c>
      <c r="BX106" s="230">
        <v>12855625</v>
      </c>
      <c r="BY106" s="230">
        <v>12984375</v>
      </c>
      <c r="BZ106" s="230">
        <v>-128750</v>
      </c>
      <c r="CA106" s="229">
        <v>-9.9000000000000008E-3</v>
      </c>
      <c r="CB106" s="230">
        <v>12771250</v>
      </c>
      <c r="CC106" s="230">
        <v>12903750</v>
      </c>
      <c r="CD106" s="230">
        <v>-132500</v>
      </c>
      <c r="CE106" s="229">
        <v>-1.03E-2</v>
      </c>
      <c r="CF106" s="230">
        <v>77500</v>
      </c>
      <c r="CG106" s="230">
        <v>78125</v>
      </c>
      <c r="CH106" s="228">
        <v>-625</v>
      </c>
      <c r="CI106" s="229">
        <v>-8.0000000000000002E-3</v>
      </c>
      <c r="CJ106" s="230">
        <v>6875</v>
      </c>
      <c r="CK106" s="230">
        <v>2500</v>
      </c>
      <c r="CL106" s="230">
        <v>4375</v>
      </c>
      <c r="CM106" s="229">
        <v>1.75</v>
      </c>
      <c r="CN106" s="230">
        <v>2906875</v>
      </c>
      <c r="CO106" s="230">
        <v>2334375</v>
      </c>
      <c r="CP106" s="230">
        <v>572500</v>
      </c>
      <c r="CQ106" s="229">
        <v>0.2452</v>
      </c>
      <c r="CR106" s="230">
        <v>2391875</v>
      </c>
      <c r="CS106" s="230">
        <v>2228125</v>
      </c>
      <c r="CT106" s="230">
        <v>163750</v>
      </c>
      <c r="CU106" s="229">
        <v>7.3499999999999996E-2</v>
      </c>
      <c r="CV106" s="230">
        <v>18154375</v>
      </c>
      <c r="CW106" s="230">
        <v>17546875</v>
      </c>
      <c r="CX106" s="230">
        <v>607500</v>
      </c>
      <c r="CY106" s="229">
        <v>3.4599999999999999E-2</v>
      </c>
      <c r="CZ106" s="228">
        <v>29.86</v>
      </c>
      <c r="DA106" s="228">
        <v>33.29</v>
      </c>
      <c r="DB106" s="228">
        <v>-3.43</v>
      </c>
      <c r="DC106" s="228">
        <v>-3.43</v>
      </c>
      <c r="DD106" s="228">
        <v>37.83</v>
      </c>
      <c r="DE106" s="228">
        <v>37.69</v>
      </c>
      <c r="DF106" s="228">
        <v>-7.97</v>
      </c>
      <c r="DG106" s="228">
        <v>0.14000000000000001</v>
      </c>
      <c r="DH106" s="228">
        <v>29.41</v>
      </c>
      <c r="DI106" s="228">
        <v>32.67</v>
      </c>
      <c r="DJ106" s="228">
        <v>-3.26</v>
      </c>
      <c r="DK106" s="228">
        <v>-3.26</v>
      </c>
      <c r="DL106" s="228">
        <v>30.64</v>
      </c>
      <c r="DM106" s="228">
        <v>34.06</v>
      </c>
      <c r="DN106" s="228">
        <v>-3.42</v>
      </c>
      <c r="DO106" s="228">
        <v>-3.42</v>
      </c>
      <c r="DP106" s="228">
        <v>0.82</v>
      </c>
      <c r="DQ106" s="228">
        <v>0.95</v>
      </c>
      <c r="DR106" s="228">
        <v>-0.13</v>
      </c>
      <c r="DS106" s="229">
        <v>-0.1368</v>
      </c>
      <c r="DT106" s="231">
        <v>1300</v>
      </c>
      <c r="DU106" s="231">
        <v>1200</v>
      </c>
      <c r="DV106" s="228">
        <v>0.57999999999999996</v>
      </c>
      <c r="DW106" s="228">
        <v>0.8</v>
      </c>
      <c r="DX106" s="228">
        <v>-0.22</v>
      </c>
      <c r="DY106" s="229">
        <v>-0.27500000000000002</v>
      </c>
      <c r="DZ106" s="229">
        <v>6.6E-3</v>
      </c>
      <c r="EA106" s="230">
        <v>80625</v>
      </c>
      <c r="EB106" s="229">
        <v>6.1999999999999998E-3</v>
      </c>
      <c r="EC106" s="229">
        <v>6.6E-3</v>
      </c>
      <c r="ED106" s="228">
        <v>8.1199999999999992</v>
      </c>
      <c r="EE106" s="229">
        <v>6.4000000000000003E-3</v>
      </c>
      <c r="EF106" s="230">
        <v>2353700</v>
      </c>
      <c r="EG106" s="230">
        <v>322016</v>
      </c>
      <c r="EH106" s="229">
        <v>6.3093000000000004</v>
      </c>
      <c r="EI106" s="229">
        <v>0.53300000000000003</v>
      </c>
      <c r="EJ106" s="231">
        <v>161962.60999999999</v>
      </c>
      <c r="EK106" s="231">
        <v>88190.05</v>
      </c>
      <c r="EL106" s="231">
        <v>62113.97</v>
      </c>
      <c r="EM106" s="231">
        <v>7494</v>
      </c>
      <c r="EN106" s="231">
        <v>312266.63</v>
      </c>
      <c r="EO106" s="231">
        <v>131075.5</v>
      </c>
      <c r="EP106" s="231">
        <v>181191.13</v>
      </c>
      <c r="EQ106" s="229">
        <v>1.3823000000000001</v>
      </c>
      <c r="ER106" s="231">
        <v>38251</v>
      </c>
      <c r="ES106" s="231">
        <v>28997</v>
      </c>
      <c r="ET106" s="231">
        <v>163196</v>
      </c>
      <c r="EU106" s="231">
        <v>45844541</v>
      </c>
      <c r="EV106" s="231">
        <v>230444</v>
      </c>
      <c r="EW106" s="231">
        <v>217193</v>
      </c>
      <c r="EX106" s="231">
        <v>13251</v>
      </c>
      <c r="EY106" s="229">
        <v>6.0999999999999999E-2</v>
      </c>
      <c r="EZ106" s="229">
        <v>0.39600000000000002</v>
      </c>
      <c r="FA106" s="227" t="s">
        <v>691</v>
      </c>
      <c r="FB106" s="161">
        <f t="shared" si="1"/>
        <v>84375</v>
      </c>
    </row>
    <row r="107" spans="1:158" ht="17.25" thickBot="1" x14ac:dyDescent="0.3">
      <c r="A107" s="226">
        <v>46146</v>
      </c>
      <c r="B107" s="227" t="s">
        <v>175</v>
      </c>
      <c r="C107" s="227" t="s">
        <v>569</v>
      </c>
      <c r="D107" s="228">
        <v>2350</v>
      </c>
      <c r="E107" s="228">
        <v>254.4</v>
      </c>
      <c r="F107" s="228">
        <v>247.12</v>
      </c>
      <c r="G107" s="228">
        <v>7.28</v>
      </c>
      <c r="H107" s="229">
        <v>2.9499999999999998E-2</v>
      </c>
      <c r="I107" s="228">
        <v>252.74</v>
      </c>
      <c r="J107" s="228">
        <v>246.37</v>
      </c>
      <c r="K107" s="228">
        <v>6.37</v>
      </c>
      <c r="L107" s="229">
        <v>2.5899999999999999E-2</v>
      </c>
      <c r="M107" s="228">
        <v>254.4</v>
      </c>
      <c r="N107" s="228">
        <v>247.12</v>
      </c>
      <c r="O107" s="228">
        <v>7.28</v>
      </c>
      <c r="P107" s="229">
        <v>2.9499999999999998E-2</v>
      </c>
      <c r="Q107" s="228">
        <v>256.05</v>
      </c>
      <c r="R107" s="228">
        <v>248.86</v>
      </c>
      <c r="S107" s="228">
        <v>7.19</v>
      </c>
      <c r="T107" s="229">
        <v>2.8899999999999999E-2</v>
      </c>
      <c r="U107" s="228">
        <v>257.39999999999998</v>
      </c>
      <c r="V107" s="228">
        <v>250.28</v>
      </c>
      <c r="W107" s="228">
        <v>7.12</v>
      </c>
      <c r="X107" s="229">
        <v>2.8400000000000002E-2</v>
      </c>
      <c r="Y107" s="228">
        <v>1.66</v>
      </c>
      <c r="Z107" s="228">
        <v>0.75</v>
      </c>
      <c r="AA107" s="228">
        <v>0.91</v>
      </c>
      <c r="AB107" s="229">
        <v>6.6E-3</v>
      </c>
      <c r="AC107" s="228">
        <v>1.66</v>
      </c>
      <c r="AD107" s="228">
        <v>0.75</v>
      </c>
      <c r="AE107" s="228">
        <v>0.91</v>
      </c>
      <c r="AF107" s="229">
        <v>6.6E-3</v>
      </c>
      <c r="AG107" s="228">
        <v>3.31</v>
      </c>
      <c r="AH107" s="228">
        <v>2.4900000000000002</v>
      </c>
      <c r="AI107" s="228">
        <v>0.82</v>
      </c>
      <c r="AJ107" s="229">
        <v>1.3100000000000001E-2</v>
      </c>
      <c r="AK107" s="228">
        <v>4.66</v>
      </c>
      <c r="AL107" s="228">
        <v>3.91</v>
      </c>
      <c r="AM107" s="228">
        <v>0.75</v>
      </c>
      <c r="AN107" s="229">
        <v>1.84E-2</v>
      </c>
      <c r="AO107" s="228">
        <v>252.6</v>
      </c>
      <c r="AP107" s="228">
        <v>254.19</v>
      </c>
      <c r="AQ107" s="228">
        <v>0</v>
      </c>
      <c r="AR107" s="230">
        <v>25102700</v>
      </c>
      <c r="AS107" s="230">
        <v>23267350</v>
      </c>
      <c r="AT107" s="230">
        <v>1835350</v>
      </c>
      <c r="AU107" s="229">
        <v>7.8899999999999998E-2</v>
      </c>
      <c r="AV107" s="230">
        <v>22068850</v>
      </c>
      <c r="AW107" s="230">
        <v>21133550</v>
      </c>
      <c r="AX107" s="230">
        <v>935300</v>
      </c>
      <c r="AY107" s="229">
        <v>4.4299999999999999E-2</v>
      </c>
      <c r="AZ107" s="230">
        <v>2721300</v>
      </c>
      <c r="BA107" s="230">
        <v>1889400</v>
      </c>
      <c r="BB107" s="230">
        <v>831900</v>
      </c>
      <c r="BC107" s="229">
        <v>0.44030000000000002</v>
      </c>
      <c r="BD107" s="230">
        <v>312550</v>
      </c>
      <c r="BE107" s="230">
        <v>244400</v>
      </c>
      <c r="BF107" s="230">
        <v>68150</v>
      </c>
      <c r="BG107" s="229">
        <v>0.27879999999999999</v>
      </c>
      <c r="BH107" s="230">
        <v>51573100</v>
      </c>
      <c r="BI107" s="230">
        <v>54461250</v>
      </c>
      <c r="BJ107" s="230">
        <v>-2888150</v>
      </c>
      <c r="BK107" s="229">
        <v>-5.2999999999999999E-2</v>
      </c>
      <c r="BL107" s="230">
        <v>24700850</v>
      </c>
      <c r="BM107" s="230">
        <v>23746750</v>
      </c>
      <c r="BN107" s="230">
        <v>954100</v>
      </c>
      <c r="BO107" s="229">
        <v>4.02E-2</v>
      </c>
      <c r="BP107" s="230">
        <v>101376650</v>
      </c>
      <c r="BQ107" s="230">
        <v>101475350</v>
      </c>
      <c r="BR107" s="230">
        <v>-98700</v>
      </c>
      <c r="BS107" s="229">
        <v>-1E-3</v>
      </c>
      <c r="BT107" s="230">
        <v>19507567</v>
      </c>
      <c r="BU107" s="230">
        <v>21477995</v>
      </c>
      <c r="BV107" s="230">
        <v>-1970428</v>
      </c>
      <c r="BW107" s="229">
        <v>-9.1700000000000004E-2</v>
      </c>
      <c r="BX107" s="230">
        <v>199503250</v>
      </c>
      <c r="BY107" s="230">
        <v>200621850</v>
      </c>
      <c r="BZ107" s="230">
        <v>-1118600</v>
      </c>
      <c r="CA107" s="229">
        <v>-5.5999999999999999E-3</v>
      </c>
      <c r="CB107" s="230">
        <v>179062950</v>
      </c>
      <c r="CC107" s="230">
        <v>181429400</v>
      </c>
      <c r="CD107" s="230">
        <v>-2366450</v>
      </c>
      <c r="CE107" s="229">
        <v>-1.2999999999999999E-2</v>
      </c>
      <c r="CF107" s="230">
        <v>19986750</v>
      </c>
      <c r="CG107" s="230">
        <v>18828200</v>
      </c>
      <c r="CH107" s="230">
        <v>1158550</v>
      </c>
      <c r="CI107" s="229">
        <v>6.1499999999999999E-2</v>
      </c>
      <c r="CJ107" s="230">
        <v>453550</v>
      </c>
      <c r="CK107" s="230">
        <v>364250</v>
      </c>
      <c r="CL107" s="230">
        <v>89300</v>
      </c>
      <c r="CM107" s="229">
        <v>0.2452</v>
      </c>
      <c r="CN107" s="230">
        <v>55779600</v>
      </c>
      <c r="CO107" s="230">
        <v>54785550</v>
      </c>
      <c r="CP107" s="230">
        <v>994050</v>
      </c>
      <c r="CQ107" s="229">
        <v>1.8100000000000002E-2</v>
      </c>
      <c r="CR107" s="230">
        <v>37825600</v>
      </c>
      <c r="CS107" s="230">
        <v>36293400</v>
      </c>
      <c r="CT107" s="230">
        <v>1532200</v>
      </c>
      <c r="CU107" s="229">
        <v>4.2200000000000001E-2</v>
      </c>
      <c r="CV107" s="230">
        <v>293108450</v>
      </c>
      <c r="CW107" s="230">
        <v>291700800</v>
      </c>
      <c r="CX107" s="230">
        <v>1407650</v>
      </c>
      <c r="CY107" s="229">
        <v>4.7999999999999996E-3</v>
      </c>
      <c r="CZ107" s="228">
        <v>36.159999999999997</v>
      </c>
      <c r="DA107" s="228">
        <v>36.4</v>
      </c>
      <c r="DB107" s="228">
        <v>-0.24</v>
      </c>
      <c r="DC107" s="228">
        <v>-0.24</v>
      </c>
      <c r="DD107" s="228">
        <v>37.83</v>
      </c>
      <c r="DE107" s="228">
        <v>37.72</v>
      </c>
      <c r="DF107" s="228">
        <v>-1.67</v>
      </c>
      <c r="DG107" s="228">
        <v>0.11</v>
      </c>
      <c r="DH107" s="228">
        <v>36.01</v>
      </c>
      <c r="DI107" s="228">
        <v>36.72</v>
      </c>
      <c r="DJ107" s="228">
        <v>-0.71</v>
      </c>
      <c r="DK107" s="228">
        <v>-0.71</v>
      </c>
      <c r="DL107" s="228">
        <v>36.479999999999997</v>
      </c>
      <c r="DM107" s="228">
        <v>35.67</v>
      </c>
      <c r="DN107" s="228">
        <v>0.81</v>
      </c>
      <c r="DO107" s="228">
        <v>0.81</v>
      </c>
      <c r="DP107" s="228">
        <v>0.68</v>
      </c>
      <c r="DQ107" s="228">
        <v>0.66</v>
      </c>
      <c r="DR107" s="228">
        <v>0.02</v>
      </c>
      <c r="DS107" s="229">
        <v>3.0300000000000001E-2</v>
      </c>
      <c r="DT107" s="228">
        <v>250</v>
      </c>
      <c r="DU107" s="228">
        <v>250</v>
      </c>
      <c r="DV107" s="228">
        <v>0.48</v>
      </c>
      <c r="DW107" s="228">
        <v>0.44</v>
      </c>
      <c r="DX107" s="228">
        <v>0.04</v>
      </c>
      <c r="DY107" s="229">
        <v>9.0899999999999995E-2</v>
      </c>
      <c r="DZ107" s="229">
        <v>0.10249999999999999</v>
      </c>
      <c r="EA107" s="230">
        <v>19192450</v>
      </c>
      <c r="EB107" s="229">
        <v>6.4999999999999997E-3</v>
      </c>
      <c r="EC107" s="229">
        <v>0.10249999999999999</v>
      </c>
      <c r="ED107" s="228">
        <v>1.59</v>
      </c>
      <c r="EE107" s="229">
        <v>6.3E-3</v>
      </c>
      <c r="EF107" s="230">
        <v>8474598</v>
      </c>
      <c r="EG107" s="230">
        <v>8055540</v>
      </c>
      <c r="EH107" s="229">
        <v>5.1999999999999998E-2</v>
      </c>
      <c r="EI107" s="229">
        <v>0.43440000000000001</v>
      </c>
      <c r="EJ107" s="231">
        <v>138193.06</v>
      </c>
      <c r="EK107" s="231">
        <v>60729.23</v>
      </c>
      <c r="EL107" s="231">
        <v>63460.39</v>
      </c>
      <c r="EM107" s="231">
        <v>24528</v>
      </c>
      <c r="EN107" s="231">
        <v>262382.68</v>
      </c>
      <c r="EO107" s="231">
        <v>259770.72</v>
      </c>
      <c r="EP107" s="231">
        <v>2611.96</v>
      </c>
      <c r="EQ107" s="229">
        <v>1.01E-2</v>
      </c>
      <c r="ER107" s="231">
        <v>147107</v>
      </c>
      <c r="ES107" s="231">
        <v>94320</v>
      </c>
      <c r="ET107" s="231">
        <v>507880</v>
      </c>
      <c r="EU107" s="231">
        <v>490240515</v>
      </c>
      <c r="EV107" s="231">
        <v>749307</v>
      </c>
      <c r="EW107" s="231">
        <v>730813</v>
      </c>
      <c r="EX107" s="231">
        <v>18494</v>
      </c>
      <c r="EY107" s="229">
        <v>2.53E-2</v>
      </c>
      <c r="EZ107" s="229">
        <v>0.59789999999999999</v>
      </c>
      <c r="FA107" s="227" t="s">
        <v>691</v>
      </c>
      <c r="FB107" s="161">
        <f t="shared" si="1"/>
        <v>20440300</v>
      </c>
    </row>
    <row r="108" spans="1:158" ht="17.25" thickBot="1" x14ac:dyDescent="0.3">
      <c r="A108" s="226">
        <v>46146</v>
      </c>
      <c r="B108" s="227" t="s">
        <v>161</v>
      </c>
      <c r="C108" s="227" t="s">
        <v>579</v>
      </c>
      <c r="D108" s="228">
        <v>1000</v>
      </c>
      <c r="E108" s="228">
        <v>564.45000000000005</v>
      </c>
      <c r="F108" s="228">
        <v>563.9</v>
      </c>
      <c r="G108" s="228">
        <v>0.55000000000000004</v>
      </c>
      <c r="H108" s="229">
        <v>1E-3</v>
      </c>
      <c r="I108" s="228">
        <v>562.29999999999995</v>
      </c>
      <c r="J108" s="228">
        <v>561.15</v>
      </c>
      <c r="K108" s="228">
        <v>1.1499999999999999</v>
      </c>
      <c r="L108" s="229">
        <v>2E-3</v>
      </c>
      <c r="M108" s="228">
        <v>564.45000000000005</v>
      </c>
      <c r="N108" s="228">
        <v>563.9</v>
      </c>
      <c r="O108" s="228">
        <v>0.55000000000000004</v>
      </c>
      <c r="P108" s="229">
        <v>1E-3</v>
      </c>
      <c r="Q108" s="228">
        <v>566.95000000000005</v>
      </c>
      <c r="R108" s="228">
        <v>565.70000000000005</v>
      </c>
      <c r="S108" s="228">
        <v>1.25</v>
      </c>
      <c r="T108" s="229">
        <v>2.2000000000000001E-3</v>
      </c>
      <c r="U108" s="228">
        <v>567.9</v>
      </c>
      <c r="V108" s="228">
        <v>568.75</v>
      </c>
      <c r="W108" s="228">
        <v>-0.85</v>
      </c>
      <c r="X108" s="229">
        <v>-1.5E-3</v>
      </c>
      <c r="Y108" s="228">
        <v>2.15</v>
      </c>
      <c r="Z108" s="228">
        <v>2.75</v>
      </c>
      <c r="AA108" s="228">
        <v>-0.6</v>
      </c>
      <c r="AB108" s="229">
        <v>3.8E-3</v>
      </c>
      <c r="AC108" s="228">
        <v>2.15</v>
      </c>
      <c r="AD108" s="228">
        <v>2.75</v>
      </c>
      <c r="AE108" s="228">
        <v>-0.6</v>
      </c>
      <c r="AF108" s="229">
        <v>3.8E-3</v>
      </c>
      <c r="AG108" s="228">
        <v>4.6500000000000004</v>
      </c>
      <c r="AH108" s="228">
        <v>4.55</v>
      </c>
      <c r="AI108" s="228">
        <v>0.1</v>
      </c>
      <c r="AJ108" s="229">
        <v>8.3000000000000001E-3</v>
      </c>
      <c r="AK108" s="228">
        <v>5.6</v>
      </c>
      <c r="AL108" s="228">
        <v>7.6</v>
      </c>
      <c r="AM108" s="228">
        <v>-2</v>
      </c>
      <c r="AN108" s="229">
        <v>0.01</v>
      </c>
      <c r="AO108" s="228">
        <v>561.23</v>
      </c>
      <c r="AP108" s="228">
        <v>563.79</v>
      </c>
      <c r="AQ108" s="228">
        <v>0</v>
      </c>
      <c r="AR108" s="230">
        <v>3188000</v>
      </c>
      <c r="AS108" s="230">
        <v>3016000</v>
      </c>
      <c r="AT108" s="230">
        <v>172000</v>
      </c>
      <c r="AU108" s="229">
        <v>5.7000000000000002E-2</v>
      </c>
      <c r="AV108" s="230">
        <v>3144000</v>
      </c>
      <c r="AW108" s="230">
        <v>2933000</v>
      </c>
      <c r="AX108" s="230">
        <v>211000</v>
      </c>
      <c r="AY108" s="229">
        <v>7.1900000000000006E-2</v>
      </c>
      <c r="AZ108" s="230">
        <v>42000</v>
      </c>
      <c r="BA108" s="230">
        <v>83000</v>
      </c>
      <c r="BB108" s="230">
        <v>-41000</v>
      </c>
      <c r="BC108" s="229">
        <v>-0.49399999999999999</v>
      </c>
      <c r="BD108" s="230">
        <v>2000</v>
      </c>
      <c r="BE108" s="228">
        <v>0</v>
      </c>
      <c r="BF108" s="230">
        <v>2000</v>
      </c>
      <c r="BG108" s="229">
        <v>0</v>
      </c>
      <c r="BH108" s="230">
        <v>5109000</v>
      </c>
      <c r="BI108" s="230">
        <v>4816000</v>
      </c>
      <c r="BJ108" s="230">
        <v>293000</v>
      </c>
      <c r="BK108" s="229">
        <v>6.08E-2</v>
      </c>
      <c r="BL108" s="230">
        <v>1654000</v>
      </c>
      <c r="BM108" s="230">
        <v>3056000</v>
      </c>
      <c r="BN108" s="230">
        <v>-1402000</v>
      </c>
      <c r="BO108" s="229">
        <v>-0.45879999999999999</v>
      </c>
      <c r="BP108" s="230">
        <v>9951000</v>
      </c>
      <c r="BQ108" s="230">
        <v>10888000</v>
      </c>
      <c r="BR108" s="230">
        <v>-937000</v>
      </c>
      <c r="BS108" s="229">
        <v>-8.6099999999999996E-2</v>
      </c>
      <c r="BT108" s="230">
        <v>3698902</v>
      </c>
      <c r="BU108" s="230">
        <v>1974241</v>
      </c>
      <c r="BV108" s="230">
        <v>1724661</v>
      </c>
      <c r="BW108" s="229">
        <v>0.87360000000000004</v>
      </c>
      <c r="BX108" s="230">
        <v>24424300</v>
      </c>
      <c r="BY108" s="230">
        <v>24561225</v>
      </c>
      <c r="BZ108" s="230">
        <v>-136925</v>
      </c>
      <c r="CA108" s="229">
        <v>-5.5999999999999999E-3</v>
      </c>
      <c r="CB108" s="230">
        <v>24053000</v>
      </c>
      <c r="CC108" s="230">
        <v>24194000</v>
      </c>
      <c r="CD108" s="230">
        <v>-141000</v>
      </c>
      <c r="CE108" s="229">
        <v>-5.7999999999999996E-3</v>
      </c>
      <c r="CF108" s="230">
        <v>367000</v>
      </c>
      <c r="CG108" s="230">
        <v>364000</v>
      </c>
      <c r="CH108" s="230">
        <v>3000</v>
      </c>
      <c r="CI108" s="229">
        <v>8.2000000000000007E-3</v>
      </c>
      <c r="CJ108" s="230">
        <v>4300</v>
      </c>
      <c r="CK108" s="230">
        <v>3225</v>
      </c>
      <c r="CL108" s="230">
        <v>1075</v>
      </c>
      <c r="CM108" s="229">
        <v>0.33329999999999999</v>
      </c>
      <c r="CN108" s="230">
        <v>5342000</v>
      </c>
      <c r="CO108" s="230">
        <v>5122000</v>
      </c>
      <c r="CP108" s="230">
        <v>220000</v>
      </c>
      <c r="CQ108" s="229">
        <v>4.2999999999999997E-2</v>
      </c>
      <c r="CR108" s="230">
        <v>3735000</v>
      </c>
      <c r="CS108" s="230">
        <v>3535000</v>
      </c>
      <c r="CT108" s="230">
        <v>200000</v>
      </c>
      <c r="CU108" s="229">
        <v>5.6599999999999998E-2</v>
      </c>
      <c r="CV108" s="230">
        <v>33501300</v>
      </c>
      <c r="CW108" s="230">
        <v>33218225</v>
      </c>
      <c r="CX108" s="230">
        <v>283075</v>
      </c>
      <c r="CY108" s="229">
        <v>8.5000000000000006E-3</v>
      </c>
      <c r="CZ108" s="228">
        <v>39.76</v>
      </c>
      <c r="DA108" s="228">
        <v>39.24</v>
      </c>
      <c r="DB108" s="228">
        <v>0.52</v>
      </c>
      <c r="DC108" s="228">
        <v>0.52</v>
      </c>
      <c r="DD108" s="228">
        <v>42.98</v>
      </c>
      <c r="DE108" s="228">
        <v>43.09</v>
      </c>
      <c r="DF108" s="228">
        <v>-3.22</v>
      </c>
      <c r="DG108" s="228">
        <v>-0.11</v>
      </c>
      <c r="DH108" s="228">
        <v>39.700000000000003</v>
      </c>
      <c r="DI108" s="228">
        <v>39.67</v>
      </c>
      <c r="DJ108" s="228">
        <v>0.03</v>
      </c>
      <c r="DK108" s="228">
        <v>0.03</v>
      </c>
      <c r="DL108" s="228">
        <v>39.94</v>
      </c>
      <c r="DM108" s="228">
        <v>38.549999999999997</v>
      </c>
      <c r="DN108" s="228">
        <v>1.39</v>
      </c>
      <c r="DO108" s="228">
        <v>1.39</v>
      </c>
      <c r="DP108" s="228">
        <v>0.7</v>
      </c>
      <c r="DQ108" s="228">
        <v>0.69</v>
      </c>
      <c r="DR108" s="228">
        <v>0.01</v>
      </c>
      <c r="DS108" s="229">
        <v>1.4500000000000001E-2</v>
      </c>
      <c r="DT108" s="228">
        <v>600</v>
      </c>
      <c r="DU108" s="228">
        <v>550</v>
      </c>
      <c r="DV108" s="228">
        <v>0.32</v>
      </c>
      <c r="DW108" s="228">
        <v>0.63</v>
      </c>
      <c r="DX108" s="228">
        <v>-0.31</v>
      </c>
      <c r="DY108" s="229">
        <v>-0.49209999999999998</v>
      </c>
      <c r="DZ108" s="229">
        <v>1.52E-2</v>
      </c>
      <c r="EA108" s="230">
        <v>367225</v>
      </c>
      <c r="EB108" s="229">
        <v>4.4000000000000003E-3</v>
      </c>
      <c r="EC108" s="229">
        <v>1.52E-2</v>
      </c>
      <c r="ED108" s="228">
        <v>2.56</v>
      </c>
      <c r="EE108" s="229">
        <v>4.5999999999999999E-3</v>
      </c>
      <c r="EF108" s="230">
        <v>1634479</v>
      </c>
      <c r="EG108" s="230">
        <v>638012</v>
      </c>
      <c r="EH108" s="229">
        <v>1.5618000000000001</v>
      </c>
      <c r="EI108" s="229">
        <v>0.44190000000000002</v>
      </c>
      <c r="EJ108" s="231">
        <v>31114.400000000001</v>
      </c>
      <c r="EK108" s="231">
        <v>9242.01</v>
      </c>
      <c r="EL108" s="231">
        <v>17894</v>
      </c>
      <c r="EM108" s="231">
        <v>8632</v>
      </c>
      <c r="EN108" s="231">
        <v>58250.41</v>
      </c>
      <c r="EO108" s="231">
        <v>62621.03</v>
      </c>
      <c r="EP108" s="231">
        <v>-4370.62</v>
      </c>
      <c r="EQ108" s="229">
        <v>-6.9800000000000001E-2</v>
      </c>
      <c r="ER108" s="231">
        <v>31104</v>
      </c>
      <c r="ES108" s="231">
        <v>19911</v>
      </c>
      <c r="ET108" s="231">
        <v>137872</v>
      </c>
      <c r="EU108" s="231">
        <v>75294901</v>
      </c>
      <c r="EV108" s="231">
        <v>188887</v>
      </c>
      <c r="EW108" s="231">
        <v>187173</v>
      </c>
      <c r="EX108" s="231">
        <v>1714</v>
      </c>
      <c r="EY108" s="229">
        <v>9.1999999999999998E-3</v>
      </c>
      <c r="EZ108" s="229">
        <v>0.44490000000000002</v>
      </c>
      <c r="FA108" s="227" t="s">
        <v>691</v>
      </c>
      <c r="FB108" s="161">
        <f t="shared" si="1"/>
        <v>371300</v>
      </c>
    </row>
    <row r="109" spans="1:158" ht="17.25" thickBot="1" x14ac:dyDescent="0.3">
      <c r="A109" s="226">
        <v>46146</v>
      </c>
      <c r="B109" s="227" t="s">
        <v>227</v>
      </c>
      <c r="C109" s="227" t="s">
        <v>244</v>
      </c>
      <c r="D109" s="228">
        <v>675</v>
      </c>
      <c r="E109" s="231">
        <v>1273.9000000000001</v>
      </c>
      <c r="F109" s="231">
        <v>1270.3</v>
      </c>
      <c r="G109" s="228">
        <v>3.6</v>
      </c>
      <c r="H109" s="229">
        <v>2.8E-3</v>
      </c>
      <c r="I109" s="231">
        <v>1266.5999999999999</v>
      </c>
      <c r="J109" s="231">
        <v>1264.5</v>
      </c>
      <c r="K109" s="228">
        <v>2.1</v>
      </c>
      <c r="L109" s="229">
        <v>1.6999999999999999E-3</v>
      </c>
      <c r="M109" s="231">
        <v>1273.9000000000001</v>
      </c>
      <c r="N109" s="231">
        <v>1270.3</v>
      </c>
      <c r="O109" s="228">
        <v>3.6</v>
      </c>
      <c r="P109" s="229">
        <v>2.8E-3</v>
      </c>
      <c r="Q109" s="231">
        <v>1281.5</v>
      </c>
      <c r="R109" s="231">
        <v>1279.0999999999999</v>
      </c>
      <c r="S109" s="228">
        <v>2.4</v>
      </c>
      <c r="T109" s="229">
        <v>1.9E-3</v>
      </c>
      <c r="U109" s="231">
        <v>1288.4000000000001</v>
      </c>
      <c r="V109" s="231">
        <v>1282.5</v>
      </c>
      <c r="W109" s="228">
        <v>5.9</v>
      </c>
      <c r="X109" s="229">
        <v>4.5999999999999999E-3</v>
      </c>
      <c r="Y109" s="228">
        <v>7.3</v>
      </c>
      <c r="Z109" s="228">
        <v>5.8</v>
      </c>
      <c r="AA109" s="228">
        <v>1.5</v>
      </c>
      <c r="AB109" s="229">
        <v>5.7999999999999996E-3</v>
      </c>
      <c r="AC109" s="228">
        <v>7.3</v>
      </c>
      <c r="AD109" s="228">
        <v>5.8</v>
      </c>
      <c r="AE109" s="228">
        <v>1.5</v>
      </c>
      <c r="AF109" s="229">
        <v>5.7999999999999996E-3</v>
      </c>
      <c r="AG109" s="228">
        <v>14.9</v>
      </c>
      <c r="AH109" s="228">
        <v>14.6</v>
      </c>
      <c r="AI109" s="228">
        <v>0.3</v>
      </c>
      <c r="AJ109" s="229">
        <v>1.18E-2</v>
      </c>
      <c r="AK109" s="228">
        <v>21.8</v>
      </c>
      <c r="AL109" s="228">
        <v>18</v>
      </c>
      <c r="AM109" s="228">
        <v>3.8</v>
      </c>
      <c r="AN109" s="229">
        <v>1.72E-2</v>
      </c>
      <c r="AO109" s="231">
        <v>1277.3699999999999</v>
      </c>
      <c r="AP109" s="231">
        <v>1285.1199999999999</v>
      </c>
      <c r="AQ109" s="228">
        <v>0</v>
      </c>
      <c r="AR109" s="230">
        <v>3593025</v>
      </c>
      <c r="AS109" s="230">
        <v>2050650</v>
      </c>
      <c r="AT109" s="230">
        <v>1542375</v>
      </c>
      <c r="AU109" s="229">
        <v>0.75209999999999999</v>
      </c>
      <c r="AV109" s="230">
        <v>3447900</v>
      </c>
      <c r="AW109" s="230">
        <v>1960875</v>
      </c>
      <c r="AX109" s="230">
        <v>1487025</v>
      </c>
      <c r="AY109" s="229">
        <v>0.75829999999999997</v>
      </c>
      <c r="AZ109" s="230">
        <v>144450</v>
      </c>
      <c r="BA109" s="230">
        <v>77625</v>
      </c>
      <c r="BB109" s="230">
        <v>66825</v>
      </c>
      <c r="BC109" s="229">
        <v>0.8609</v>
      </c>
      <c r="BD109" s="228">
        <v>675</v>
      </c>
      <c r="BE109" s="230">
        <v>12150</v>
      </c>
      <c r="BF109" s="230">
        <v>-11475</v>
      </c>
      <c r="BG109" s="229">
        <v>-0.94440000000000002</v>
      </c>
      <c r="BH109" s="230">
        <v>4515750</v>
      </c>
      <c r="BI109" s="230">
        <v>3598425</v>
      </c>
      <c r="BJ109" s="230">
        <v>917325</v>
      </c>
      <c r="BK109" s="229">
        <v>0.25490000000000002</v>
      </c>
      <c r="BL109" s="230">
        <v>2797200</v>
      </c>
      <c r="BM109" s="230">
        <v>2909925</v>
      </c>
      <c r="BN109" s="230">
        <v>-112725</v>
      </c>
      <c r="BO109" s="229">
        <v>-3.8699999999999998E-2</v>
      </c>
      <c r="BP109" s="230">
        <v>10905975</v>
      </c>
      <c r="BQ109" s="230">
        <v>8559000</v>
      </c>
      <c r="BR109" s="230">
        <v>2346975</v>
      </c>
      <c r="BS109" s="229">
        <v>0.2742</v>
      </c>
      <c r="BT109" s="230">
        <v>1596002</v>
      </c>
      <c r="BU109" s="230">
        <v>1512691</v>
      </c>
      <c r="BV109" s="230">
        <v>83311</v>
      </c>
      <c r="BW109" s="229">
        <v>5.5100000000000003E-2</v>
      </c>
      <c r="BX109" s="230">
        <v>49495050</v>
      </c>
      <c r="BY109" s="230">
        <v>49322250</v>
      </c>
      <c r="BZ109" s="230">
        <v>172800</v>
      </c>
      <c r="CA109" s="229">
        <v>3.5000000000000001E-3</v>
      </c>
      <c r="CB109" s="230">
        <v>48446100</v>
      </c>
      <c r="CC109" s="230">
        <v>48332025</v>
      </c>
      <c r="CD109" s="230">
        <v>114075</v>
      </c>
      <c r="CE109" s="229">
        <v>2.3999999999999998E-3</v>
      </c>
      <c r="CF109" s="230">
        <v>1036800</v>
      </c>
      <c r="CG109" s="230">
        <v>978750</v>
      </c>
      <c r="CH109" s="230">
        <v>58050</v>
      </c>
      <c r="CI109" s="229">
        <v>5.9299999999999999E-2</v>
      </c>
      <c r="CJ109" s="230">
        <v>12150</v>
      </c>
      <c r="CK109" s="230">
        <v>11475</v>
      </c>
      <c r="CL109" s="228">
        <v>675</v>
      </c>
      <c r="CM109" s="229">
        <v>5.8799999999999998E-2</v>
      </c>
      <c r="CN109" s="230">
        <v>4518450</v>
      </c>
      <c r="CO109" s="230">
        <v>3869775</v>
      </c>
      <c r="CP109" s="230">
        <v>648675</v>
      </c>
      <c r="CQ109" s="229">
        <v>0.1676</v>
      </c>
      <c r="CR109" s="230">
        <v>3464100</v>
      </c>
      <c r="CS109" s="230">
        <v>3415500</v>
      </c>
      <c r="CT109" s="230">
        <v>48600</v>
      </c>
      <c r="CU109" s="229">
        <v>1.4200000000000001E-2</v>
      </c>
      <c r="CV109" s="230">
        <v>57477600</v>
      </c>
      <c r="CW109" s="230">
        <v>56607525</v>
      </c>
      <c r="CX109" s="230">
        <v>870075</v>
      </c>
      <c r="CY109" s="229">
        <v>1.54E-2</v>
      </c>
      <c r="CZ109" s="228">
        <v>30.08</v>
      </c>
      <c r="DA109" s="228">
        <v>28.38</v>
      </c>
      <c r="DB109" s="228">
        <v>1.7</v>
      </c>
      <c r="DC109" s="228">
        <v>1.7</v>
      </c>
      <c r="DD109" s="228">
        <v>31.71</v>
      </c>
      <c r="DE109" s="228">
        <v>31.79</v>
      </c>
      <c r="DF109" s="228">
        <v>-1.63</v>
      </c>
      <c r="DG109" s="228">
        <v>-0.08</v>
      </c>
      <c r="DH109" s="228">
        <v>30.07</v>
      </c>
      <c r="DI109" s="228">
        <v>28.31</v>
      </c>
      <c r="DJ109" s="228">
        <v>1.76</v>
      </c>
      <c r="DK109" s="228">
        <v>1.76</v>
      </c>
      <c r="DL109" s="228">
        <v>30.1</v>
      </c>
      <c r="DM109" s="228">
        <v>28.46</v>
      </c>
      <c r="DN109" s="228">
        <v>1.64</v>
      </c>
      <c r="DO109" s="228">
        <v>1.64</v>
      </c>
      <c r="DP109" s="228">
        <v>0.77</v>
      </c>
      <c r="DQ109" s="228">
        <v>0.88</v>
      </c>
      <c r="DR109" s="228">
        <v>-0.11</v>
      </c>
      <c r="DS109" s="229">
        <v>-0.125</v>
      </c>
      <c r="DT109" s="231">
        <v>1300</v>
      </c>
      <c r="DU109" s="231">
        <v>1240</v>
      </c>
      <c r="DV109" s="228">
        <v>0.62</v>
      </c>
      <c r="DW109" s="228">
        <v>0.81</v>
      </c>
      <c r="DX109" s="228">
        <v>-0.19</v>
      </c>
      <c r="DY109" s="229">
        <v>-0.2346</v>
      </c>
      <c r="DZ109" s="229">
        <v>2.12E-2</v>
      </c>
      <c r="EA109" s="230">
        <v>990225</v>
      </c>
      <c r="EB109" s="229">
        <v>6.0000000000000001E-3</v>
      </c>
      <c r="EC109" s="229">
        <v>2.12E-2</v>
      </c>
      <c r="ED109" s="228">
        <v>7.75</v>
      </c>
      <c r="EE109" s="229">
        <v>6.1000000000000004E-3</v>
      </c>
      <c r="EF109" s="230">
        <v>654748</v>
      </c>
      <c r="EG109" s="230">
        <v>688459</v>
      </c>
      <c r="EH109" s="229">
        <v>-4.9000000000000002E-2</v>
      </c>
      <c r="EI109" s="229">
        <v>0.41020000000000001</v>
      </c>
      <c r="EJ109" s="231">
        <v>60674.58</v>
      </c>
      <c r="EK109" s="231">
        <v>35255.33</v>
      </c>
      <c r="EL109" s="231">
        <v>45907.59</v>
      </c>
      <c r="EM109" s="231">
        <v>11206</v>
      </c>
      <c r="EN109" s="231">
        <v>141837.5</v>
      </c>
      <c r="EO109" s="231">
        <v>110140.09</v>
      </c>
      <c r="EP109" s="231">
        <v>31697.41</v>
      </c>
      <c r="EQ109" s="229">
        <v>0.2878</v>
      </c>
      <c r="ER109" s="231">
        <v>59563</v>
      </c>
      <c r="ES109" s="231">
        <v>41987</v>
      </c>
      <c r="ET109" s="231">
        <v>630598</v>
      </c>
      <c r="EU109" s="231">
        <v>133242960</v>
      </c>
      <c r="EV109" s="231">
        <v>732148</v>
      </c>
      <c r="EW109" s="231">
        <v>719008</v>
      </c>
      <c r="EX109" s="231">
        <v>13140</v>
      </c>
      <c r="EY109" s="229">
        <v>1.83E-2</v>
      </c>
      <c r="EZ109" s="229">
        <v>0.43140000000000001</v>
      </c>
      <c r="FA109" s="227" t="s">
        <v>555</v>
      </c>
      <c r="FB109" s="161">
        <f t="shared" si="1"/>
        <v>1048950</v>
      </c>
    </row>
    <row r="110" spans="1:158" ht="17.25" thickBot="1" x14ac:dyDescent="0.3">
      <c r="A110" s="226">
        <v>46146</v>
      </c>
      <c r="B110" s="227" t="s">
        <v>168</v>
      </c>
      <c r="C110" s="227" t="s">
        <v>245</v>
      </c>
      <c r="D110" s="228">
        <v>1250</v>
      </c>
      <c r="E110" s="228">
        <v>476.2</v>
      </c>
      <c r="F110" s="228">
        <v>477</v>
      </c>
      <c r="G110" s="228">
        <v>-0.8</v>
      </c>
      <c r="H110" s="229">
        <v>-1.6999999999999999E-3</v>
      </c>
      <c r="I110" s="228">
        <v>476.4</v>
      </c>
      <c r="J110" s="228">
        <v>478.6</v>
      </c>
      <c r="K110" s="228">
        <v>-2.2000000000000002</v>
      </c>
      <c r="L110" s="229">
        <v>-4.5999999999999999E-3</v>
      </c>
      <c r="M110" s="228">
        <v>476.2</v>
      </c>
      <c r="N110" s="228">
        <v>477</v>
      </c>
      <c r="O110" s="228">
        <v>-0.8</v>
      </c>
      <c r="P110" s="229">
        <v>-1.6999999999999999E-3</v>
      </c>
      <c r="Q110" s="228">
        <v>468.7</v>
      </c>
      <c r="R110" s="228">
        <v>468.8</v>
      </c>
      <c r="S110" s="228">
        <v>-0.1</v>
      </c>
      <c r="T110" s="229">
        <v>-2.0000000000000001E-4</v>
      </c>
      <c r="U110" s="228">
        <v>468.1</v>
      </c>
      <c r="V110" s="228">
        <v>463.7</v>
      </c>
      <c r="W110" s="228">
        <v>4.4000000000000004</v>
      </c>
      <c r="X110" s="229">
        <v>9.4999999999999998E-3</v>
      </c>
      <c r="Y110" s="228">
        <v>-0.2</v>
      </c>
      <c r="Z110" s="228">
        <v>-1.6</v>
      </c>
      <c r="AA110" s="228">
        <v>1.4</v>
      </c>
      <c r="AB110" s="229">
        <v>-4.0000000000000002E-4</v>
      </c>
      <c r="AC110" s="228">
        <v>-0.2</v>
      </c>
      <c r="AD110" s="228">
        <v>-1.6</v>
      </c>
      <c r="AE110" s="228">
        <v>1.4</v>
      </c>
      <c r="AF110" s="229">
        <v>-4.0000000000000002E-4</v>
      </c>
      <c r="AG110" s="228">
        <v>-7.7</v>
      </c>
      <c r="AH110" s="228">
        <v>-9.8000000000000007</v>
      </c>
      <c r="AI110" s="228">
        <v>2.1</v>
      </c>
      <c r="AJ110" s="229">
        <v>-1.6199999999999999E-2</v>
      </c>
      <c r="AK110" s="228">
        <v>-8.3000000000000007</v>
      </c>
      <c r="AL110" s="228">
        <v>-14.9</v>
      </c>
      <c r="AM110" s="228">
        <v>6.6</v>
      </c>
      <c r="AN110" s="229">
        <v>-1.7399999999999999E-2</v>
      </c>
      <c r="AO110" s="228">
        <v>477.57</v>
      </c>
      <c r="AP110" s="228">
        <v>470.6</v>
      </c>
      <c r="AQ110" s="228">
        <v>0</v>
      </c>
      <c r="AR110" s="230">
        <v>2530000</v>
      </c>
      <c r="AS110" s="230">
        <v>3241250</v>
      </c>
      <c r="AT110" s="230">
        <v>-711250</v>
      </c>
      <c r="AU110" s="229">
        <v>-0.21940000000000001</v>
      </c>
      <c r="AV110" s="230">
        <v>2155000</v>
      </c>
      <c r="AW110" s="230">
        <v>2292500</v>
      </c>
      <c r="AX110" s="230">
        <v>-137500</v>
      </c>
      <c r="AY110" s="229">
        <v>-0.06</v>
      </c>
      <c r="AZ110" s="230">
        <v>347500</v>
      </c>
      <c r="BA110" s="230">
        <v>608750</v>
      </c>
      <c r="BB110" s="230">
        <v>-261250</v>
      </c>
      <c r="BC110" s="229">
        <v>-0.42920000000000003</v>
      </c>
      <c r="BD110" s="230">
        <v>27500</v>
      </c>
      <c r="BE110" s="230">
        <v>340000</v>
      </c>
      <c r="BF110" s="230">
        <v>-312500</v>
      </c>
      <c r="BG110" s="229">
        <v>-0.91910000000000003</v>
      </c>
      <c r="BH110" s="230">
        <v>3398750</v>
      </c>
      <c r="BI110" s="230">
        <v>2903750</v>
      </c>
      <c r="BJ110" s="230">
        <v>495000</v>
      </c>
      <c r="BK110" s="229">
        <v>0.17050000000000001</v>
      </c>
      <c r="BL110" s="230">
        <v>2121250</v>
      </c>
      <c r="BM110" s="230">
        <v>1590000</v>
      </c>
      <c r="BN110" s="230">
        <v>531250</v>
      </c>
      <c r="BO110" s="229">
        <v>0.33410000000000001</v>
      </c>
      <c r="BP110" s="230">
        <v>8050000</v>
      </c>
      <c r="BQ110" s="230">
        <v>7735000</v>
      </c>
      <c r="BR110" s="230">
        <v>315000</v>
      </c>
      <c r="BS110" s="229">
        <v>4.07E-2</v>
      </c>
      <c r="BT110" s="230">
        <v>746563</v>
      </c>
      <c r="BU110" s="230">
        <v>1155806</v>
      </c>
      <c r="BV110" s="230">
        <v>-409243</v>
      </c>
      <c r="BW110" s="229">
        <v>-0.35410000000000003</v>
      </c>
      <c r="BX110" s="230">
        <v>39626250</v>
      </c>
      <c r="BY110" s="230">
        <v>39096250</v>
      </c>
      <c r="BZ110" s="230">
        <v>530000</v>
      </c>
      <c r="CA110" s="229">
        <v>1.3599999999999999E-2</v>
      </c>
      <c r="CB110" s="230">
        <v>38005000</v>
      </c>
      <c r="CC110" s="230">
        <v>37650000</v>
      </c>
      <c r="CD110" s="230">
        <v>355000</v>
      </c>
      <c r="CE110" s="229">
        <v>9.4000000000000004E-3</v>
      </c>
      <c r="CF110" s="230">
        <v>1208750</v>
      </c>
      <c r="CG110" s="230">
        <v>1045000</v>
      </c>
      <c r="CH110" s="230">
        <v>163750</v>
      </c>
      <c r="CI110" s="229">
        <v>0.15670000000000001</v>
      </c>
      <c r="CJ110" s="230">
        <v>412500</v>
      </c>
      <c r="CK110" s="230">
        <v>401250</v>
      </c>
      <c r="CL110" s="230">
        <v>11250</v>
      </c>
      <c r="CM110" s="229">
        <v>2.8000000000000001E-2</v>
      </c>
      <c r="CN110" s="230">
        <v>5600000</v>
      </c>
      <c r="CO110" s="230">
        <v>5032500</v>
      </c>
      <c r="CP110" s="230">
        <v>567500</v>
      </c>
      <c r="CQ110" s="229">
        <v>0.1128</v>
      </c>
      <c r="CR110" s="230">
        <v>4140000</v>
      </c>
      <c r="CS110" s="230">
        <v>3943750</v>
      </c>
      <c r="CT110" s="230">
        <v>196250</v>
      </c>
      <c r="CU110" s="229">
        <v>4.9799999999999997E-2</v>
      </c>
      <c r="CV110" s="230">
        <v>49366250</v>
      </c>
      <c r="CW110" s="230">
        <v>48072500</v>
      </c>
      <c r="CX110" s="230">
        <v>1293750</v>
      </c>
      <c r="CY110" s="229">
        <v>2.69E-2</v>
      </c>
      <c r="CZ110" s="228">
        <v>39.049999999999997</v>
      </c>
      <c r="DA110" s="228">
        <v>39.020000000000003</v>
      </c>
      <c r="DB110" s="228">
        <v>0.03</v>
      </c>
      <c r="DC110" s="228">
        <v>0.03</v>
      </c>
      <c r="DD110" s="228">
        <v>38.020000000000003</v>
      </c>
      <c r="DE110" s="228">
        <v>38.11</v>
      </c>
      <c r="DF110" s="228">
        <v>1.03</v>
      </c>
      <c r="DG110" s="228">
        <v>-0.09</v>
      </c>
      <c r="DH110" s="228">
        <v>38.369999999999997</v>
      </c>
      <c r="DI110" s="228">
        <v>38.79</v>
      </c>
      <c r="DJ110" s="228">
        <v>-0.42</v>
      </c>
      <c r="DK110" s="228">
        <v>-0.42</v>
      </c>
      <c r="DL110" s="228">
        <v>40.130000000000003</v>
      </c>
      <c r="DM110" s="228">
        <v>39.43</v>
      </c>
      <c r="DN110" s="228">
        <v>0.7</v>
      </c>
      <c r="DO110" s="228">
        <v>0.7</v>
      </c>
      <c r="DP110" s="228">
        <v>0.74</v>
      </c>
      <c r="DQ110" s="228">
        <v>0.78</v>
      </c>
      <c r="DR110" s="228">
        <v>-0.04</v>
      </c>
      <c r="DS110" s="229">
        <v>-5.1299999999999998E-2</v>
      </c>
      <c r="DT110" s="228">
        <v>500</v>
      </c>
      <c r="DU110" s="228">
        <v>480</v>
      </c>
      <c r="DV110" s="228">
        <v>0.62</v>
      </c>
      <c r="DW110" s="228">
        <v>0.55000000000000004</v>
      </c>
      <c r="DX110" s="228">
        <v>7.0000000000000007E-2</v>
      </c>
      <c r="DY110" s="229">
        <v>0.1273</v>
      </c>
      <c r="DZ110" s="229">
        <v>4.0899999999999999E-2</v>
      </c>
      <c r="EA110" s="230">
        <v>1446250</v>
      </c>
      <c r="EB110" s="229">
        <v>-1.5699999999999999E-2</v>
      </c>
      <c r="EC110" s="229">
        <v>4.0899999999999999E-2</v>
      </c>
      <c r="ED110" s="228">
        <v>-6.97</v>
      </c>
      <c r="EE110" s="229">
        <v>-1.46E-2</v>
      </c>
      <c r="EF110" s="230">
        <v>250125</v>
      </c>
      <c r="EG110" s="230">
        <v>376114</v>
      </c>
      <c r="EH110" s="229">
        <v>-0.33500000000000002</v>
      </c>
      <c r="EI110" s="229">
        <v>0.33500000000000002</v>
      </c>
      <c r="EJ110" s="231">
        <v>17288.95</v>
      </c>
      <c r="EK110" s="231">
        <v>9970.44</v>
      </c>
      <c r="EL110" s="231">
        <v>12055.24</v>
      </c>
      <c r="EM110" s="231">
        <v>10949</v>
      </c>
      <c r="EN110" s="231">
        <v>39314.629999999997</v>
      </c>
      <c r="EO110" s="231">
        <v>37559.18</v>
      </c>
      <c r="EP110" s="231">
        <v>1755.45</v>
      </c>
      <c r="EQ110" s="229">
        <v>4.6699999999999998E-2</v>
      </c>
      <c r="ER110" s="231">
        <v>27641</v>
      </c>
      <c r="ES110" s="231">
        <v>19172</v>
      </c>
      <c r="ET110" s="231">
        <v>188576</v>
      </c>
      <c r="EU110" s="231">
        <v>58777851</v>
      </c>
      <c r="EV110" s="231">
        <v>235389</v>
      </c>
      <c r="EW110" s="231">
        <v>229463</v>
      </c>
      <c r="EX110" s="231">
        <v>5926</v>
      </c>
      <c r="EY110" s="229">
        <v>2.58E-2</v>
      </c>
      <c r="EZ110" s="229">
        <v>0.83989999999999998</v>
      </c>
      <c r="FA110" s="227" t="s">
        <v>566</v>
      </c>
      <c r="FB110" s="161">
        <f t="shared" si="1"/>
        <v>1621250</v>
      </c>
    </row>
    <row r="111" spans="1:158" ht="17.25" thickBot="1" x14ac:dyDescent="0.3">
      <c r="A111" s="226">
        <v>46146</v>
      </c>
      <c r="B111" s="227" t="s">
        <v>168</v>
      </c>
      <c r="C111" s="227" t="s">
        <v>581</v>
      </c>
      <c r="D111" s="228">
        <v>1175</v>
      </c>
      <c r="E111" s="228">
        <v>415.35</v>
      </c>
      <c r="F111" s="228">
        <v>415.15</v>
      </c>
      <c r="G111" s="228">
        <v>0.2</v>
      </c>
      <c r="H111" s="229">
        <v>5.0000000000000001E-4</v>
      </c>
      <c r="I111" s="228">
        <v>413.3</v>
      </c>
      <c r="J111" s="228">
        <v>412.75</v>
      </c>
      <c r="K111" s="228">
        <v>0.55000000000000004</v>
      </c>
      <c r="L111" s="229">
        <v>1.2999999999999999E-3</v>
      </c>
      <c r="M111" s="228">
        <v>415.35</v>
      </c>
      <c r="N111" s="228">
        <v>415.15</v>
      </c>
      <c r="O111" s="228">
        <v>0.2</v>
      </c>
      <c r="P111" s="229">
        <v>5.0000000000000001E-4</v>
      </c>
      <c r="Q111" s="228">
        <v>418.1</v>
      </c>
      <c r="R111" s="228">
        <v>417.4</v>
      </c>
      <c r="S111" s="228">
        <v>0.7</v>
      </c>
      <c r="T111" s="229">
        <v>1.6999999999999999E-3</v>
      </c>
      <c r="U111" s="228">
        <v>419.85</v>
      </c>
      <c r="V111" s="228">
        <v>420</v>
      </c>
      <c r="W111" s="228">
        <v>-0.15</v>
      </c>
      <c r="X111" s="229">
        <v>-4.0000000000000002E-4</v>
      </c>
      <c r="Y111" s="228">
        <v>2.0499999999999998</v>
      </c>
      <c r="Z111" s="228">
        <v>2.4</v>
      </c>
      <c r="AA111" s="228">
        <v>-0.35</v>
      </c>
      <c r="AB111" s="229">
        <v>5.0000000000000001E-3</v>
      </c>
      <c r="AC111" s="228">
        <v>2.0499999999999998</v>
      </c>
      <c r="AD111" s="228">
        <v>2.4</v>
      </c>
      <c r="AE111" s="228">
        <v>-0.35</v>
      </c>
      <c r="AF111" s="229">
        <v>5.0000000000000001E-3</v>
      </c>
      <c r="AG111" s="228">
        <v>4.8</v>
      </c>
      <c r="AH111" s="228">
        <v>4.6500000000000004</v>
      </c>
      <c r="AI111" s="228">
        <v>0.15</v>
      </c>
      <c r="AJ111" s="229">
        <v>1.1599999999999999E-2</v>
      </c>
      <c r="AK111" s="228">
        <v>6.55</v>
      </c>
      <c r="AL111" s="228">
        <v>7.25</v>
      </c>
      <c r="AM111" s="228">
        <v>-0.7</v>
      </c>
      <c r="AN111" s="229">
        <v>1.5800000000000002E-2</v>
      </c>
      <c r="AO111" s="228">
        <v>416.07</v>
      </c>
      <c r="AP111" s="228">
        <v>418.4</v>
      </c>
      <c r="AQ111" s="228">
        <v>0</v>
      </c>
      <c r="AR111" s="230">
        <v>2181975</v>
      </c>
      <c r="AS111" s="230">
        <v>2563850</v>
      </c>
      <c r="AT111" s="230">
        <v>-381875</v>
      </c>
      <c r="AU111" s="229">
        <v>-0.1489</v>
      </c>
      <c r="AV111" s="230">
        <v>2078575</v>
      </c>
      <c r="AW111" s="230">
        <v>2459275</v>
      </c>
      <c r="AX111" s="230">
        <v>-380700</v>
      </c>
      <c r="AY111" s="229">
        <v>-0.15479999999999999</v>
      </c>
      <c r="AZ111" s="230">
        <v>98700</v>
      </c>
      <c r="BA111" s="230">
        <v>104575</v>
      </c>
      <c r="BB111" s="230">
        <v>-5875</v>
      </c>
      <c r="BC111" s="229">
        <v>-5.62E-2</v>
      </c>
      <c r="BD111" s="230">
        <v>4700</v>
      </c>
      <c r="BE111" s="228">
        <v>0</v>
      </c>
      <c r="BF111" s="230">
        <v>4700</v>
      </c>
      <c r="BG111" s="229">
        <v>0</v>
      </c>
      <c r="BH111" s="230">
        <v>5182925</v>
      </c>
      <c r="BI111" s="230">
        <v>4794000</v>
      </c>
      <c r="BJ111" s="230">
        <v>388925</v>
      </c>
      <c r="BK111" s="229">
        <v>8.1100000000000005E-2</v>
      </c>
      <c r="BL111" s="230">
        <v>2589700</v>
      </c>
      <c r="BM111" s="230">
        <v>3975025</v>
      </c>
      <c r="BN111" s="230">
        <v>-1385325</v>
      </c>
      <c r="BO111" s="229">
        <v>-0.34849999999999998</v>
      </c>
      <c r="BP111" s="230">
        <v>9954600</v>
      </c>
      <c r="BQ111" s="230">
        <v>11332875</v>
      </c>
      <c r="BR111" s="230">
        <v>-1378275</v>
      </c>
      <c r="BS111" s="229">
        <v>-0.1216</v>
      </c>
      <c r="BT111" s="230">
        <v>1770671</v>
      </c>
      <c r="BU111" s="230">
        <v>2445338</v>
      </c>
      <c r="BV111" s="230">
        <v>-674667</v>
      </c>
      <c r="BW111" s="229">
        <v>-0.27589999999999998</v>
      </c>
      <c r="BX111" s="230">
        <v>26294200</v>
      </c>
      <c r="BY111" s="230">
        <v>25903575</v>
      </c>
      <c r="BZ111" s="230">
        <v>390625</v>
      </c>
      <c r="CA111" s="229">
        <v>1.5100000000000001E-2</v>
      </c>
      <c r="CB111" s="230">
        <v>25792425</v>
      </c>
      <c r="CC111" s="230">
        <v>25419950</v>
      </c>
      <c r="CD111" s="230">
        <v>372475</v>
      </c>
      <c r="CE111" s="229">
        <v>1.47E-2</v>
      </c>
      <c r="CF111" s="230">
        <v>492325</v>
      </c>
      <c r="CG111" s="230">
        <v>478225</v>
      </c>
      <c r="CH111" s="230">
        <v>14100</v>
      </c>
      <c r="CI111" s="229">
        <v>2.9499999999999998E-2</v>
      </c>
      <c r="CJ111" s="230">
        <v>9450</v>
      </c>
      <c r="CK111" s="230">
        <v>5400</v>
      </c>
      <c r="CL111" s="230">
        <v>4050</v>
      </c>
      <c r="CM111" s="229">
        <v>0.75</v>
      </c>
      <c r="CN111" s="230">
        <v>5463750</v>
      </c>
      <c r="CO111" s="230">
        <v>4597775</v>
      </c>
      <c r="CP111" s="230">
        <v>865975</v>
      </c>
      <c r="CQ111" s="229">
        <v>0.1883</v>
      </c>
      <c r="CR111" s="230">
        <v>3345225</v>
      </c>
      <c r="CS111" s="230">
        <v>3067925</v>
      </c>
      <c r="CT111" s="230">
        <v>277300</v>
      </c>
      <c r="CU111" s="229">
        <v>9.0399999999999994E-2</v>
      </c>
      <c r="CV111" s="230">
        <v>35103175</v>
      </c>
      <c r="CW111" s="230">
        <v>33569275</v>
      </c>
      <c r="CX111" s="230">
        <v>1533900</v>
      </c>
      <c r="CY111" s="229">
        <v>4.5699999999999998E-2</v>
      </c>
      <c r="CZ111" s="228">
        <v>43.54</v>
      </c>
      <c r="DA111" s="228">
        <v>42.14</v>
      </c>
      <c r="DB111" s="228">
        <v>1.4</v>
      </c>
      <c r="DC111" s="228">
        <v>1.4</v>
      </c>
      <c r="DD111" s="228">
        <v>51.38</v>
      </c>
      <c r="DE111" s="228">
        <v>51.51</v>
      </c>
      <c r="DF111" s="228">
        <v>-7.84</v>
      </c>
      <c r="DG111" s="228">
        <v>-0.13</v>
      </c>
      <c r="DH111" s="228">
        <v>43.5</v>
      </c>
      <c r="DI111" s="228">
        <v>42.26</v>
      </c>
      <c r="DJ111" s="228">
        <v>1.24</v>
      </c>
      <c r="DK111" s="228">
        <v>1.24</v>
      </c>
      <c r="DL111" s="228">
        <v>43.61</v>
      </c>
      <c r="DM111" s="228">
        <v>42</v>
      </c>
      <c r="DN111" s="228">
        <v>1.61</v>
      </c>
      <c r="DO111" s="228">
        <v>1.61</v>
      </c>
      <c r="DP111" s="228">
        <v>0.61</v>
      </c>
      <c r="DQ111" s="228">
        <v>0.67</v>
      </c>
      <c r="DR111" s="228">
        <v>-0.06</v>
      </c>
      <c r="DS111" s="229">
        <v>-8.9599999999999999E-2</v>
      </c>
      <c r="DT111" s="228">
        <v>420</v>
      </c>
      <c r="DU111" s="228">
        <v>420</v>
      </c>
      <c r="DV111" s="228">
        <v>0.5</v>
      </c>
      <c r="DW111" s="228">
        <v>0.83</v>
      </c>
      <c r="DX111" s="228">
        <v>-0.33</v>
      </c>
      <c r="DY111" s="229">
        <v>-0.39760000000000001</v>
      </c>
      <c r="DZ111" s="229">
        <v>1.9099999999999999E-2</v>
      </c>
      <c r="EA111" s="230">
        <v>483625</v>
      </c>
      <c r="EB111" s="229">
        <v>6.6E-3</v>
      </c>
      <c r="EC111" s="229">
        <v>1.9099999999999999E-2</v>
      </c>
      <c r="ED111" s="228">
        <v>2.33</v>
      </c>
      <c r="EE111" s="229">
        <v>5.5999999999999999E-3</v>
      </c>
      <c r="EF111" s="230">
        <v>647154</v>
      </c>
      <c r="EG111" s="230">
        <v>863361</v>
      </c>
      <c r="EH111" s="229">
        <v>-0.25040000000000001</v>
      </c>
      <c r="EI111" s="229">
        <v>0.36549999999999999</v>
      </c>
      <c r="EJ111" s="231">
        <v>23205.7</v>
      </c>
      <c r="EK111" s="231">
        <v>10888.26</v>
      </c>
      <c r="EL111" s="231">
        <v>9084.02</v>
      </c>
      <c r="EM111" s="231">
        <v>6592</v>
      </c>
      <c r="EN111" s="231">
        <v>43177.98</v>
      </c>
      <c r="EO111" s="231">
        <v>48327.55</v>
      </c>
      <c r="EP111" s="231">
        <v>-5149.57</v>
      </c>
      <c r="EQ111" s="229">
        <v>-0.1066</v>
      </c>
      <c r="ER111" s="231">
        <v>24165</v>
      </c>
      <c r="ES111" s="231">
        <v>13682</v>
      </c>
      <c r="ET111" s="231">
        <v>109227</v>
      </c>
      <c r="EU111" s="231">
        <v>57686748</v>
      </c>
      <c r="EV111" s="231">
        <v>147074</v>
      </c>
      <c r="EW111" s="231">
        <v>140385</v>
      </c>
      <c r="EX111" s="231">
        <v>6689</v>
      </c>
      <c r="EY111" s="229">
        <v>4.7600000000000003E-2</v>
      </c>
      <c r="EZ111" s="229">
        <v>0.60850000000000004</v>
      </c>
      <c r="FA111" s="227" t="s">
        <v>555</v>
      </c>
      <c r="FB111" s="161">
        <f t="shared" si="1"/>
        <v>501775</v>
      </c>
    </row>
    <row r="112" spans="1:158" ht="17.25" thickBot="1" x14ac:dyDescent="0.3">
      <c r="A112" s="226">
        <v>46146</v>
      </c>
      <c r="B112" s="227" t="s">
        <v>184</v>
      </c>
      <c r="C112" s="227" t="s">
        <v>673</v>
      </c>
      <c r="D112" s="228">
        <v>100</v>
      </c>
      <c r="E112" s="231">
        <v>4104.8999999999996</v>
      </c>
      <c r="F112" s="231">
        <v>4055.6</v>
      </c>
      <c r="G112" s="228">
        <v>49.3</v>
      </c>
      <c r="H112" s="229">
        <v>1.2200000000000001E-2</v>
      </c>
      <c r="I112" s="231">
        <v>4098.8999999999996</v>
      </c>
      <c r="J112" s="231">
        <v>4044.4</v>
      </c>
      <c r="K112" s="228">
        <v>54.5</v>
      </c>
      <c r="L112" s="229">
        <v>1.35E-2</v>
      </c>
      <c r="M112" s="231">
        <v>4104.8999999999996</v>
      </c>
      <c r="N112" s="231">
        <v>4055.6</v>
      </c>
      <c r="O112" s="228">
        <v>49.3</v>
      </c>
      <c r="P112" s="229">
        <v>1.2200000000000001E-2</v>
      </c>
      <c r="Q112" s="231">
        <v>4076.4</v>
      </c>
      <c r="R112" s="231">
        <v>4026.5</v>
      </c>
      <c r="S112" s="228">
        <v>49.9</v>
      </c>
      <c r="T112" s="229">
        <v>1.24E-2</v>
      </c>
      <c r="U112" s="231">
        <v>4055.3</v>
      </c>
      <c r="V112" s="231">
        <v>4020</v>
      </c>
      <c r="W112" s="228">
        <v>35.299999999999997</v>
      </c>
      <c r="X112" s="229">
        <v>8.8000000000000005E-3</v>
      </c>
      <c r="Y112" s="228">
        <v>6</v>
      </c>
      <c r="Z112" s="228">
        <v>11.2</v>
      </c>
      <c r="AA112" s="228">
        <v>-5.2</v>
      </c>
      <c r="AB112" s="229">
        <v>1.5E-3</v>
      </c>
      <c r="AC112" s="228">
        <v>6</v>
      </c>
      <c r="AD112" s="228">
        <v>11.2</v>
      </c>
      <c r="AE112" s="228">
        <v>-5.2</v>
      </c>
      <c r="AF112" s="229">
        <v>1.5E-3</v>
      </c>
      <c r="AG112" s="228">
        <v>-22.5</v>
      </c>
      <c r="AH112" s="228">
        <v>-17.899999999999999</v>
      </c>
      <c r="AI112" s="228">
        <v>-4.5999999999999996</v>
      </c>
      <c r="AJ112" s="229">
        <v>-5.4999999999999997E-3</v>
      </c>
      <c r="AK112" s="228">
        <v>-43.6</v>
      </c>
      <c r="AL112" s="228">
        <v>-24.4</v>
      </c>
      <c r="AM112" s="228">
        <v>-19.2</v>
      </c>
      <c r="AN112" s="229">
        <v>-1.06E-2</v>
      </c>
      <c r="AO112" s="231">
        <v>4071.63</v>
      </c>
      <c r="AP112" s="231">
        <v>4039.48</v>
      </c>
      <c r="AQ112" s="228">
        <v>0</v>
      </c>
      <c r="AR112" s="230">
        <v>418000</v>
      </c>
      <c r="AS112" s="230">
        <v>645200</v>
      </c>
      <c r="AT112" s="230">
        <v>-227200</v>
      </c>
      <c r="AU112" s="229">
        <v>-0.35210000000000002</v>
      </c>
      <c r="AV112" s="230">
        <v>396100</v>
      </c>
      <c r="AW112" s="230">
        <v>600900</v>
      </c>
      <c r="AX112" s="230">
        <v>-204800</v>
      </c>
      <c r="AY112" s="229">
        <v>-0.34079999999999999</v>
      </c>
      <c r="AZ112" s="230">
        <v>19300</v>
      </c>
      <c r="BA112" s="230">
        <v>41000</v>
      </c>
      <c r="BB112" s="230">
        <v>-21700</v>
      </c>
      <c r="BC112" s="229">
        <v>-0.52929999999999999</v>
      </c>
      <c r="BD112" s="230">
        <v>2600</v>
      </c>
      <c r="BE112" s="230">
        <v>3300</v>
      </c>
      <c r="BF112" s="228">
        <v>-700</v>
      </c>
      <c r="BG112" s="229">
        <v>-0.21210000000000001</v>
      </c>
      <c r="BH112" s="230">
        <v>894000</v>
      </c>
      <c r="BI112" s="230">
        <v>963300</v>
      </c>
      <c r="BJ112" s="230">
        <v>-69300</v>
      </c>
      <c r="BK112" s="229">
        <v>-7.1900000000000006E-2</v>
      </c>
      <c r="BL112" s="230">
        <v>340400</v>
      </c>
      <c r="BM112" s="230">
        <v>492600</v>
      </c>
      <c r="BN112" s="230">
        <v>-152200</v>
      </c>
      <c r="BO112" s="229">
        <v>-0.309</v>
      </c>
      <c r="BP112" s="230">
        <v>1652400</v>
      </c>
      <c r="BQ112" s="230">
        <v>2101100</v>
      </c>
      <c r="BR112" s="230">
        <v>-448700</v>
      </c>
      <c r="BS112" s="229">
        <v>-0.21360000000000001</v>
      </c>
      <c r="BT112" s="230">
        <v>642773</v>
      </c>
      <c r="BU112" s="230">
        <v>999229</v>
      </c>
      <c r="BV112" s="230">
        <v>-356456</v>
      </c>
      <c r="BW112" s="229">
        <v>-0.35670000000000002</v>
      </c>
      <c r="BX112" s="230">
        <v>2745600</v>
      </c>
      <c r="BY112" s="230">
        <v>2725000</v>
      </c>
      <c r="BZ112" s="230">
        <v>20600</v>
      </c>
      <c r="CA112" s="229">
        <v>7.6E-3</v>
      </c>
      <c r="CB112" s="230">
        <v>2577000</v>
      </c>
      <c r="CC112" s="230">
        <v>2560100</v>
      </c>
      <c r="CD112" s="230">
        <v>16900</v>
      </c>
      <c r="CE112" s="229">
        <v>6.6E-3</v>
      </c>
      <c r="CF112" s="230">
        <v>159900</v>
      </c>
      <c r="CG112" s="230">
        <v>158000</v>
      </c>
      <c r="CH112" s="230">
        <v>1900</v>
      </c>
      <c r="CI112" s="229">
        <v>1.2E-2</v>
      </c>
      <c r="CJ112" s="230">
        <v>8700</v>
      </c>
      <c r="CK112" s="230">
        <v>6900</v>
      </c>
      <c r="CL112" s="230">
        <v>1800</v>
      </c>
      <c r="CM112" s="229">
        <v>0.26090000000000002</v>
      </c>
      <c r="CN112" s="230">
        <v>971900</v>
      </c>
      <c r="CO112" s="230">
        <v>874600</v>
      </c>
      <c r="CP112" s="230">
        <v>97300</v>
      </c>
      <c r="CQ112" s="229">
        <v>0.1113</v>
      </c>
      <c r="CR112" s="230">
        <v>671600</v>
      </c>
      <c r="CS112" s="230">
        <v>641200</v>
      </c>
      <c r="CT112" s="230">
        <v>30400</v>
      </c>
      <c r="CU112" s="229">
        <v>4.7399999999999998E-2</v>
      </c>
      <c r="CV112" s="230">
        <v>4389100</v>
      </c>
      <c r="CW112" s="230">
        <v>4240800</v>
      </c>
      <c r="CX112" s="230">
        <v>148300</v>
      </c>
      <c r="CY112" s="229">
        <v>3.5000000000000003E-2</v>
      </c>
      <c r="CZ112" s="228">
        <v>53.98</v>
      </c>
      <c r="DA112" s="228">
        <v>52.59</v>
      </c>
      <c r="DB112" s="228">
        <v>1.39</v>
      </c>
      <c r="DC112" s="228">
        <v>1.39</v>
      </c>
      <c r="DD112" s="228">
        <v>60.29</v>
      </c>
      <c r="DE112" s="228">
        <v>60.42</v>
      </c>
      <c r="DF112" s="228">
        <v>-6.31</v>
      </c>
      <c r="DG112" s="228">
        <v>-0.13</v>
      </c>
      <c r="DH112" s="228">
        <v>54.15</v>
      </c>
      <c r="DI112" s="228">
        <v>52.55</v>
      </c>
      <c r="DJ112" s="228">
        <v>1.6</v>
      </c>
      <c r="DK112" s="228">
        <v>1.6</v>
      </c>
      <c r="DL112" s="228">
        <v>53.53</v>
      </c>
      <c r="DM112" s="228">
        <v>52.67</v>
      </c>
      <c r="DN112" s="228">
        <v>0.86</v>
      </c>
      <c r="DO112" s="228">
        <v>0.86</v>
      </c>
      <c r="DP112" s="228">
        <v>0.69</v>
      </c>
      <c r="DQ112" s="228">
        <v>0.73</v>
      </c>
      <c r="DR112" s="228">
        <v>-0.04</v>
      </c>
      <c r="DS112" s="229">
        <v>-5.4800000000000001E-2</v>
      </c>
      <c r="DT112" s="231">
        <v>4500</v>
      </c>
      <c r="DU112" s="231">
        <v>4000</v>
      </c>
      <c r="DV112" s="228">
        <v>0.38</v>
      </c>
      <c r="DW112" s="228">
        <v>0.51</v>
      </c>
      <c r="DX112" s="228">
        <v>-0.13</v>
      </c>
      <c r="DY112" s="229">
        <v>-0.25490000000000002</v>
      </c>
      <c r="DZ112" s="229">
        <v>6.1400000000000003E-2</v>
      </c>
      <c r="EA112" s="230">
        <v>164900</v>
      </c>
      <c r="EB112" s="229">
        <v>-6.8999999999999999E-3</v>
      </c>
      <c r="EC112" s="229">
        <v>6.1400000000000003E-2</v>
      </c>
      <c r="ED112" s="228">
        <v>-32.15</v>
      </c>
      <c r="EE112" s="229">
        <v>-7.9000000000000008E-3</v>
      </c>
      <c r="EF112" s="230">
        <v>127281</v>
      </c>
      <c r="EG112" s="230">
        <v>244915</v>
      </c>
      <c r="EH112" s="229">
        <v>-0.4803</v>
      </c>
      <c r="EI112" s="229">
        <v>0.19800000000000001</v>
      </c>
      <c r="EJ112" s="231">
        <v>39720.89</v>
      </c>
      <c r="EK112" s="231">
        <v>13736.75</v>
      </c>
      <c r="EL112" s="231">
        <v>17064.63</v>
      </c>
      <c r="EM112" s="231">
        <v>13966</v>
      </c>
      <c r="EN112" s="231">
        <v>70522.27</v>
      </c>
      <c r="EO112" s="231">
        <v>88227.41</v>
      </c>
      <c r="EP112" s="231">
        <v>-17705.14</v>
      </c>
      <c r="EQ112" s="229">
        <v>-0.20069999999999999</v>
      </c>
      <c r="ER112" s="231">
        <v>42537</v>
      </c>
      <c r="ES112" s="231">
        <v>26228</v>
      </c>
      <c r="ET112" s="231">
        <v>112654</v>
      </c>
      <c r="EU112" s="231">
        <v>4679418</v>
      </c>
      <c r="EV112" s="231">
        <v>181419</v>
      </c>
      <c r="EW112" s="231">
        <v>173759</v>
      </c>
      <c r="EX112" s="231">
        <v>7660</v>
      </c>
      <c r="EY112" s="229">
        <v>4.41E-2</v>
      </c>
      <c r="EZ112" s="229">
        <v>0.93799999999999994</v>
      </c>
      <c r="FA112" s="227" t="s">
        <v>555</v>
      </c>
      <c r="FB112" s="161">
        <f t="shared" si="1"/>
        <v>168600</v>
      </c>
    </row>
    <row r="113" spans="1:158" ht="17.25" thickBot="1" x14ac:dyDescent="0.3">
      <c r="A113" s="226">
        <v>46146</v>
      </c>
      <c r="B113" s="227" t="s">
        <v>161</v>
      </c>
      <c r="C113" s="227" t="s">
        <v>609</v>
      </c>
      <c r="D113" s="228">
        <v>175</v>
      </c>
      <c r="E113" s="231">
        <v>5086.3999999999996</v>
      </c>
      <c r="F113" s="231">
        <v>4885.8</v>
      </c>
      <c r="G113" s="228">
        <v>200.6</v>
      </c>
      <c r="H113" s="229">
        <v>4.1099999999999998E-2</v>
      </c>
      <c r="I113" s="231">
        <v>5058.3</v>
      </c>
      <c r="J113" s="231">
        <v>4857.5</v>
      </c>
      <c r="K113" s="228">
        <v>200.8</v>
      </c>
      <c r="L113" s="229">
        <v>4.1300000000000003E-2</v>
      </c>
      <c r="M113" s="231">
        <v>5086.3999999999996</v>
      </c>
      <c r="N113" s="231">
        <v>4885.8</v>
      </c>
      <c r="O113" s="228">
        <v>200.6</v>
      </c>
      <c r="P113" s="229">
        <v>4.1099999999999998E-2</v>
      </c>
      <c r="Q113" s="231">
        <v>5057.7</v>
      </c>
      <c r="R113" s="231">
        <v>4862.3999999999996</v>
      </c>
      <c r="S113" s="228">
        <v>195.3</v>
      </c>
      <c r="T113" s="229">
        <v>4.02E-2</v>
      </c>
      <c r="U113" s="231">
        <v>5030.5</v>
      </c>
      <c r="V113" s="231">
        <v>4826.2</v>
      </c>
      <c r="W113" s="228">
        <v>204.3</v>
      </c>
      <c r="X113" s="229">
        <v>4.2299999999999997E-2</v>
      </c>
      <c r="Y113" s="228">
        <v>28.1</v>
      </c>
      <c r="Z113" s="228">
        <v>28.3</v>
      </c>
      <c r="AA113" s="228">
        <v>-0.2</v>
      </c>
      <c r="AB113" s="229">
        <v>5.5999999999999999E-3</v>
      </c>
      <c r="AC113" s="228">
        <v>28.1</v>
      </c>
      <c r="AD113" s="228">
        <v>28.3</v>
      </c>
      <c r="AE113" s="228">
        <v>-0.2</v>
      </c>
      <c r="AF113" s="229">
        <v>5.5999999999999999E-3</v>
      </c>
      <c r="AG113" s="228">
        <v>-0.6</v>
      </c>
      <c r="AH113" s="228">
        <v>4.9000000000000004</v>
      </c>
      <c r="AI113" s="228">
        <v>-5.5</v>
      </c>
      <c r="AJ113" s="229">
        <v>-1E-4</v>
      </c>
      <c r="AK113" s="228">
        <v>-27.8</v>
      </c>
      <c r="AL113" s="228">
        <v>-31.3</v>
      </c>
      <c r="AM113" s="228">
        <v>3.5</v>
      </c>
      <c r="AN113" s="229">
        <v>-5.4999999999999997E-3</v>
      </c>
      <c r="AO113" s="231">
        <v>4992.5</v>
      </c>
      <c r="AP113" s="231">
        <v>4968.37</v>
      </c>
      <c r="AQ113" s="228">
        <v>0</v>
      </c>
      <c r="AR113" s="230">
        <v>707175</v>
      </c>
      <c r="AS113" s="230">
        <v>677775</v>
      </c>
      <c r="AT113" s="230">
        <v>29400</v>
      </c>
      <c r="AU113" s="229">
        <v>4.3400000000000001E-2</v>
      </c>
      <c r="AV113" s="230">
        <v>689675</v>
      </c>
      <c r="AW113" s="230">
        <v>664125</v>
      </c>
      <c r="AX113" s="230">
        <v>25550</v>
      </c>
      <c r="AY113" s="229">
        <v>3.85E-2</v>
      </c>
      <c r="AZ113" s="230">
        <v>15050</v>
      </c>
      <c r="BA113" s="230">
        <v>11200</v>
      </c>
      <c r="BB113" s="230">
        <v>3850</v>
      </c>
      <c r="BC113" s="229">
        <v>0.34379999999999999</v>
      </c>
      <c r="BD113" s="230">
        <v>2450</v>
      </c>
      <c r="BE113" s="230">
        <v>2450</v>
      </c>
      <c r="BF113" s="228">
        <v>0</v>
      </c>
      <c r="BG113" s="229">
        <v>0</v>
      </c>
      <c r="BH113" s="230">
        <v>1796725</v>
      </c>
      <c r="BI113" s="230">
        <v>597450</v>
      </c>
      <c r="BJ113" s="230">
        <v>1199275</v>
      </c>
      <c r="BK113" s="229">
        <v>2.0072999999999999</v>
      </c>
      <c r="BL113" s="230">
        <v>767900</v>
      </c>
      <c r="BM113" s="230">
        <v>281050</v>
      </c>
      <c r="BN113" s="230">
        <v>486850</v>
      </c>
      <c r="BO113" s="229">
        <v>1.7323</v>
      </c>
      <c r="BP113" s="230">
        <v>3271800</v>
      </c>
      <c r="BQ113" s="230">
        <v>1556275</v>
      </c>
      <c r="BR113" s="230">
        <v>1715525</v>
      </c>
      <c r="BS113" s="229">
        <v>1.1023000000000001</v>
      </c>
      <c r="BT113" s="230">
        <v>676369</v>
      </c>
      <c r="BU113" s="230">
        <v>731490</v>
      </c>
      <c r="BV113" s="230">
        <v>-55121</v>
      </c>
      <c r="BW113" s="229">
        <v>-7.5399999999999995E-2</v>
      </c>
      <c r="BX113" s="230">
        <v>1680875</v>
      </c>
      <c r="BY113" s="230">
        <v>1639925</v>
      </c>
      <c r="BZ113" s="230">
        <v>40950</v>
      </c>
      <c r="CA113" s="229">
        <v>2.5000000000000001E-2</v>
      </c>
      <c r="CB113" s="230">
        <v>1660050</v>
      </c>
      <c r="CC113" s="230">
        <v>1623825</v>
      </c>
      <c r="CD113" s="230">
        <v>36225</v>
      </c>
      <c r="CE113" s="229">
        <v>2.23E-2</v>
      </c>
      <c r="CF113" s="230">
        <v>17850</v>
      </c>
      <c r="CG113" s="230">
        <v>13825</v>
      </c>
      <c r="CH113" s="230">
        <v>4025</v>
      </c>
      <c r="CI113" s="229">
        <v>0.29110000000000003</v>
      </c>
      <c r="CJ113" s="230">
        <v>2975</v>
      </c>
      <c r="CK113" s="230">
        <v>2275</v>
      </c>
      <c r="CL113" s="228">
        <v>700</v>
      </c>
      <c r="CM113" s="229">
        <v>0.30769999999999997</v>
      </c>
      <c r="CN113" s="230">
        <v>548975</v>
      </c>
      <c r="CO113" s="230">
        <v>317625</v>
      </c>
      <c r="CP113" s="230">
        <v>231350</v>
      </c>
      <c r="CQ113" s="229">
        <v>0.72840000000000005</v>
      </c>
      <c r="CR113" s="230">
        <v>427350</v>
      </c>
      <c r="CS113" s="230">
        <v>259700</v>
      </c>
      <c r="CT113" s="230">
        <v>167650</v>
      </c>
      <c r="CU113" s="229">
        <v>0.64559999999999995</v>
      </c>
      <c r="CV113" s="230">
        <v>2657200</v>
      </c>
      <c r="CW113" s="230">
        <v>2217250</v>
      </c>
      <c r="CX113" s="230">
        <v>439950</v>
      </c>
      <c r="CY113" s="229">
        <v>0.19839999999999999</v>
      </c>
      <c r="CZ113" s="228">
        <v>44.85</v>
      </c>
      <c r="DA113" s="228">
        <v>44.33</v>
      </c>
      <c r="DB113" s="228">
        <v>0.52</v>
      </c>
      <c r="DC113" s="228">
        <v>0.52</v>
      </c>
      <c r="DD113" s="228">
        <v>46.05</v>
      </c>
      <c r="DE113" s="228">
        <v>45.84</v>
      </c>
      <c r="DF113" s="228">
        <v>-1.2</v>
      </c>
      <c r="DG113" s="228">
        <v>0.21</v>
      </c>
      <c r="DH113" s="228">
        <v>43.6</v>
      </c>
      <c r="DI113" s="228">
        <v>44.33</v>
      </c>
      <c r="DJ113" s="228">
        <v>-0.73</v>
      </c>
      <c r="DK113" s="228">
        <v>-0.73</v>
      </c>
      <c r="DL113" s="228">
        <v>47.77</v>
      </c>
      <c r="DM113" s="228">
        <v>44.34</v>
      </c>
      <c r="DN113" s="228">
        <v>3.43</v>
      </c>
      <c r="DO113" s="228">
        <v>3.43</v>
      </c>
      <c r="DP113" s="228">
        <v>0.78</v>
      </c>
      <c r="DQ113" s="228">
        <v>0.82</v>
      </c>
      <c r="DR113" s="228">
        <v>-0.04</v>
      </c>
      <c r="DS113" s="229">
        <v>-4.8800000000000003E-2</v>
      </c>
      <c r="DT113" s="231">
        <v>5500</v>
      </c>
      <c r="DU113" s="231">
        <v>4500</v>
      </c>
      <c r="DV113" s="228">
        <v>0.43</v>
      </c>
      <c r="DW113" s="228">
        <v>0.47</v>
      </c>
      <c r="DX113" s="228">
        <v>-0.04</v>
      </c>
      <c r="DY113" s="229">
        <v>-8.5099999999999995E-2</v>
      </c>
      <c r="DZ113" s="229">
        <v>1.24E-2</v>
      </c>
      <c r="EA113" s="230">
        <v>16100</v>
      </c>
      <c r="EB113" s="229">
        <v>-5.5999999999999999E-3</v>
      </c>
      <c r="EC113" s="229">
        <v>1.24E-2</v>
      </c>
      <c r="ED113" s="228">
        <v>-24.13</v>
      </c>
      <c r="EE113" s="229">
        <v>-4.7999999999999996E-3</v>
      </c>
      <c r="EF113" s="230">
        <v>315744</v>
      </c>
      <c r="EG113" s="230">
        <v>436437</v>
      </c>
      <c r="EH113" s="229">
        <v>-0.27650000000000002</v>
      </c>
      <c r="EI113" s="229">
        <v>0.46679999999999999</v>
      </c>
      <c r="EJ113" s="231">
        <v>96450.91</v>
      </c>
      <c r="EK113" s="231">
        <v>36626.019999999997</v>
      </c>
      <c r="EL113" s="231">
        <v>35301.79</v>
      </c>
      <c r="EM113" s="231">
        <v>4787</v>
      </c>
      <c r="EN113" s="231">
        <v>168378.72</v>
      </c>
      <c r="EO113" s="231">
        <v>77750.39</v>
      </c>
      <c r="EP113" s="231">
        <v>90628.33</v>
      </c>
      <c r="EQ113" s="229">
        <v>1.1656</v>
      </c>
      <c r="ER113" s="231">
        <v>28666</v>
      </c>
      <c r="ES113" s="231">
        <v>20197</v>
      </c>
      <c r="ET113" s="231">
        <v>85489</v>
      </c>
      <c r="EU113" s="231">
        <v>9320940</v>
      </c>
      <c r="EV113" s="231">
        <v>134352</v>
      </c>
      <c r="EW113" s="231">
        <v>108427</v>
      </c>
      <c r="EX113" s="231">
        <v>25925</v>
      </c>
      <c r="EY113" s="229">
        <v>0.23910000000000001</v>
      </c>
      <c r="EZ113" s="229">
        <v>0.28510000000000002</v>
      </c>
      <c r="FA113" s="227" t="s">
        <v>555</v>
      </c>
      <c r="FB113" s="161">
        <f t="shared" si="1"/>
        <v>20825</v>
      </c>
    </row>
    <row r="114" spans="1:158" ht="17.25" thickBot="1" x14ac:dyDescent="0.3">
      <c r="A114" s="226">
        <v>46146</v>
      </c>
      <c r="B114" s="227" t="s">
        <v>175</v>
      </c>
      <c r="C114" s="227" t="s">
        <v>679</v>
      </c>
      <c r="D114" s="228">
        <v>500</v>
      </c>
      <c r="E114" s="228">
        <v>856.5</v>
      </c>
      <c r="F114" s="228">
        <v>873.4</v>
      </c>
      <c r="G114" s="228">
        <v>-16.899999999999999</v>
      </c>
      <c r="H114" s="229">
        <v>-1.9300000000000001E-2</v>
      </c>
      <c r="I114" s="228">
        <v>863.95</v>
      </c>
      <c r="J114" s="228">
        <v>895.7</v>
      </c>
      <c r="K114" s="228">
        <v>-31.75</v>
      </c>
      <c r="L114" s="229">
        <v>-3.5400000000000001E-2</v>
      </c>
      <c r="M114" s="228">
        <v>856.5</v>
      </c>
      <c r="N114" s="228">
        <v>873.4</v>
      </c>
      <c r="O114" s="228">
        <v>-16.899999999999999</v>
      </c>
      <c r="P114" s="229">
        <v>-1.9300000000000001E-2</v>
      </c>
      <c r="Q114" s="228">
        <v>835.95</v>
      </c>
      <c r="R114" s="228">
        <v>852.35</v>
      </c>
      <c r="S114" s="228">
        <v>-16.399999999999999</v>
      </c>
      <c r="T114" s="229">
        <v>-1.9199999999999998E-2</v>
      </c>
      <c r="U114" s="228">
        <v>828.65</v>
      </c>
      <c r="V114" s="228">
        <v>843.1</v>
      </c>
      <c r="W114" s="228">
        <v>-14.45</v>
      </c>
      <c r="X114" s="229">
        <v>-1.7100000000000001E-2</v>
      </c>
      <c r="Y114" s="228">
        <v>-7.45</v>
      </c>
      <c r="Z114" s="228">
        <v>-22.3</v>
      </c>
      <c r="AA114" s="228">
        <v>14.85</v>
      </c>
      <c r="AB114" s="229">
        <v>-8.6E-3</v>
      </c>
      <c r="AC114" s="228">
        <v>-7.45</v>
      </c>
      <c r="AD114" s="228">
        <v>-22.3</v>
      </c>
      <c r="AE114" s="228">
        <v>14.85</v>
      </c>
      <c r="AF114" s="229">
        <v>-8.6E-3</v>
      </c>
      <c r="AG114" s="228">
        <v>-28</v>
      </c>
      <c r="AH114" s="228">
        <v>-43.35</v>
      </c>
      <c r="AI114" s="228">
        <v>15.35</v>
      </c>
      <c r="AJ114" s="229">
        <v>-3.2399999999999998E-2</v>
      </c>
      <c r="AK114" s="228">
        <v>-35.299999999999997</v>
      </c>
      <c r="AL114" s="228">
        <v>-52.6</v>
      </c>
      <c r="AM114" s="228">
        <v>17.3</v>
      </c>
      <c r="AN114" s="229">
        <v>-4.0899999999999999E-2</v>
      </c>
      <c r="AO114" s="228">
        <v>859.2</v>
      </c>
      <c r="AP114" s="228">
        <v>841.92</v>
      </c>
      <c r="AQ114" s="228">
        <v>0</v>
      </c>
      <c r="AR114" s="230">
        <v>2286500</v>
      </c>
      <c r="AS114" s="230">
        <v>8849000</v>
      </c>
      <c r="AT114" s="230">
        <v>-6562500</v>
      </c>
      <c r="AU114" s="229">
        <v>-0.74160000000000004</v>
      </c>
      <c r="AV114" s="230">
        <v>1878500</v>
      </c>
      <c r="AW114" s="230">
        <v>8129500</v>
      </c>
      <c r="AX114" s="230">
        <v>-6251000</v>
      </c>
      <c r="AY114" s="229">
        <v>-0.76890000000000003</v>
      </c>
      <c r="AZ114" s="230">
        <v>368000</v>
      </c>
      <c r="BA114" s="230">
        <v>642000</v>
      </c>
      <c r="BB114" s="230">
        <v>-274000</v>
      </c>
      <c r="BC114" s="229">
        <v>-0.42680000000000001</v>
      </c>
      <c r="BD114" s="230">
        <v>40000</v>
      </c>
      <c r="BE114" s="230">
        <v>77500</v>
      </c>
      <c r="BF114" s="230">
        <v>-37500</v>
      </c>
      <c r="BG114" s="229">
        <v>-0.4839</v>
      </c>
      <c r="BH114" s="230">
        <v>6041000</v>
      </c>
      <c r="BI114" s="230">
        <v>14883000</v>
      </c>
      <c r="BJ114" s="230">
        <v>-8842000</v>
      </c>
      <c r="BK114" s="229">
        <v>-0.59409999999999996</v>
      </c>
      <c r="BL114" s="230">
        <v>2911000</v>
      </c>
      <c r="BM114" s="230">
        <v>11152000</v>
      </c>
      <c r="BN114" s="230">
        <v>-8241000</v>
      </c>
      <c r="BO114" s="229">
        <v>-0.73899999999999999</v>
      </c>
      <c r="BP114" s="230">
        <v>11238500</v>
      </c>
      <c r="BQ114" s="230">
        <v>34884000</v>
      </c>
      <c r="BR114" s="230">
        <v>-23645500</v>
      </c>
      <c r="BS114" s="229">
        <v>-0.67779999999999996</v>
      </c>
      <c r="BT114" s="230">
        <v>2708189</v>
      </c>
      <c r="BU114" s="230">
        <v>7119998</v>
      </c>
      <c r="BV114" s="230">
        <v>-4411809</v>
      </c>
      <c r="BW114" s="229">
        <v>-0.61960000000000004</v>
      </c>
      <c r="BX114" s="230">
        <v>5753100</v>
      </c>
      <c r="BY114" s="230">
        <v>5402475</v>
      </c>
      <c r="BZ114" s="230">
        <v>350625</v>
      </c>
      <c r="CA114" s="229">
        <v>6.4899999999999999E-2</v>
      </c>
      <c r="CB114" s="230">
        <v>5187000</v>
      </c>
      <c r="CC114" s="230">
        <v>5007500</v>
      </c>
      <c r="CD114" s="230">
        <v>179500</v>
      </c>
      <c r="CE114" s="229">
        <v>3.5799999999999998E-2</v>
      </c>
      <c r="CF114" s="230">
        <v>469500</v>
      </c>
      <c r="CG114" s="230">
        <v>318500</v>
      </c>
      <c r="CH114" s="230">
        <v>151000</v>
      </c>
      <c r="CI114" s="229">
        <v>0.47410000000000002</v>
      </c>
      <c r="CJ114" s="230">
        <v>96600</v>
      </c>
      <c r="CK114" s="230">
        <v>76475</v>
      </c>
      <c r="CL114" s="230">
        <v>20125</v>
      </c>
      <c r="CM114" s="229">
        <v>0.26319999999999999</v>
      </c>
      <c r="CN114" s="230">
        <v>5272000</v>
      </c>
      <c r="CO114" s="230">
        <v>4259500</v>
      </c>
      <c r="CP114" s="230">
        <v>1012500</v>
      </c>
      <c r="CQ114" s="229">
        <v>0.23769999999999999</v>
      </c>
      <c r="CR114" s="230">
        <v>2469075</v>
      </c>
      <c r="CS114" s="230">
        <v>2194500</v>
      </c>
      <c r="CT114" s="230">
        <v>274575</v>
      </c>
      <c r="CU114" s="229">
        <v>0.12509999999999999</v>
      </c>
      <c r="CV114" s="230">
        <v>13494175</v>
      </c>
      <c r="CW114" s="230">
        <v>11856475</v>
      </c>
      <c r="CX114" s="230">
        <v>1637700</v>
      </c>
      <c r="CY114" s="229">
        <v>0.1381</v>
      </c>
      <c r="CZ114" s="228">
        <v>43.58</v>
      </c>
      <c r="DA114" s="228">
        <v>44.22</v>
      </c>
      <c r="DB114" s="228">
        <v>-0.64</v>
      </c>
      <c r="DC114" s="228">
        <v>-0.64</v>
      </c>
      <c r="DD114" s="228">
        <v>51.36</v>
      </c>
      <c r="DE114" s="228">
        <v>51.42</v>
      </c>
      <c r="DF114" s="228">
        <v>-7.78</v>
      </c>
      <c r="DG114" s="228">
        <v>-0.06</v>
      </c>
      <c r="DH114" s="228">
        <v>44.34</v>
      </c>
      <c r="DI114" s="228">
        <v>45.26</v>
      </c>
      <c r="DJ114" s="228">
        <v>-0.92</v>
      </c>
      <c r="DK114" s="228">
        <v>-0.92</v>
      </c>
      <c r="DL114" s="228">
        <v>42.02</v>
      </c>
      <c r="DM114" s="228">
        <v>42.83</v>
      </c>
      <c r="DN114" s="228">
        <v>-0.81</v>
      </c>
      <c r="DO114" s="228">
        <v>-0.81</v>
      </c>
      <c r="DP114" s="228">
        <v>0.47</v>
      </c>
      <c r="DQ114" s="228">
        <v>0.52</v>
      </c>
      <c r="DR114" s="228">
        <v>-0.05</v>
      </c>
      <c r="DS114" s="229">
        <v>-9.6199999999999994E-2</v>
      </c>
      <c r="DT114" s="228">
        <v>980</v>
      </c>
      <c r="DU114" s="228">
        <v>760</v>
      </c>
      <c r="DV114" s="228">
        <v>0.48</v>
      </c>
      <c r="DW114" s="228">
        <v>0.75</v>
      </c>
      <c r="DX114" s="228">
        <v>-0.27</v>
      </c>
      <c r="DY114" s="229">
        <v>-0.36</v>
      </c>
      <c r="DZ114" s="229">
        <v>9.8400000000000001E-2</v>
      </c>
      <c r="EA114" s="230">
        <v>394975</v>
      </c>
      <c r="EB114" s="229">
        <v>-2.4E-2</v>
      </c>
      <c r="EC114" s="229">
        <v>9.8400000000000001E-2</v>
      </c>
      <c r="ED114" s="228">
        <v>-17.28</v>
      </c>
      <c r="EE114" s="229">
        <v>-2.01E-2</v>
      </c>
      <c r="EF114" s="230">
        <v>1087840</v>
      </c>
      <c r="EG114" s="230">
        <v>2155342</v>
      </c>
      <c r="EH114" s="229">
        <v>-0.49530000000000002</v>
      </c>
      <c r="EI114" s="229">
        <v>0.4017</v>
      </c>
      <c r="EJ114" s="231">
        <v>57861.08</v>
      </c>
      <c r="EK114" s="231">
        <v>25203.18</v>
      </c>
      <c r="EL114" s="231">
        <v>19620.55</v>
      </c>
      <c r="EM114" s="231">
        <v>7305</v>
      </c>
      <c r="EN114" s="231">
        <v>102684.81</v>
      </c>
      <c r="EO114" s="231">
        <v>333219.31</v>
      </c>
      <c r="EP114" s="231">
        <v>-230534.5</v>
      </c>
      <c r="EQ114" s="229">
        <v>-0.69179999999999997</v>
      </c>
      <c r="ER114" s="231">
        <v>51349</v>
      </c>
      <c r="ES114" s="231">
        <v>21747</v>
      </c>
      <c r="ET114" s="231">
        <v>49152</v>
      </c>
      <c r="EU114" s="231">
        <v>19953342</v>
      </c>
      <c r="EV114" s="231">
        <v>122248</v>
      </c>
      <c r="EW114" s="231">
        <v>108649</v>
      </c>
      <c r="EX114" s="231">
        <v>13599</v>
      </c>
      <c r="EY114" s="229">
        <v>0.12520000000000001</v>
      </c>
      <c r="EZ114" s="229">
        <v>0.67630000000000001</v>
      </c>
      <c r="FA114" s="227" t="s">
        <v>566</v>
      </c>
      <c r="FB114" s="161">
        <f t="shared" si="1"/>
        <v>566100</v>
      </c>
    </row>
    <row r="115" spans="1:158" ht="17.25" thickBot="1" x14ac:dyDescent="0.3">
      <c r="A115" s="226">
        <v>46146</v>
      </c>
      <c r="B115" s="227" t="s">
        <v>172</v>
      </c>
      <c r="C115" s="227" t="s">
        <v>246</v>
      </c>
      <c r="D115" s="228">
        <v>2000</v>
      </c>
      <c r="E115" s="228">
        <v>372.5</v>
      </c>
      <c r="F115" s="228">
        <v>385.9</v>
      </c>
      <c r="G115" s="228">
        <v>-13.4</v>
      </c>
      <c r="H115" s="229">
        <v>-3.4700000000000002E-2</v>
      </c>
      <c r="I115" s="228">
        <v>371.65</v>
      </c>
      <c r="J115" s="228">
        <v>383.3</v>
      </c>
      <c r="K115" s="228">
        <v>-11.65</v>
      </c>
      <c r="L115" s="229">
        <v>-3.04E-2</v>
      </c>
      <c r="M115" s="228">
        <v>372.5</v>
      </c>
      <c r="N115" s="228">
        <v>385.9</v>
      </c>
      <c r="O115" s="228">
        <v>-13.4</v>
      </c>
      <c r="P115" s="229">
        <v>-3.4700000000000002E-2</v>
      </c>
      <c r="Q115" s="228">
        <v>374.95</v>
      </c>
      <c r="R115" s="228">
        <v>387.75</v>
      </c>
      <c r="S115" s="228">
        <v>-12.8</v>
      </c>
      <c r="T115" s="229">
        <v>-3.3000000000000002E-2</v>
      </c>
      <c r="U115" s="228">
        <v>376.6</v>
      </c>
      <c r="V115" s="228">
        <v>388.95</v>
      </c>
      <c r="W115" s="228">
        <v>-12.35</v>
      </c>
      <c r="X115" s="229">
        <v>-3.1800000000000002E-2</v>
      </c>
      <c r="Y115" s="228">
        <v>0.85</v>
      </c>
      <c r="Z115" s="228">
        <v>2.6</v>
      </c>
      <c r="AA115" s="228">
        <v>-1.75</v>
      </c>
      <c r="AB115" s="229">
        <v>2.3E-3</v>
      </c>
      <c r="AC115" s="228">
        <v>0.85</v>
      </c>
      <c r="AD115" s="228">
        <v>2.6</v>
      </c>
      <c r="AE115" s="228">
        <v>-1.75</v>
      </c>
      <c r="AF115" s="229">
        <v>2.3E-3</v>
      </c>
      <c r="AG115" s="228">
        <v>3.3</v>
      </c>
      <c r="AH115" s="228">
        <v>4.45</v>
      </c>
      <c r="AI115" s="228">
        <v>-1.1499999999999999</v>
      </c>
      <c r="AJ115" s="229">
        <v>8.8999999999999999E-3</v>
      </c>
      <c r="AK115" s="228">
        <v>4.95</v>
      </c>
      <c r="AL115" s="228">
        <v>5.65</v>
      </c>
      <c r="AM115" s="228">
        <v>-0.7</v>
      </c>
      <c r="AN115" s="229">
        <v>1.3299999999999999E-2</v>
      </c>
      <c r="AO115" s="228">
        <v>372.66</v>
      </c>
      <c r="AP115" s="228">
        <v>375.64</v>
      </c>
      <c r="AQ115" s="228">
        <v>0</v>
      </c>
      <c r="AR115" s="230">
        <v>83190000</v>
      </c>
      <c r="AS115" s="230">
        <v>39198000</v>
      </c>
      <c r="AT115" s="230">
        <v>43992000</v>
      </c>
      <c r="AU115" s="229">
        <v>1.1223000000000001</v>
      </c>
      <c r="AV115" s="230">
        <v>78626000</v>
      </c>
      <c r="AW115" s="230">
        <v>36080000</v>
      </c>
      <c r="AX115" s="230">
        <v>42546000</v>
      </c>
      <c r="AY115" s="229">
        <v>1.1792</v>
      </c>
      <c r="AZ115" s="230">
        <v>4144000</v>
      </c>
      <c r="BA115" s="230">
        <v>2994000</v>
      </c>
      <c r="BB115" s="230">
        <v>1150000</v>
      </c>
      <c r="BC115" s="229">
        <v>0.3841</v>
      </c>
      <c r="BD115" s="230">
        <v>420000</v>
      </c>
      <c r="BE115" s="230">
        <v>124000</v>
      </c>
      <c r="BF115" s="230">
        <v>296000</v>
      </c>
      <c r="BG115" s="229">
        <v>2.3871000000000002</v>
      </c>
      <c r="BH115" s="230">
        <v>157218000</v>
      </c>
      <c r="BI115" s="230">
        <v>45624000</v>
      </c>
      <c r="BJ115" s="230">
        <v>111594000</v>
      </c>
      <c r="BK115" s="229">
        <v>2.4459</v>
      </c>
      <c r="BL115" s="230">
        <v>74896000</v>
      </c>
      <c r="BM115" s="230">
        <v>30482000</v>
      </c>
      <c r="BN115" s="230">
        <v>44414000</v>
      </c>
      <c r="BO115" s="229">
        <v>1.4571000000000001</v>
      </c>
      <c r="BP115" s="230">
        <v>315304000</v>
      </c>
      <c r="BQ115" s="230">
        <v>115304000</v>
      </c>
      <c r="BR115" s="230">
        <v>200000000</v>
      </c>
      <c r="BS115" s="229">
        <v>1.7344999999999999</v>
      </c>
      <c r="BT115" s="230">
        <v>80480790</v>
      </c>
      <c r="BU115" s="230">
        <v>26168375</v>
      </c>
      <c r="BV115" s="230">
        <v>54312415</v>
      </c>
      <c r="BW115" s="229">
        <v>2.0754999999999999</v>
      </c>
      <c r="BX115" s="230">
        <v>227986000</v>
      </c>
      <c r="BY115" s="230">
        <v>242138000</v>
      </c>
      <c r="BZ115" s="230">
        <v>-14152000</v>
      </c>
      <c r="CA115" s="229">
        <v>-5.8400000000000001E-2</v>
      </c>
      <c r="CB115" s="230">
        <v>186694000</v>
      </c>
      <c r="CC115" s="230">
        <v>203606000</v>
      </c>
      <c r="CD115" s="230">
        <v>-16912000</v>
      </c>
      <c r="CE115" s="229">
        <v>-8.3099999999999993E-2</v>
      </c>
      <c r="CF115" s="230">
        <v>40806000</v>
      </c>
      <c r="CG115" s="230">
        <v>38354000</v>
      </c>
      <c r="CH115" s="230">
        <v>2452000</v>
      </c>
      <c r="CI115" s="229">
        <v>6.3899999999999998E-2</v>
      </c>
      <c r="CJ115" s="230">
        <v>486000</v>
      </c>
      <c r="CK115" s="230">
        <v>178000</v>
      </c>
      <c r="CL115" s="230">
        <v>308000</v>
      </c>
      <c r="CM115" s="229">
        <v>1.7302999999999999</v>
      </c>
      <c r="CN115" s="230">
        <v>48982000</v>
      </c>
      <c r="CO115" s="230">
        <v>30964000</v>
      </c>
      <c r="CP115" s="230">
        <v>18018000</v>
      </c>
      <c r="CQ115" s="229">
        <v>0.58189999999999997</v>
      </c>
      <c r="CR115" s="230">
        <v>31886000</v>
      </c>
      <c r="CS115" s="230">
        <v>30422000</v>
      </c>
      <c r="CT115" s="230">
        <v>1464000</v>
      </c>
      <c r="CU115" s="229">
        <v>4.8099999999999997E-2</v>
      </c>
      <c r="CV115" s="230">
        <v>308854000</v>
      </c>
      <c r="CW115" s="230">
        <v>303524000</v>
      </c>
      <c r="CX115" s="230">
        <v>5330000</v>
      </c>
      <c r="CY115" s="229">
        <v>1.7600000000000001E-2</v>
      </c>
      <c r="CZ115" s="228">
        <v>27</v>
      </c>
      <c r="DA115" s="228">
        <v>32.96</v>
      </c>
      <c r="DB115" s="228">
        <v>-5.96</v>
      </c>
      <c r="DC115" s="228">
        <v>-5.96</v>
      </c>
      <c r="DD115" s="228">
        <v>27.34</v>
      </c>
      <c r="DE115" s="228">
        <v>27.09</v>
      </c>
      <c r="DF115" s="228">
        <v>-0.34</v>
      </c>
      <c r="DG115" s="228">
        <v>0.25</v>
      </c>
      <c r="DH115" s="228">
        <v>26.84</v>
      </c>
      <c r="DI115" s="228">
        <v>32.11</v>
      </c>
      <c r="DJ115" s="228">
        <v>-5.27</v>
      </c>
      <c r="DK115" s="228">
        <v>-5.27</v>
      </c>
      <c r="DL115" s="228">
        <v>27.34</v>
      </c>
      <c r="DM115" s="228">
        <v>34.229999999999997</v>
      </c>
      <c r="DN115" s="228">
        <v>-6.89</v>
      </c>
      <c r="DO115" s="228">
        <v>-6.89</v>
      </c>
      <c r="DP115" s="228">
        <v>0.65</v>
      </c>
      <c r="DQ115" s="228">
        <v>0.98</v>
      </c>
      <c r="DR115" s="228">
        <v>-0.33</v>
      </c>
      <c r="DS115" s="229">
        <v>-0.3367</v>
      </c>
      <c r="DT115" s="228">
        <v>400</v>
      </c>
      <c r="DU115" s="228">
        <v>360</v>
      </c>
      <c r="DV115" s="228">
        <v>0.48</v>
      </c>
      <c r="DW115" s="228">
        <v>0.67</v>
      </c>
      <c r="DX115" s="228">
        <v>-0.19</v>
      </c>
      <c r="DY115" s="229">
        <v>-0.28360000000000002</v>
      </c>
      <c r="DZ115" s="229">
        <v>0.18110000000000001</v>
      </c>
      <c r="EA115" s="230">
        <v>38532000</v>
      </c>
      <c r="EB115" s="229">
        <v>6.6E-3</v>
      </c>
      <c r="EC115" s="229">
        <v>0.18110000000000001</v>
      </c>
      <c r="ED115" s="228">
        <v>2.98</v>
      </c>
      <c r="EE115" s="229">
        <v>8.0000000000000002E-3</v>
      </c>
      <c r="EF115" s="230">
        <v>56219341</v>
      </c>
      <c r="EG115" s="230">
        <v>16226636</v>
      </c>
      <c r="EH115" s="229">
        <v>2.4645999999999999</v>
      </c>
      <c r="EI115" s="229">
        <v>0.69850000000000001</v>
      </c>
      <c r="EJ115" s="231">
        <v>619359.17000000004</v>
      </c>
      <c r="EK115" s="231">
        <v>279839.08</v>
      </c>
      <c r="EL115" s="231">
        <v>310156.09999999998</v>
      </c>
      <c r="EM115" s="231">
        <v>25210</v>
      </c>
      <c r="EN115" s="231">
        <v>1209354.3500000001</v>
      </c>
      <c r="EO115" s="231">
        <v>450362.31</v>
      </c>
      <c r="EP115" s="231">
        <v>758992.04</v>
      </c>
      <c r="EQ115" s="229">
        <v>1.6853</v>
      </c>
      <c r="ER115" s="231">
        <v>192733</v>
      </c>
      <c r="ES115" s="231">
        <v>117203</v>
      </c>
      <c r="ET115" s="231">
        <v>850268</v>
      </c>
      <c r="EU115" s="231">
        <v>882793124</v>
      </c>
      <c r="EV115" s="231">
        <v>1160204</v>
      </c>
      <c r="EW115" s="231">
        <v>1170883</v>
      </c>
      <c r="EX115" s="231">
        <v>-10679</v>
      </c>
      <c r="EY115" s="229">
        <v>-9.1000000000000004E-3</v>
      </c>
      <c r="EZ115" s="229">
        <v>0.34989999999999999</v>
      </c>
      <c r="FA115" s="227" t="s">
        <v>567</v>
      </c>
      <c r="FB115" s="161">
        <f t="shared" si="1"/>
        <v>41292000</v>
      </c>
    </row>
    <row r="116" spans="1:158" ht="17.25" thickBot="1" x14ac:dyDescent="0.3">
      <c r="A116" s="226">
        <v>46146</v>
      </c>
      <c r="B116" s="227" t="s">
        <v>221</v>
      </c>
      <c r="C116" s="227" t="s">
        <v>576</v>
      </c>
      <c r="D116" s="228">
        <v>425</v>
      </c>
      <c r="E116" s="228">
        <v>769.5</v>
      </c>
      <c r="F116" s="228">
        <v>761.6</v>
      </c>
      <c r="G116" s="228">
        <v>7.9</v>
      </c>
      <c r="H116" s="229">
        <v>1.04E-2</v>
      </c>
      <c r="I116" s="228">
        <v>768.55</v>
      </c>
      <c r="J116" s="228">
        <v>759.05</v>
      </c>
      <c r="K116" s="228">
        <v>9.5</v>
      </c>
      <c r="L116" s="229">
        <v>1.2500000000000001E-2</v>
      </c>
      <c r="M116" s="228">
        <v>769.5</v>
      </c>
      <c r="N116" s="228">
        <v>761.6</v>
      </c>
      <c r="O116" s="228">
        <v>7.9</v>
      </c>
      <c r="P116" s="229">
        <v>1.04E-2</v>
      </c>
      <c r="Q116" s="228">
        <v>773.95</v>
      </c>
      <c r="R116" s="228">
        <v>766.5</v>
      </c>
      <c r="S116" s="228">
        <v>7.45</v>
      </c>
      <c r="T116" s="229">
        <v>9.7000000000000003E-3</v>
      </c>
      <c r="U116" s="228">
        <v>776</v>
      </c>
      <c r="V116" s="228">
        <v>767.95</v>
      </c>
      <c r="W116" s="228">
        <v>8.0500000000000007</v>
      </c>
      <c r="X116" s="229">
        <v>1.0500000000000001E-2</v>
      </c>
      <c r="Y116" s="228">
        <v>0.95</v>
      </c>
      <c r="Z116" s="228">
        <v>2.5499999999999998</v>
      </c>
      <c r="AA116" s="228">
        <v>-1.6</v>
      </c>
      <c r="AB116" s="229">
        <v>1.1999999999999999E-3</v>
      </c>
      <c r="AC116" s="228">
        <v>0.95</v>
      </c>
      <c r="AD116" s="228">
        <v>2.5499999999999998</v>
      </c>
      <c r="AE116" s="228">
        <v>-1.6</v>
      </c>
      <c r="AF116" s="229">
        <v>1.1999999999999999E-3</v>
      </c>
      <c r="AG116" s="228">
        <v>5.4</v>
      </c>
      <c r="AH116" s="228">
        <v>7.45</v>
      </c>
      <c r="AI116" s="228">
        <v>-2.0499999999999998</v>
      </c>
      <c r="AJ116" s="229">
        <v>7.0000000000000001E-3</v>
      </c>
      <c r="AK116" s="228">
        <v>7.45</v>
      </c>
      <c r="AL116" s="228">
        <v>8.9</v>
      </c>
      <c r="AM116" s="228">
        <v>-1.45</v>
      </c>
      <c r="AN116" s="229">
        <v>9.7000000000000003E-3</v>
      </c>
      <c r="AO116" s="228">
        <v>769.76</v>
      </c>
      <c r="AP116" s="228">
        <v>775.08</v>
      </c>
      <c r="AQ116" s="228">
        <v>0</v>
      </c>
      <c r="AR116" s="230">
        <v>1995375</v>
      </c>
      <c r="AS116" s="230">
        <v>2150925</v>
      </c>
      <c r="AT116" s="230">
        <v>-155550</v>
      </c>
      <c r="AU116" s="229">
        <v>-7.2300000000000003E-2</v>
      </c>
      <c r="AV116" s="230">
        <v>1916325</v>
      </c>
      <c r="AW116" s="230">
        <v>2069325</v>
      </c>
      <c r="AX116" s="230">
        <v>-153000</v>
      </c>
      <c r="AY116" s="229">
        <v>-7.3899999999999993E-2</v>
      </c>
      <c r="AZ116" s="230">
        <v>73525</v>
      </c>
      <c r="BA116" s="230">
        <v>73100</v>
      </c>
      <c r="BB116" s="228">
        <v>425</v>
      </c>
      <c r="BC116" s="229">
        <v>5.7999999999999996E-3</v>
      </c>
      <c r="BD116" s="230">
        <v>5525</v>
      </c>
      <c r="BE116" s="230">
        <v>8500</v>
      </c>
      <c r="BF116" s="230">
        <v>-2975</v>
      </c>
      <c r="BG116" s="229">
        <v>-0.35</v>
      </c>
      <c r="BH116" s="230">
        <v>4263175</v>
      </c>
      <c r="BI116" s="230">
        <v>5682250</v>
      </c>
      <c r="BJ116" s="230">
        <v>-1419075</v>
      </c>
      <c r="BK116" s="229">
        <v>-0.24970000000000001</v>
      </c>
      <c r="BL116" s="230">
        <v>1085025</v>
      </c>
      <c r="BM116" s="230">
        <v>1779475</v>
      </c>
      <c r="BN116" s="230">
        <v>-694450</v>
      </c>
      <c r="BO116" s="229">
        <v>-0.39029999999999998</v>
      </c>
      <c r="BP116" s="230">
        <v>7343575</v>
      </c>
      <c r="BQ116" s="230">
        <v>9612650</v>
      </c>
      <c r="BR116" s="230">
        <v>-2269075</v>
      </c>
      <c r="BS116" s="229">
        <v>-0.2361</v>
      </c>
      <c r="BT116" s="230">
        <v>2550295</v>
      </c>
      <c r="BU116" s="230">
        <v>2983443</v>
      </c>
      <c r="BV116" s="230">
        <v>-433148</v>
      </c>
      <c r="BW116" s="229">
        <v>-0.1452</v>
      </c>
      <c r="BX116" s="230">
        <v>6247775</v>
      </c>
      <c r="BY116" s="230">
        <v>6196075</v>
      </c>
      <c r="BZ116" s="230">
        <v>51700</v>
      </c>
      <c r="CA116" s="229">
        <v>8.3000000000000001E-3</v>
      </c>
      <c r="CB116" s="230">
        <v>6028625</v>
      </c>
      <c r="CC116" s="230">
        <v>5983150</v>
      </c>
      <c r="CD116" s="230">
        <v>45475</v>
      </c>
      <c r="CE116" s="229">
        <v>7.6E-3</v>
      </c>
      <c r="CF116" s="230">
        <v>204425</v>
      </c>
      <c r="CG116" s="230">
        <v>199750</v>
      </c>
      <c r="CH116" s="230">
        <v>4675</v>
      </c>
      <c r="CI116" s="229">
        <v>2.3400000000000001E-2</v>
      </c>
      <c r="CJ116" s="230">
        <v>14725</v>
      </c>
      <c r="CK116" s="230">
        <v>13175</v>
      </c>
      <c r="CL116" s="230">
        <v>1550</v>
      </c>
      <c r="CM116" s="229">
        <v>0.1176</v>
      </c>
      <c r="CN116" s="230">
        <v>2405075</v>
      </c>
      <c r="CO116" s="230">
        <v>1723375</v>
      </c>
      <c r="CP116" s="230">
        <v>681700</v>
      </c>
      <c r="CQ116" s="229">
        <v>0.39560000000000001</v>
      </c>
      <c r="CR116" s="230">
        <v>1551250</v>
      </c>
      <c r="CS116" s="230">
        <v>1398250</v>
      </c>
      <c r="CT116" s="230">
        <v>153000</v>
      </c>
      <c r="CU116" s="229">
        <v>0.1094</v>
      </c>
      <c r="CV116" s="230">
        <v>10204100</v>
      </c>
      <c r="CW116" s="230">
        <v>9317700</v>
      </c>
      <c r="CX116" s="230">
        <v>886400</v>
      </c>
      <c r="CY116" s="229">
        <v>9.5100000000000004E-2</v>
      </c>
      <c r="CZ116" s="228">
        <v>46.79</v>
      </c>
      <c r="DA116" s="228">
        <v>46.99</v>
      </c>
      <c r="DB116" s="228">
        <v>-0.2</v>
      </c>
      <c r="DC116" s="228">
        <v>-0.2</v>
      </c>
      <c r="DD116" s="228">
        <v>44.73</v>
      </c>
      <c r="DE116" s="228">
        <v>44.82</v>
      </c>
      <c r="DF116" s="228">
        <v>2.06</v>
      </c>
      <c r="DG116" s="228">
        <v>-0.09</v>
      </c>
      <c r="DH116" s="228">
        <v>46.39</v>
      </c>
      <c r="DI116" s="228">
        <v>46.81</v>
      </c>
      <c r="DJ116" s="228">
        <v>-0.42</v>
      </c>
      <c r="DK116" s="228">
        <v>-0.42</v>
      </c>
      <c r="DL116" s="228">
        <v>48.35</v>
      </c>
      <c r="DM116" s="228">
        <v>47.56</v>
      </c>
      <c r="DN116" s="228">
        <v>0.79</v>
      </c>
      <c r="DO116" s="228">
        <v>0.79</v>
      </c>
      <c r="DP116" s="228">
        <v>0.64</v>
      </c>
      <c r="DQ116" s="228">
        <v>0.81</v>
      </c>
      <c r="DR116" s="228">
        <v>-0.17</v>
      </c>
      <c r="DS116" s="229">
        <v>-0.2099</v>
      </c>
      <c r="DT116" s="228">
        <v>800</v>
      </c>
      <c r="DU116" s="228">
        <v>700</v>
      </c>
      <c r="DV116" s="228">
        <v>0.25</v>
      </c>
      <c r="DW116" s="228">
        <v>0.31</v>
      </c>
      <c r="DX116" s="228">
        <v>-0.06</v>
      </c>
      <c r="DY116" s="229">
        <v>-0.19350000000000001</v>
      </c>
      <c r="DZ116" s="229">
        <v>3.5099999999999999E-2</v>
      </c>
      <c r="EA116" s="230">
        <v>212925</v>
      </c>
      <c r="EB116" s="229">
        <v>5.7999999999999996E-3</v>
      </c>
      <c r="EC116" s="229">
        <v>3.5099999999999999E-2</v>
      </c>
      <c r="ED116" s="228">
        <v>5.32</v>
      </c>
      <c r="EE116" s="229">
        <v>6.8999999999999999E-3</v>
      </c>
      <c r="EF116" s="230">
        <v>1066102</v>
      </c>
      <c r="EG116" s="230">
        <v>1000276</v>
      </c>
      <c r="EH116" s="229">
        <v>6.5799999999999997E-2</v>
      </c>
      <c r="EI116" s="229">
        <v>0.41799999999999998</v>
      </c>
      <c r="EJ116" s="231">
        <v>35185.620000000003</v>
      </c>
      <c r="EK116" s="231">
        <v>8413.41</v>
      </c>
      <c r="EL116" s="231">
        <v>15399.35</v>
      </c>
      <c r="EM116" s="231">
        <v>6148</v>
      </c>
      <c r="EN116" s="231">
        <v>58998.38</v>
      </c>
      <c r="EO116" s="231">
        <v>75292.23</v>
      </c>
      <c r="EP116" s="231">
        <v>-16293.85</v>
      </c>
      <c r="EQ116" s="229">
        <v>-0.21640000000000001</v>
      </c>
      <c r="ER116" s="231">
        <v>19093</v>
      </c>
      <c r="ES116" s="231">
        <v>11130</v>
      </c>
      <c r="ET116" s="231">
        <v>48087</v>
      </c>
      <c r="EU116" s="231">
        <v>24611073</v>
      </c>
      <c r="EV116" s="231">
        <v>78310</v>
      </c>
      <c r="EW116" s="231">
        <v>70528</v>
      </c>
      <c r="EX116" s="231">
        <v>7782</v>
      </c>
      <c r="EY116" s="229">
        <v>0.1103</v>
      </c>
      <c r="EZ116" s="229">
        <v>0.41460000000000002</v>
      </c>
      <c r="FA116" s="227" t="s">
        <v>555</v>
      </c>
      <c r="FB116" s="161">
        <f t="shared" si="1"/>
        <v>219150</v>
      </c>
    </row>
    <row r="117" spans="1:158" ht="17.25" thickBot="1" x14ac:dyDescent="0.3">
      <c r="A117" s="226">
        <v>46146</v>
      </c>
      <c r="B117" s="227" t="s">
        <v>170</v>
      </c>
      <c r="C117" s="227" t="s">
        <v>535</v>
      </c>
      <c r="D117" s="228">
        <v>850</v>
      </c>
      <c r="E117" s="231">
        <v>1172</v>
      </c>
      <c r="F117" s="231">
        <v>1107.45</v>
      </c>
      <c r="G117" s="228">
        <v>64.55</v>
      </c>
      <c r="H117" s="229">
        <v>5.8299999999999998E-2</v>
      </c>
      <c r="I117" s="231">
        <v>1166.4000000000001</v>
      </c>
      <c r="J117" s="231">
        <v>1100.95</v>
      </c>
      <c r="K117" s="228">
        <v>65.45</v>
      </c>
      <c r="L117" s="229">
        <v>5.9400000000000001E-2</v>
      </c>
      <c r="M117" s="231">
        <v>1172</v>
      </c>
      <c r="N117" s="231">
        <v>1107.45</v>
      </c>
      <c r="O117" s="228">
        <v>64.55</v>
      </c>
      <c r="P117" s="229">
        <v>5.8299999999999998E-2</v>
      </c>
      <c r="Q117" s="231">
        <v>1179.9000000000001</v>
      </c>
      <c r="R117" s="231">
        <v>1115.75</v>
      </c>
      <c r="S117" s="228">
        <v>64.150000000000006</v>
      </c>
      <c r="T117" s="229">
        <v>5.7500000000000002E-2</v>
      </c>
      <c r="U117" s="231">
        <v>1185.2</v>
      </c>
      <c r="V117" s="231">
        <v>1118.5999999999999</v>
      </c>
      <c r="W117" s="228">
        <v>66.599999999999994</v>
      </c>
      <c r="X117" s="229">
        <v>5.9499999999999997E-2</v>
      </c>
      <c r="Y117" s="228">
        <v>5.6</v>
      </c>
      <c r="Z117" s="228">
        <v>6.5</v>
      </c>
      <c r="AA117" s="228">
        <v>-0.9</v>
      </c>
      <c r="AB117" s="229">
        <v>4.7999999999999996E-3</v>
      </c>
      <c r="AC117" s="228">
        <v>5.6</v>
      </c>
      <c r="AD117" s="228">
        <v>6.5</v>
      </c>
      <c r="AE117" s="228">
        <v>-0.9</v>
      </c>
      <c r="AF117" s="229">
        <v>4.7999999999999996E-3</v>
      </c>
      <c r="AG117" s="228">
        <v>13.5</v>
      </c>
      <c r="AH117" s="228">
        <v>14.8</v>
      </c>
      <c r="AI117" s="228">
        <v>-1.3</v>
      </c>
      <c r="AJ117" s="229">
        <v>1.1599999999999999E-2</v>
      </c>
      <c r="AK117" s="228">
        <v>18.8</v>
      </c>
      <c r="AL117" s="228">
        <v>17.649999999999999</v>
      </c>
      <c r="AM117" s="228">
        <v>1.1499999999999999</v>
      </c>
      <c r="AN117" s="229">
        <v>1.61E-2</v>
      </c>
      <c r="AO117" s="231">
        <v>1157.6199999999999</v>
      </c>
      <c r="AP117" s="231">
        <v>1166.71</v>
      </c>
      <c r="AQ117" s="228">
        <v>0</v>
      </c>
      <c r="AR117" s="230">
        <v>9140050</v>
      </c>
      <c r="AS117" s="230">
        <v>4911300</v>
      </c>
      <c r="AT117" s="230">
        <v>4228750</v>
      </c>
      <c r="AU117" s="229">
        <v>0.86099999999999999</v>
      </c>
      <c r="AV117" s="230">
        <v>8862100</v>
      </c>
      <c r="AW117" s="230">
        <v>4784650</v>
      </c>
      <c r="AX117" s="230">
        <v>4077450</v>
      </c>
      <c r="AY117" s="229">
        <v>0.85219999999999996</v>
      </c>
      <c r="AZ117" s="230">
        <v>243950</v>
      </c>
      <c r="BA117" s="230">
        <v>108800</v>
      </c>
      <c r="BB117" s="230">
        <v>135150</v>
      </c>
      <c r="BC117" s="229">
        <v>1.2422</v>
      </c>
      <c r="BD117" s="230">
        <v>34000</v>
      </c>
      <c r="BE117" s="230">
        <v>17850</v>
      </c>
      <c r="BF117" s="230">
        <v>16150</v>
      </c>
      <c r="BG117" s="229">
        <v>0.90480000000000005</v>
      </c>
      <c r="BH117" s="230">
        <v>26522550</v>
      </c>
      <c r="BI117" s="230">
        <v>9753750</v>
      </c>
      <c r="BJ117" s="230">
        <v>16768800</v>
      </c>
      <c r="BK117" s="229">
        <v>1.7192000000000001</v>
      </c>
      <c r="BL117" s="230">
        <v>11858350</v>
      </c>
      <c r="BM117" s="230">
        <v>5760450</v>
      </c>
      <c r="BN117" s="230">
        <v>6097900</v>
      </c>
      <c r="BO117" s="229">
        <v>1.0586</v>
      </c>
      <c r="BP117" s="230">
        <v>47520950</v>
      </c>
      <c r="BQ117" s="230">
        <v>20425500</v>
      </c>
      <c r="BR117" s="230">
        <v>27095450</v>
      </c>
      <c r="BS117" s="229">
        <v>1.3266</v>
      </c>
      <c r="BT117" s="230">
        <v>4925483</v>
      </c>
      <c r="BU117" s="230">
        <v>2448088</v>
      </c>
      <c r="BV117" s="230">
        <v>2477395</v>
      </c>
      <c r="BW117" s="229">
        <v>1.012</v>
      </c>
      <c r="BX117" s="230">
        <v>18218050</v>
      </c>
      <c r="BY117" s="230">
        <v>18070150</v>
      </c>
      <c r="BZ117" s="230">
        <v>147900</v>
      </c>
      <c r="CA117" s="229">
        <v>8.2000000000000007E-3</v>
      </c>
      <c r="CB117" s="230">
        <v>18000450</v>
      </c>
      <c r="CC117" s="230">
        <v>17884000</v>
      </c>
      <c r="CD117" s="230">
        <v>116450</v>
      </c>
      <c r="CE117" s="229">
        <v>6.4999999999999997E-3</v>
      </c>
      <c r="CF117" s="230">
        <v>202300</v>
      </c>
      <c r="CG117" s="230">
        <v>182750</v>
      </c>
      <c r="CH117" s="230">
        <v>19550</v>
      </c>
      <c r="CI117" s="229">
        <v>0.107</v>
      </c>
      <c r="CJ117" s="230">
        <v>15300</v>
      </c>
      <c r="CK117" s="230">
        <v>3400</v>
      </c>
      <c r="CL117" s="230">
        <v>11900</v>
      </c>
      <c r="CM117" s="229">
        <v>3.5</v>
      </c>
      <c r="CN117" s="230">
        <v>5701800</v>
      </c>
      <c r="CO117" s="230">
        <v>5096600</v>
      </c>
      <c r="CP117" s="230">
        <v>605200</v>
      </c>
      <c r="CQ117" s="229">
        <v>0.1187</v>
      </c>
      <c r="CR117" s="230">
        <v>3642250</v>
      </c>
      <c r="CS117" s="230">
        <v>2986050</v>
      </c>
      <c r="CT117" s="230">
        <v>656200</v>
      </c>
      <c r="CU117" s="229">
        <v>0.2198</v>
      </c>
      <c r="CV117" s="230">
        <v>27562100</v>
      </c>
      <c r="CW117" s="230">
        <v>26152800</v>
      </c>
      <c r="CX117" s="230">
        <v>1409300</v>
      </c>
      <c r="CY117" s="229">
        <v>5.3900000000000003E-2</v>
      </c>
      <c r="CZ117" s="228">
        <v>32.36</v>
      </c>
      <c r="DA117" s="228">
        <v>38.06</v>
      </c>
      <c r="DB117" s="228">
        <v>-5.7</v>
      </c>
      <c r="DC117" s="228">
        <v>-5.7</v>
      </c>
      <c r="DD117" s="228">
        <v>39.89</v>
      </c>
      <c r="DE117" s="228">
        <v>39.22</v>
      </c>
      <c r="DF117" s="228">
        <v>-7.53</v>
      </c>
      <c r="DG117" s="228">
        <v>0.67</v>
      </c>
      <c r="DH117" s="228">
        <v>31.64</v>
      </c>
      <c r="DI117" s="228">
        <v>37.39</v>
      </c>
      <c r="DJ117" s="228">
        <v>-5.75</v>
      </c>
      <c r="DK117" s="228">
        <v>-5.75</v>
      </c>
      <c r="DL117" s="228">
        <v>33.97</v>
      </c>
      <c r="DM117" s="228">
        <v>39.19</v>
      </c>
      <c r="DN117" s="228">
        <v>-5.22</v>
      </c>
      <c r="DO117" s="228">
        <v>-5.22</v>
      </c>
      <c r="DP117" s="228">
        <v>0.64</v>
      </c>
      <c r="DQ117" s="228">
        <v>0.59</v>
      </c>
      <c r="DR117" s="228">
        <v>0.05</v>
      </c>
      <c r="DS117" s="229">
        <v>8.4699999999999998E-2</v>
      </c>
      <c r="DT117" s="231">
        <v>1200</v>
      </c>
      <c r="DU117" s="231">
        <v>1100</v>
      </c>
      <c r="DV117" s="228">
        <v>0.45</v>
      </c>
      <c r="DW117" s="228">
        <v>0.59</v>
      </c>
      <c r="DX117" s="228">
        <v>-0.14000000000000001</v>
      </c>
      <c r="DY117" s="229">
        <v>-0.23730000000000001</v>
      </c>
      <c r="DZ117" s="229">
        <v>1.1900000000000001E-2</v>
      </c>
      <c r="EA117" s="230">
        <v>186150</v>
      </c>
      <c r="EB117" s="229">
        <v>6.7000000000000002E-3</v>
      </c>
      <c r="EC117" s="229">
        <v>1.1900000000000001E-2</v>
      </c>
      <c r="ED117" s="228">
        <v>9.09</v>
      </c>
      <c r="EE117" s="229">
        <v>7.9000000000000008E-3</v>
      </c>
      <c r="EF117" s="230">
        <v>2303960</v>
      </c>
      <c r="EG117" s="230">
        <v>1099019</v>
      </c>
      <c r="EH117" s="229">
        <v>1.0964</v>
      </c>
      <c r="EI117" s="229">
        <v>0.46779999999999999</v>
      </c>
      <c r="EJ117" s="231">
        <v>322628.39</v>
      </c>
      <c r="EK117" s="231">
        <v>133297.82</v>
      </c>
      <c r="EL117" s="231">
        <v>105835.19</v>
      </c>
      <c r="EM117" s="231">
        <v>8294</v>
      </c>
      <c r="EN117" s="231">
        <v>561761.4</v>
      </c>
      <c r="EO117" s="231">
        <v>232737.22</v>
      </c>
      <c r="EP117" s="231">
        <v>329024.18</v>
      </c>
      <c r="EQ117" s="229">
        <v>1.4137</v>
      </c>
      <c r="ER117" s="231">
        <v>66958</v>
      </c>
      <c r="ES117" s="231">
        <v>39584</v>
      </c>
      <c r="ET117" s="231">
        <v>213534</v>
      </c>
      <c r="EU117" s="231">
        <v>58713729</v>
      </c>
      <c r="EV117" s="231">
        <v>320076</v>
      </c>
      <c r="EW117" s="231">
        <v>290791</v>
      </c>
      <c r="EX117" s="231">
        <v>29285</v>
      </c>
      <c r="EY117" s="229">
        <v>0.1007</v>
      </c>
      <c r="EZ117" s="229">
        <v>0.46939999999999998</v>
      </c>
      <c r="FA117" s="227" t="s">
        <v>555</v>
      </c>
      <c r="FB117" s="161">
        <f t="shared" si="1"/>
        <v>217600</v>
      </c>
    </row>
    <row r="118" spans="1:158" ht="17.25" thickBot="1" x14ac:dyDescent="0.3">
      <c r="A118" s="226">
        <v>46146</v>
      </c>
      <c r="B118" s="227" t="s">
        <v>175</v>
      </c>
      <c r="C118" s="227" t="s">
        <v>248</v>
      </c>
      <c r="D118" s="228">
        <v>1000</v>
      </c>
      <c r="E118" s="228">
        <v>560.20000000000005</v>
      </c>
      <c r="F118" s="228">
        <v>558</v>
      </c>
      <c r="G118" s="228">
        <v>2.2000000000000002</v>
      </c>
      <c r="H118" s="229">
        <v>3.8999999999999998E-3</v>
      </c>
      <c r="I118" s="228">
        <v>557</v>
      </c>
      <c r="J118" s="228">
        <v>554.70000000000005</v>
      </c>
      <c r="K118" s="228">
        <v>2.2999999999999998</v>
      </c>
      <c r="L118" s="229">
        <v>4.1000000000000003E-3</v>
      </c>
      <c r="M118" s="228">
        <v>560.20000000000005</v>
      </c>
      <c r="N118" s="228">
        <v>558</v>
      </c>
      <c r="O118" s="228">
        <v>2.2000000000000002</v>
      </c>
      <c r="P118" s="229">
        <v>3.8999999999999998E-3</v>
      </c>
      <c r="Q118" s="228">
        <v>563.5</v>
      </c>
      <c r="R118" s="228">
        <v>561.1</v>
      </c>
      <c r="S118" s="228">
        <v>2.4</v>
      </c>
      <c r="T118" s="229">
        <v>4.3E-3</v>
      </c>
      <c r="U118" s="228">
        <v>567.5</v>
      </c>
      <c r="V118" s="228">
        <v>565</v>
      </c>
      <c r="W118" s="228">
        <v>2.5</v>
      </c>
      <c r="X118" s="229">
        <v>4.4000000000000003E-3</v>
      </c>
      <c r="Y118" s="228">
        <v>3.2</v>
      </c>
      <c r="Z118" s="228">
        <v>3.3</v>
      </c>
      <c r="AA118" s="228">
        <v>-0.1</v>
      </c>
      <c r="AB118" s="229">
        <v>5.7000000000000002E-3</v>
      </c>
      <c r="AC118" s="228">
        <v>3.2</v>
      </c>
      <c r="AD118" s="228">
        <v>3.3</v>
      </c>
      <c r="AE118" s="228">
        <v>-0.1</v>
      </c>
      <c r="AF118" s="229">
        <v>5.7000000000000002E-3</v>
      </c>
      <c r="AG118" s="228">
        <v>6.5</v>
      </c>
      <c r="AH118" s="228">
        <v>6.4</v>
      </c>
      <c r="AI118" s="228">
        <v>0.1</v>
      </c>
      <c r="AJ118" s="229">
        <v>1.17E-2</v>
      </c>
      <c r="AK118" s="228">
        <v>10.5</v>
      </c>
      <c r="AL118" s="228">
        <v>10.3</v>
      </c>
      <c r="AM118" s="228">
        <v>0.2</v>
      </c>
      <c r="AN118" s="229">
        <v>1.89E-2</v>
      </c>
      <c r="AO118" s="228">
        <v>559.94000000000005</v>
      </c>
      <c r="AP118" s="228">
        <v>563.26</v>
      </c>
      <c r="AQ118" s="228">
        <v>0</v>
      </c>
      <c r="AR118" s="230">
        <v>1601000</v>
      </c>
      <c r="AS118" s="230">
        <v>2488000</v>
      </c>
      <c r="AT118" s="230">
        <v>-887000</v>
      </c>
      <c r="AU118" s="229">
        <v>-0.35649999999999998</v>
      </c>
      <c r="AV118" s="230">
        <v>1549000</v>
      </c>
      <c r="AW118" s="230">
        <v>2430000</v>
      </c>
      <c r="AX118" s="230">
        <v>-881000</v>
      </c>
      <c r="AY118" s="229">
        <v>-0.36259999999999998</v>
      </c>
      <c r="AZ118" s="230">
        <v>39000</v>
      </c>
      <c r="BA118" s="230">
        <v>48000</v>
      </c>
      <c r="BB118" s="230">
        <v>-9000</v>
      </c>
      <c r="BC118" s="229">
        <v>-0.1875</v>
      </c>
      <c r="BD118" s="230">
        <v>13000</v>
      </c>
      <c r="BE118" s="230">
        <v>10000</v>
      </c>
      <c r="BF118" s="230">
        <v>3000</v>
      </c>
      <c r="BG118" s="229">
        <v>0.3</v>
      </c>
      <c r="BH118" s="230">
        <v>3141000</v>
      </c>
      <c r="BI118" s="230">
        <v>3362000</v>
      </c>
      <c r="BJ118" s="230">
        <v>-221000</v>
      </c>
      <c r="BK118" s="229">
        <v>-6.5699999999999995E-2</v>
      </c>
      <c r="BL118" s="230">
        <v>1289000</v>
      </c>
      <c r="BM118" s="230">
        <v>2522000</v>
      </c>
      <c r="BN118" s="230">
        <v>-1233000</v>
      </c>
      <c r="BO118" s="229">
        <v>-0.4889</v>
      </c>
      <c r="BP118" s="230">
        <v>6031000</v>
      </c>
      <c r="BQ118" s="230">
        <v>8372000</v>
      </c>
      <c r="BR118" s="230">
        <v>-2341000</v>
      </c>
      <c r="BS118" s="229">
        <v>-0.27960000000000002</v>
      </c>
      <c r="BT118" s="230">
        <v>707318</v>
      </c>
      <c r="BU118" s="230">
        <v>741129</v>
      </c>
      <c r="BV118" s="230">
        <v>-33811</v>
      </c>
      <c r="BW118" s="229">
        <v>-4.5600000000000002E-2</v>
      </c>
      <c r="BX118" s="230">
        <v>30300000</v>
      </c>
      <c r="BY118" s="230">
        <v>29881000</v>
      </c>
      <c r="BZ118" s="230">
        <v>419000</v>
      </c>
      <c r="CA118" s="229">
        <v>1.4E-2</v>
      </c>
      <c r="CB118" s="230">
        <v>29895000</v>
      </c>
      <c r="CC118" s="230">
        <v>29493000</v>
      </c>
      <c r="CD118" s="230">
        <v>402000</v>
      </c>
      <c r="CE118" s="229">
        <v>1.3599999999999999E-2</v>
      </c>
      <c r="CF118" s="230">
        <v>389000</v>
      </c>
      <c r="CG118" s="230">
        <v>380000</v>
      </c>
      <c r="CH118" s="230">
        <v>9000</v>
      </c>
      <c r="CI118" s="229">
        <v>2.3699999999999999E-2</v>
      </c>
      <c r="CJ118" s="230">
        <v>16000</v>
      </c>
      <c r="CK118" s="230">
        <v>8000</v>
      </c>
      <c r="CL118" s="230">
        <v>8000</v>
      </c>
      <c r="CM118" s="229">
        <v>1</v>
      </c>
      <c r="CN118" s="230">
        <v>5221000</v>
      </c>
      <c r="CO118" s="230">
        <v>5000000</v>
      </c>
      <c r="CP118" s="230">
        <v>221000</v>
      </c>
      <c r="CQ118" s="229">
        <v>4.4200000000000003E-2</v>
      </c>
      <c r="CR118" s="230">
        <v>3385000</v>
      </c>
      <c r="CS118" s="230">
        <v>3320000</v>
      </c>
      <c r="CT118" s="230">
        <v>65000</v>
      </c>
      <c r="CU118" s="229">
        <v>1.9599999999999999E-2</v>
      </c>
      <c r="CV118" s="230">
        <v>38906000</v>
      </c>
      <c r="CW118" s="230">
        <v>38201000</v>
      </c>
      <c r="CX118" s="230">
        <v>705000</v>
      </c>
      <c r="CY118" s="229">
        <v>1.8499999999999999E-2</v>
      </c>
      <c r="CZ118" s="228">
        <v>31.98</v>
      </c>
      <c r="DA118" s="228">
        <v>31.88</v>
      </c>
      <c r="DB118" s="228">
        <v>0.1</v>
      </c>
      <c r="DC118" s="228">
        <v>0.1</v>
      </c>
      <c r="DD118" s="228">
        <v>33.47</v>
      </c>
      <c r="DE118" s="228">
        <v>33.549999999999997</v>
      </c>
      <c r="DF118" s="228">
        <v>-1.49</v>
      </c>
      <c r="DG118" s="228">
        <v>-0.08</v>
      </c>
      <c r="DH118" s="228">
        <v>31.74</v>
      </c>
      <c r="DI118" s="228">
        <v>30.91</v>
      </c>
      <c r="DJ118" s="228">
        <v>0.83</v>
      </c>
      <c r="DK118" s="228">
        <v>0.83</v>
      </c>
      <c r="DL118" s="228">
        <v>32.58</v>
      </c>
      <c r="DM118" s="228">
        <v>33.18</v>
      </c>
      <c r="DN118" s="228">
        <v>-0.6</v>
      </c>
      <c r="DO118" s="228">
        <v>-0.6</v>
      </c>
      <c r="DP118" s="228">
        <v>0.65</v>
      </c>
      <c r="DQ118" s="228">
        <v>0.66</v>
      </c>
      <c r="DR118" s="228">
        <v>-0.01</v>
      </c>
      <c r="DS118" s="229">
        <v>-1.52E-2</v>
      </c>
      <c r="DT118" s="228">
        <v>600</v>
      </c>
      <c r="DU118" s="228">
        <v>520</v>
      </c>
      <c r="DV118" s="228">
        <v>0.41</v>
      </c>
      <c r="DW118" s="228">
        <v>0.75</v>
      </c>
      <c r="DX118" s="228">
        <v>-0.34</v>
      </c>
      <c r="DY118" s="229">
        <v>-0.45329999999999998</v>
      </c>
      <c r="DZ118" s="229">
        <v>1.34E-2</v>
      </c>
      <c r="EA118" s="230">
        <v>388000</v>
      </c>
      <c r="EB118" s="229">
        <v>5.8999999999999999E-3</v>
      </c>
      <c r="EC118" s="229">
        <v>1.34E-2</v>
      </c>
      <c r="ED118" s="228">
        <v>3.32</v>
      </c>
      <c r="EE118" s="229">
        <v>5.8999999999999999E-3</v>
      </c>
      <c r="EF118" s="230">
        <v>312602</v>
      </c>
      <c r="EG118" s="230">
        <v>252966</v>
      </c>
      <c r="EH118" s="229">
        <v>0.23569999999999999</v>
      </c>
      <c r="EI118" s="229">
        <v>0.442</v>
      </c>
      <c r="EJ118" s="231">
        <v>18568.599999999999</v>
      </c>
      <c r="EK118" s="231">
        <v>7117.76</v>
      </c>
      <c r="EL118" s="231">
        <v>8966.6200000000008</v>
      </c>
      <c r="EM118" s="231">
        <v>8316</v>
      </c>
      <c r="EN118" s="231">
        <v>34652.980000000003</v>
      </c>
      <c r="EO118" s="231">
        <v>47031.95</v>
      </c>
      <c r="EP118" s="231">
        <v>-12378.97</v>
      </c>
      <c r="EQ118" s="229">
        <v>-0.26319999999999999</v>
      </c>
      <c r="ER118" s="231">
        <v>30176</v>
      </c>
      <c r="ES118" s="231">
        <v>18363</v>
      </c>
      <c r="ET118" s="231">
        <v>169755</v>
      </c>
      <c r="EU118" s="231">
        <v>45183075</v>
      </c>
      <c r="EV118" s="231">
        <v>218293</v>
      </c>
      <c r="EW118" s="231">
        <v>213656</v>
      </c>
      <c r="EX118" s="231">
        <v>4637</v>
      </c>
      <c r="EY118" s="229">
        <v>2.1700000000000001E-2</v>
      </c>
      <c r="EZ118" s="229">
        <v>0.86109999999999998</v>
      </c>
      <c r="FA118" s="227" t="s">
        <v>555</v>
      </c>
      <c r="FB118" s="161">
        <f t="shared" si="1"/>
        <v>405000</v>
      </c>
    </row>
    <row r="119" spans="1:158" ht="17.25" thickBot="1" x14ac:dyDescent="0.3">
      <c r="A119" s="226">
        <v>46146</v>
      </c>
      <c r="B119" s="227" t="s">
        <v>175</v>
      </c>
      <c r="C119" s="227" t="s">
        <v>606</v>
      </c>
      <c r="D119" s="228">
        <v>700</v>
      </c>
      <c r="E119" s="228">
        <v>799</v>
      </c>
      <c r="F119" s="228">
        <v>791.3</v>
      </c>
      <c r="G119" s="228">
        <v>7.7</v>
      </c>
      <c r="H119" s="229">
        <v>9.7000000000000003E-3</v>
      </c>
      <c r="I119" s="228">
        <v>802</v>
      </c>
      <c r="J119" s="228">
        <v>797.9</v>
      </c>
      <c r="K119" s="228">
        <v>4.0999999999999996</v>
      </c>
      <c r="L119" s="229">
        <v>5.1000000000000004E-3</v>
      </c>
      <c r="M119" s="228">
        <v>799</v>
      </c>
      <c r="N119" s="228">
        <v>791.3</v>
      </c>
      <c r="O119" s="228">
        <v>7.7</v>
      </c>
      <c r="P119" s="229">
        <v>9.7000000000000003E-3</v>
      </c>
      <c r="Q119" s="228">
        <v>794.55</v>
      </c>
      <c r="R119" s="228">
        <v>786.3</v>
      </c>
      <c r="S119" s="228">
        <v>8.25</v>
      </c>
      <c r="T119" s="229">
        <v>1.0500000000000001E-2</v>
      </c>
      <c r="U119" s="228">
        <v>790.95</v>
      </c>
      <c r="V119" s="228">
        <v>781.55</v>
      </c>
      <c r="W119" s="228">
        <v>9.4</v>
      </c>
      <c r="X119" s="229">
        <v>1.2E-2</v>
      </c>
      <c r="Y119" s="228">
        <v>-3</v>
      </c>
      <c r="Z119" s="228">
        <v>-6.6</v>
      </c>
      <c r="AA119" s="228">
        <v>3.6</v>
      </c>
      <c r="AB119" s="229">
        <v>-3.7000000000000002E-3</v>
      </c>
      <c r="AC119" s="228">
        <v>-3</v>
      </c>
      <c r="AD119" s="228">
        <v>-6.6</v>
      </c>
      <c r="AE119" s="228">
        <v>3.6</v>
      </c>
      <c r="AF119" s="229">
        <v>-3.7000000000000002E-3</v>
      </c>
      <c r="AG119" s="228">
        <v>-7.45</v>
      </c>
      <c r="AH119" s="228">
        <v>-11.6</v>
      </c>
      <c r="AI119" s="228">
        <v>4.1500000000000004</v>
      </c>
      <c r="AJ119" s="229">
        <v>-9.2999999999999992E-3</v>
      </c>
      <c r="AK119" s="228">
        <v>-11.05</v>
      </c>
      <c r="AL119" s="228">
        <v>-16.350000000000001</v>
      </c>
      <c r="AM119" s="228">
        <v>5.3</v>
      </c>
      <c r="AN119" s="229">
        <v>-1.38E-2</v>
      </c>
      <c r="AO119" s="228">
        <v>799.26</v>
      </c>
      <c r="AP119" s="228">
        <v>794.81</v>
      </c>
      <c r="AQ119" s="228">
        <v>0</v>
      </c>
      <c r="AR119" s="230">
        <v>1059100</v>
      </c>
      <c r="AS119" s="230">
        <v>2011100</v>
      </c>
      <c r="AT119" s="230">
        <v>-952000</v>
      </c>
      <c r="AU119" s="229">
        <v>-0.47339999999999999</v>
      </c>
      <c r="AV119" s="230">
        <v>826700</v>
      </c>
      <c r="AW119" s="230">
        <v>1670900</v>
      </c>
      <c r="AX119" s="230">
        <v>-844200</v>
      </c>
      <c r="AY119" s="229">
        <v>-0.50519999999999998</v>
      </c>
      <c r="AZ119" s="230">
        <v>191100</v>
      </c>
      <c r="BA119" s="230">
        <v>230300</v>
      </c>
      <c r="BB119" s="230">
        <v>-39200</v>
      </c>
      <c r="BC119" s="229">
        <v>-0.17019999999999999</v>
      </c>
      <c r="BD119" s="230">
        <v>41300</v>
      </c>
      <c r="BE119" s="230">
        <v>109900</v>
      </c>
      <c r="BF119" s="230">
        <v>-68600</v>
      </c>
      <c r="BG119" s="229">
        <v>-0.62419999999999998</v>
      </c>
      <c r="BH119" s="230">
        <v>3490900</v>
      </c>
      <c r="BI119" s="230">
        <v>3229800</v>
      </c>
      <c r="BJ119" s="230">
        <v>261100</v>
      </c>
      <c r="BK119" s="229">
        <v>8.0799999999999997E-2</v>
      </c>
      <c r="BL119" s="230">
        <v>1215900</v>
      </c>
      <c r="BM119" s="230">
        <v>2083200</v>
      </c>
      <c r="BN119" s="230">
        <v>-867300</v>
      </c>
      <c r="BO119" s="229">
        <v>-0.4163</v>
      </c>
      <c r="BP119" s="230">
        <v>5765900</v>
      </c>
      <c r="BQ119" s="230">
        <v>7324100</v>
      </c>
      <c r="BR119" s="230">
        <v>-1558200</v>
      </c>
      <c r="BS119" s="229">
        <v>-0.2127</v>
      </c>
      <c r="BT119" s="230">
        <v>1094171</v>
      </c>
      <c r="BU119" s="230">
        <v>1288616</v>
      </c>
      <c r="BV119" s="230">
        <v>-194445</v>
      </c>
      <c r="BW119" s="229">
        <v>-0.15090000000000001</v>
      </c>
      <c r="BX119" s="230">
        <v>9912000</v>
      </c>
      <c r="BY119" s="230">
        <v>9866500</v>
      </c>
      <c r="BZ119" s="230">
        <v>45500</v>
      </c>
      <c r="CA119" s="229">
        <v>4.5999999999999999E-3</v>
      </c>
      <c r="CB119" s="230">
        <v>8852900</v>
      </c>
      <c r="CC119" s="230">
        <v>8910300</v>
      </c>
      <c r="CD119" s="230">
        <v>-57400</v>
      </c>
      <c r="CE119" s="229">
        <v>-6.4000000000000003E-3</v>
      </c>
      <c r="CF119" s="230">
        <v>893900</v>
      </c>
      <c r="CG119" s="230">
        <v>815500</v>
      </c>
      <c r="CH119" s="230">
        <v>78400</v>
      </c>
      <c r="CI119" s="229">
        <v>9.6100000000000005E-2</v>
      </c>
      <c r="CJ119" s="230">
        <v>165200</v>
      </c>
      <c r="CK119" s="230">
        <v>140700</v>
      </c>
      <c r="CL119" s="230">
        <v>24500</v>
      </c>
      <c r="CM119" s="229">
        <v>0.1741</v>
      </c>
      <c r="CN119" s="230">
        <v>5843600</v>
      </c>
      <c r="CO119" s="230">
        <v>5126800</v>
      </c>
      <c r="CP119" s="230">
        <v>716800</v>
      </c>
      <c r="CQ119" s="229">
        <v>0.13980000000000001</v>
      </c>
      <c r="CR119" s="230">
        <v>3586800</v>
      </c>
      <c r="CS119" s="230">
        <v>3357200</v>
      </c>
      <c r="CT119" s="230">
        <v>229600</v>
      </c>
      <c r="CU119" s="229">
        <v>6.8400000000000002E-2</v>
      </c>
      <c r="CV119" s="230">
        <v>19342400</v>
      </c>
      <c r="CW119" s="230">
        <v>18350500</v>
      </c>
      <c r="CX119" s="230">
        <v>991900</v>
      </c>
      <c r="CY119" s="229">
        <v>5.4100000000000002E-2</v>
      </c>
      <c r="CZ119" s="228">
        <v>29.73</v>
      </c>
      <c r="DA119" s="228">
        <v>31.28</v>
      </c>
      <c r="DB119" s="228">
        <v>-1.55</v>
      </c>
      <c r="DC119" s="228">
        <v>-1.55</v>
      </c>
      <c r="DD119" s="228">
        <v>32.82</v>
      </c>
      <c r="DE119" s="228">
        <v>32.880000000000003</v>
      </c>
      <c r="DF119" s="228">
        <v>-3.09</v>
      </c>
      <c r="DG119" s="228">
        <v>-0.06</v>
      </c>
      <c r="DH119" s="228">
        <v>29.85</v>
      </c>
      <c r="DI119" s="228">
        <v>31.73</v>
      </c>
      <c r="DJ119" s="228">
        <v>-1.88</v>
      </c>
      <c r="DK119" s="228">
        <v>-1.88</v>
      </c>
      <c r="DL119" s="228">
        <v>29.38</v>
      </c>
      <c r="DM119" s="228">
        <v>30.58</v>
      </c>
      <c r="DN119" s="228">
        <v>-1.2</v>
      </c>
      <c r="DO119" s="228">
        <v>-1.2</v>
      </c>
      <c r="DP119" s="228">
        <v>0.61</v>
      </c>
      <c r="DQ119" s="228">
        <v>0.65</v>
      </c>
      <c r="DR119" s="228">
        <v>-0.04</v>
      </c>
      <c r="DS119" s="229">
        <v>-6.1499999999999999E-2</v>
      </c>
      <c r="DT119" s="228">
        <v>830</v>
      </c>
      <c r="DU119" s="228">
        <v>800</v>
      </c>
      <c r="DV119" s="228">
        <v>0.35</v>
      </c>
      <c r="DW119" s="228">
        <v>0.64</v>
      </c>
      <c r="DX119" s="228">
        <v>-0.28999999999999998</v>
      </c>
      <c r="DY119" s="229">
        <v>-0.4531</v>
      </c>
      <c r="DZ119" s="229">
        <v>0.1069</v>
      </c>
      <c r="EA119" s="230">
        <v>956200</v>
      </c>
      <c r="EB119" s="229">
        <v>-5.5999999999999999E-3</v>
      </c>
      <c r="EC119" s="229">
        <v>0.1069</v>
      </c>
      <c r="ED119" s="228">
        <v>-4.45</v>
      </c>
      <c r="EE119" s="229">
        <v>-5.5999999999999999E-3</v>
      </c>
      <c r="EF119" s="230">
        <v>460657</v>
      </c>
      <c r="EG119" s="230">
        <v>599602</v>
      </c>
      <c r="EH119" s="229">
        <v>-0.23169999999999999</v>
      </c>
      <c r="EI119" s="229">
        <v>0.42099999999999999</v>
      </c>
      <c r="EJ119" s="231">
        <v>29801.46</v>
      </c>
      <c r="EK119" s="231">
        <v>9524.14</v>
      </c>
      <c r="EL119" s="231">
        <v>8452.8799999999992</v>
      </c>
      <c r="EM119" s="231">
        <v>5326</v>
      </c>
      <c r="EN119" s="231">
        <v>47778.48</v>
      </c>
      <c r="EO119" s="231">
        <v>59908.24</v>
      </c>
      <c r="EP119" s="231">
        <v>-12129.76</v>
      </c>
      <c r="EQ119" s="229">
        <v>-0.20250000000000001</v>
      </c>
      <c r="ER119" s="231">
        <v>49846</v>
      </c>
      <c r="ES119" s="231">
        <v>28067</v>
      </c>
      <c r="ET119" s="231">
        <v>79144</v>
      </c>
      <c r="EU119" s="231">
        <v>33206238</v>
      </c>
      <c r="EV119" s="231">
        <v>157056</v>
      </c>
      <c r="EW119" s="231">
        <v>148152</v>
      </c>
      <c r="EX119" s="231">
        <v>8904</v>
      </c>
      <c r="EY119" s="229">
        <v>6.0100000000000001E-2</v>
      </c>
      <c r="EZ119" s="229">
        <v>0.58250000000000002</v>
      </c>
      <c r="FA119" s="227" t="s">
        <v>555</v>
      </c>
      <c r="FB119" s="161">
        <f t="shared" si="1"/>
        <v>1059100</v>
      </c>
    </row>
    <row r="120" spans="1:158" ht="17.25" thickBot="1" x14ac:dyDescent="0.3">
      <c r="A120" s="226">
        <v>46146</v>
      </c>
      <c r="B120" s="227" t="s">
        <v>206</v>
      </c>
      <c r="C120" s="227" t="s">
        <v>587</v>
      </c>
      <c r="D120" s="228">
        <v>450</v>
      </c>
      <c r="E120" s="228">
        <v>926.55</v>
      </c>
      <c r="F120" s="228">
        <v>902.4</v>
      </c>
      <c r="G120" s="228">
        <v>24.15</v>
      </c>
      <c r="H120" s="229">
        <v>2.6800000000000001E-2</v>
      </c>
      <c r="I120" s="228">
        <v>923.6</v>
      </c>
      <c r="J120" s="228">
        <v>897.9</v>
      </c>
      <c r="K120" s="228">
        <v>25.7</v>
      </c>
      <c r="L120" s="229">
        <v>2.86E-2</v>
      </c>
      <c r="M120" s="228">
        <v>926.55</v>
      </c>
      <c r="N120" s="228">
        <v>902.4</v>
      </c>
      <c r="O120" s="228">
        <v>24.15</v>
      </c>
      <c r="P120" s="229">
        <v>2.6800000000000001E-2</v>
      </c>
      <c r="Q120" s="228">
        <v>932.4</v>
      </c>
      <c r="R120" s="228">
        <v>907.6</v>
      </c>
      <c r="S120" s="228">
        <v>24.8</v>
      </c>
      <c r="T120" s="229">
        <v>2.7300000000000001E-2</v>
      </c>
      <c r="U120" s="228">
        <v>938.85</v>
      </c>
      <c r="V120" s="228">
        <v>916.7</v>
      </c>
      <c r="W120" s="228">
        <v>22.15</v>
      </c>
      <c r="X120" s="229">
        <v>2.4199999999999999E-2</v>
      </c>
      <c r="Y120" s="228">
        <v>2.95</v>
      </c>
      <c r="Z120" s="228">
        <v>4.5</v>
      </c>
      <c r="AA120" s="228">
        <v>-1.55</v>
      </c>
      <c r="AB120" s="229">
        <v>3.2000000000000002E-3</v>
      </c>
      <c r="AC120" s="228">
        <v>2.95</v>
      </c>
      <c r="AD120" s="228">
        <v>4.5</v>
      </c>
      <c r="AE120" s="228">
        <v>-1.55</v>
      </c>
      <c r="AF120" s="229">
        <v>3.2000000000000002E-3</v>
      </c>
      <c r="AG120" s="228">
        <v>8.8000000000000007</v>
      </c>
      <c r="AH120" s="228">
        <v>9.6999999999999993</v>
      </c>
      <c r="AI120" s="228">
        <v>-0.9</v>
      </c>
      <c r="AJ120" s="229">
        <v>9.4999999999999998E-3</v>
      </c>
      <c r="AK120" s="228">
        <v>15.25</v>
      </c>
      <c r="AL120" s="228">
        <v>18.8</v>
      </c>
      <c r="AM120" s="228">
        <v>-3.55</v>
      </c>
      <c r="AN120" s="229">
        <v>1.6500000000000001E-2</v>
      </c>
      <c r="AO120" s="228">
        <v>923.36</v>
      </c>
      <c r="AP120" s="228">
        <v>928.92</v>
      </c>
      <c r="AQ120" s="228">
        <v>0</v>
      </c>
      <c r="AR120" s="230">
        <v>1770750</v>
      </c>
      <c r="AS120" s="230">
        <v>2004750</v>
      </c>
      <c r="AT120" s="230">
        <v>-234000</v>
      </c>
      <c r="AU120" s="229">
        <v>-0.1167</v>
      </c>
      <c r="AV120" s="230">
        <v>1668150</v>
      </c>
      <c r="AW120" s="230">
        <v>1937700</v>
      </c>
      <c r="AX120" s="230">
        <v>-269550</v>
      </c>
      <c r="AY120" s="229">
        <v>-0.1391</v>
      </c>
      <c r="AZ120" s="230">
        <v>97200</v>
      </c>
      <c r="BA120" s="230">
        <v>61650</v>
      </c>
      <c r="BB120" s="230">
        <v>35550</v>
      </c>
      <c r="BC120" s="229">
        <v>0.5766</v>
      </c>
      <c r="BD120" s="230">
        <v>5400</v>
      </c>
      <c r="BE120" s="230">
        <v>5400</v>
      </c>
      <c r="BF120" s="228">
        <v>0</v>
      </c>
      <c r="BG120" s="229">
        <v>0</v>
      </c>
      <c r="BH120" s="230">
        <v>4382550</v>
      </c>
      <c r="BI120" s="230">
        <v>3505500</v>
      </c>
      <c r="BJ120" s="230">
        <v>877050</v>
      </c>
      <c r="BK120" s="229">
        <v>0.25019999999999998</v>
      </c>
      <c r="BL120" s="230">
        <v>1541700</v>
      </c>
      <c r="BM120" s="230">
        <v>1887300</v>
      </c>
      <c r="BN120" s="230">
        <v>-345600</v>
      </c>
      <c r="BO120" s="229">
        <v>-0.18310000000000001</v>
      </c>
      <c r="BP120" s="230">
        <v>7695000</v>
      </c>
      <c r="BQ120" s="230">
        <v>7397550</v>
      </c>
      <c r="BR120" s="230">
        <v>297450</v>
      </c>
      <c r="BS120" s="229">
        <v>4.02E-2</v>
      </c>
      <c r="BT120" s="230">
        <v>2935239</v>
      </c>
      <c r="BU120" s="230">
        <v>3057364</v>
      </c>
      <c r="BV120" s="230">
        <v>-122125</v>
      </c>
      <c r="BW120" s="229">
        <v>-3.9899999999999998E-2</v>
      </c>
      <c r="BX120" s="230">
        <v>14957925</v>
      </c>
      <c r="BY120" s="230">
        <v>15218200</v>
      </c>
      <c r="BZ120" s="230">
        <v>-260275</v>
      </c>
      <c r="CA120" s="229">
        <v>-1.7100000000000001E-2</v>
      </c>
      <c r="CB120" s="230">
        <v>13664700</v>
      </c>
      <c r="CC120" s="230">
        <v>13922550</v>
      </c>
      <c r="CD120" s="230">
        <v>-257850</v>
      </c>
      <c r="CE120" s="229">
        <v>-1.8499999999999999E-2</v>
      </c>
      <c r="CF120" s="230">
        <v>1283850</v>
      </c>
      <c r="CG120" s="230">
        <v>1285650</v>
      </c>
      <c r="CH120" s="230">
        <v>-1800</v>
      </c>
      <c r="CI120" s="229">
        <v>-1.4E-3</v>
      </c>
      <c r="CJ120" s="230">
        <v>9375</v>
      </c>
      <c r="CK120" s="230">
        <v>10000</v>
      </c>
      <c r="CL120" s="228">
        <v>-625</v>
      </c>
      <c r="CM120" s="229">
        <v>-6.25E-2</v>
      </c>
      <c r="CN120" s="230">
        <v>2461950</v>
      </c>
      <c r="CO120" s="230">
        <v>2590650</v>
      </c>
      <c r="CP120" s="230">
        <v>-128700</v>
      </c>
      <c r="CQ120" s="229">
        <v>-4.9700000000000001E-2</v>
      </c>
      <c r="CR120" s="230">
        <v>1640700</v>
      </c>
      <c r="CS120" s="230">
        <v>1542600</v>
      </c>
      <c r="CT120" s="230">
        <v>98100</v>
      </c>
      <c r="CU120" s="229">
        <v>6.3600000000000004E-2</v>
      </c>
      <c r="CV120" s="230">
        <v>19060575</v>
      </c>
      <c r="CW120" s="230">
        <v>19351450</v>
      </c>
      <c r="CX120" s="230">
        <v>-290875</v>
      </c>
      <c r="CY120" s="229">
        <v>-1.4999999999999999E-2</v>
      </c>
      <c r="CZ120" s="228">
        <v>39.659999999999997</v>
      </c>
      <c r="DA120" s="228">
        <v>40.33</v>
      </c>
      <c r="DB120" s="228">
        <v>-0.67</v>
      </c>
      <c r="DC120" s="228">
        <v>-0.67</v>
      </c>
      <c r="DD120" s="228">
        <v>47.85</v>
      </c>
      <c r="DE120" s="228">
        <v>47.81</v>
      </c>
      <c r="DF120" s="228">
        <v>-8.19</v>
      </c>
      <c r="DG120" s="228">
        <v>0.04</v>
      </c>
      <c r="DH120" s="228">
        <v>39.46</v>
      </c>
      <c r="DI120" s="228">
        <v>40.53</v>
      </c>
      <c r="DJ120" s="228">
        <v>-1.07</v>
      </c>
      <c r="DK120" s="228">
        <v>-1.07</v>
      </c>
      <c r="DL120" s="228">
        <v>40.22</v>
      </c>
      <c r="DM120" s="228">
        <v>39.97</v>
      </c>
      <c r="DN120" s="228">
        <v>0.25</v>
      </c>
      <c r="DO120" s="228">
        <v>0.25</v>
      </c>
      <c r="DP120" s="228">
        <v>0.67</v>
      </c>
      <c r="DQ120" s="228">
        <v>0.6</v>
      </c>
      <c r="DR120" s="228">
        <v>7.0000000000000007E-2</v>
      </c>
      <c r="DS120" s="229">
        <v>0.1167</v>
      </c>
      <c r="DT120" s="231">
        <v>1000</v>
      </c>
      <c r="DU120" s="228">
        <v>900</v>
      </c>
      <c r="DV120" s="228">
        <v>0.35</v>
      </c>
      <c r="DW120" s="228">
        <v>0.54</v>
      </c>
      <c r="DX120" s="228">
        <v>-0.19</v>
      </c>
      <c r="DY120" s="229">
        <v>-0.35189999999999999</v>
      </c>
      <c r="DZ120" s="229">
        <v>8.6499999999999994E-2</v>
      </c>
      <c r="EA120" s="230">
        <v>1295650</v>
      </c>
      <c r="EB120" s="229">
        <v>6.3E-3</v>
      </c>
      <c r="EC120" s="229">
        <v>8.6499999999999994E-2</v>
      </c>
      <c r="ED120" s="228">
        <v>5.56</v>
      </c>
      <c r="EE120" s="229">
        <v>6.0000000000000001E-3</v>
      </c>
      <c r="EF120" s="230">
        <v>1782607</v>
      </c>
      <c r="EG120" s="230">
        <v>1604718</v>
      </c>
      <c r="EH120" s="229">
        <v>0.1109</v>
      </c>
      <c r="EI120" s="229">
        <v>0.60729999999999995</v>
      </c>
      <c r="EJ120" s="231">
        <v>43085.56</v>
      </c>
      <c r="EK120" s="231">
        <v>13961.3</v>
      </c>
      <c r="EL120" s="231">
        <v>16375.95</v>
      </c>
      <c r="EM120" s="231">
        <v>13114</v>
      </c>
      <c r="EN120" s="231">
        <v>73422.81</v>
      </c>
      <c r="EO120" s="231">
        <v>69372.100000000006</v>
      </c>
      <c r="EP120" s="231">
        <v>4050.71</v>
      </c>
      <c r="EQ120" s="229">
        <v>5.8400000000000001E-2</v>
      </c>
      <c r="ER120" s="231">
        <v>23100</v>
      </c>
      <c r="ES120" s="231">
        <v>14178</v>
      </c>
      <c r="ET120" s="231">
        <v>138669</v>
      </c>
      <c r="EU120" s="231">
        <v>42165698</v>
      </c>
      <c r="EV120" s="231">
        <v>175947</v>
      </c>
      <c r="EW120" s="231">
        <v>174839</v>
      </c>
      <c r="EX120" s="231">
        <v>1108</v>
      </c>
      <c r="EY120" s="229">
        <v>6.3E-3</v>
      </c>
      <c r="EZ120" s="229">
        <v>0.45200000000000001</v>
      </c>
      <c r="FA120" s="227" t="s">
        <v>691</v>
      </c>
      <c r="FB120" s="161">
        <f t="shared" si="1"/>
        <v>1293225</v>
      </c>
    </row>
    <row r="121" spans="1:158" ht="17.25" thickBot="1" x14ac:dyDescent="0.3">
      <c r="A121" s="226">
        <v>46146</v>
      </c>
      <c r="B121" s="227" t="s">
        <v>184</v>
      </c>
      <c r="C121" s="227" t="s">
        <v>249</v>
      </c>
      <c r="D121" s="228">
        <v>175</v>
      </c>
      <c r="E121" s="231">
        <v>4120.3</v>
      </c>
      <c r="F121" s="231">
        <v>4037.7</v>
      </c>
      <c r="G121" s="228">
        <v>82.6</v>
      </c>
      <c r="H121" s="229">
        <v>2.0500000000000001E-2</v>
      </c>
      <c r="I121" s="231">
        <v>4100.8</v>
      </c>
      <c r="J121" s="231">
        <v>4014</v>
      </c>
      <c r="K121" s="228">
        <v>86.8</v>
      </c>
      <c r="L121" s="229">
        <v>2.1600000000000001E-2</v>
      </c>
      <c r="M121" s="231">
        <v>4120.3</v>
      </c>
      <c r="N121" s="231">
        <v>4037.7</v>
      </c>
      <c r="O121" s="228">
        <v>82.6</v>
      </c>
      <c r="P121" s="229">
        <v>2.0500000000000001E-2</v>
      </c>
      <c r="Q121" s="231">
        <v>4113.8</v>
      </c>
      <c r="R121" s="231">
        <v>4033.5</v>
      </c>
      <c r="S121" s="228">
        <v>80.3</v>
      </c>
      <c r="T121" s="229">
        <v>1.9900000000000001E-2</v>
      </c>
      <c r="U121" s="231">
        <v>4133.7</v>
      </c>
      <c r="V121" s="231">
        <v>4048.5</v>
      </c>
      <c r="W121" s="228">
        <v>85.2</v>
      </c>
      <c r="X121" s="229">
        <v>2.1000000000000001E-2</v>
      </c>
      <c r="Y121" s="228">
        <v>19.5</v>
      </c>
      <c r="Z121" s="228">
        <v>23.7</v>
      </c>
      <c r="AA121" s="228">
        <v>-4.2</v>
      </c>
      <c r="AB121" s="229">
        <v>4.7999999999999996E-3</v>
      </c>
      <c r="AC121" s="228">
        <v>19.5</v>
      </c>
      <c r="AD121" s="228">
        <v>23.7</v>
      </c>
      <c r="AE121" s="228">
        <v>-4.2</v>
      </c>
      <c r="AF121" s="229">
        <v>4.7999999999999996E-3</v>
      </c>
      <c r="AG121" s="228">
        <v>13</v>
      </c>
      <c r="AH121" s="228">
        <v>19.5</v>
      </c>
      <c r="AI121" s="228">
        <v>-6.5</v>
      </c>
      <c r="AJ121" s="229">
        <v>3.2000000000000002E-3</v>
      </c>
      <c r="AK121" s="228">
        <v>32.9</v>
      </c>
      <c r="AL121" s="228">
        <v>34.5</v>
      </c>
      <c r="AM121" s="228">
        <v>-1.6</v>
      </c>
      <c r="AN121" s="229">
        <v>8.0000000000000002E-3</v>
      </c>
      <c r="AO121" s="231">
        <v>4130.3599999999997</v>
      </c>
      <c r="AP121" s="231">
        <v>4121.46</v>
      </c>
      <c r="AQ121" s="228">
        <v>0</v>
      </c>
      <c r="AR121" s="230">
        <v>2268700</v>
      </c>
      <c r="AS121" s="230">
        <v>2315075</v>
      </c>
      <c r="AT121" s="230">
        <v>-46375</v>
      </c>
      <c r="AU121" s="229">
        <v>-0.02</v>
      </c>
      <c r="AV121" s="230">
        <v>1987475</v>
      </c>
      <c r="AW121" s="230">
        <v>2116625</v>
      </c>
      <c r="AX121" s="230">
        <v>-129150</v>
      </c>
      <c r="AY121" s="229">
        <v>-6.0999999999999999E-2</v>
      </c>
      <c r="AZ121" s="230">
        <v>260925</v>
      </c>
      <c r="BA121" s="230">
        <v>165375</v>
      </c>
      <c r="BB121" s="230">
        <v>95550</v>
      </c>
      <c r="BC121" s="229">
        <v>0.57779999999999998</v>
      </c>
      <c r="BD121" s="230">
        <v>20300</v>
      </c>
      <c r="BE121" s="230">
        <v>33075</v>
      </c>
      <c r="BF121" s="230">
        <v>-12775</v>
      </c>
      <c r="BG121" s="229">
        <v>-0.38619999999999999</v>
      </c>
      <c r="BH121" s="230">
        <v>9639875</v>
      </c>
      <c r="BI121" s="230">
        <v>4732175</v>
      </c>
      <c r="BJ121" s="230">
        <v>4907700</v>
      </c>
      <c r="BK121" s="229">
        <v>1.0370999999999999</v>
      </c>
      <c r="BL121" s="230">
        <v>3548650</v>
      </c>
      <c r="BM121" s="230">
        <v>3053750</v>
      </c>
      <c r="BN121" s="230">
        <v>494900</v>
      </c>
      <c r="BO121" s="229">
        <v>0.16209999999999999</v>
      </c>
      <c r="BP121" s="230">
        <v>15457225</v>
      </c>
      <c r="BQ121" s="230">
        <v>10101000</v>
      </c>
      <c r="BR121" s="230">
        <v>5356225</v>
      </c>
      <c r="BS121" s="229">
        <v>0.53029999999999999</v>
      </c>
      <c r="BT121" s="230">
        <v>2253184</v>
      </c>
      <c r="BU121" s="230">
        <v>2818876</v>
      </c>
      <c r="BV121" s="230">
        <v>-565692</v>
      </c>
      <c r="BW121" s="229">
        <v>-0.20069999999999999</v>
      </c>
      <c r="BX121" s="230">
        <v>14180075</v>
      </c>
      <c r="BY121" s="230">
        <v>14410550</v>
      </c>
      <c r="BZ121" s="230">
        <v>-230475</v>
      </c>
      <c r="CA121" s="229">
        <v>-1.6E-2</v>
      </c>
      <c r="CB121" s="230">
        <v>13508075</v>
      </c>
      <c r="CC121" s="230">
        <v>13775125</v>
      </c>
      <c r="CD121" s="230">
        <v>-267050</v>
      </c>
      <c r="CE121" s="229">
        <v>-1.9400000000000001E-2</v>
      </c>
      <c r="CF121" s="230">
        <v>644525</v>
      </c>
      <c r="CG121" s="230">
        <v>609525</v>
      </c>
      <c r="CH121" s="230">
        <v>35000</v>
      </c>
      <c r="CI121" s="229">
        <v>5.74E-2</v>
      </c>
      <c r="CJ121" s="230">
        <v>27475</v>
      </c>
      <c r="CK121" s="230">
        <v>25900</v>
      </c>
      <c r="CL121" s="230">
        <v>1575</v>
      </c>
      <c r="CM121" s="229">
        <v>6.08E-2</v>
      </c>
      <c r="CN121" s="230">
        <v>4955475</v>
      </c>
      <c r="CO121" s="230">
        <v>3796100</v>
      </c>
      <c r="CP121" s="230">
        <v>1159375</v>
      </c>
      <c r="CQ121" s="229">
        <v>0.3054</v>
      </c>
      <c r="CR121" s="230">
        <v>4115825</v>
      </c>
      <c r="CS121" s="230">
        <v>3709825</v>
      </c>
      <c r="CT121" s="230">
        <v>406000</v>
      </c>
      <c r="CU121" s="229">
        <v>0.1094</v>
      </c>
      <c r="CV121" s="230">
        <v>23251375</v>
      </c>
      <c r="CW121" s="230">
        <v>21916475</v>
      </c>
      <c r="CX121" s="230">
        <v>1334900</v>
      </c>
      <c r="CY121" s="229">
        <v>6.0900000000000003E-2</v>
      </c>
      <c r="CZ121" s="228">
        <v>30.75</v>
      </c>
      <c r="DA121" s="228">
        <v>32.61</v>
      </c>
      <c r="DB121" s="228">
        <v>-1.86</v>
      </c>
      <c r="DC121" s="228">
        <v>-1.86</v>
      </c>
      <c r="DD121" s="228">
        <v>33.630000000000003</v>
      </c>
      <c r="DE121" s="228">
        <v>33.590000000000003</v>
      </c>
      <c r="DF121" s="228">
        <v>-2.88</v>
      </c>
      <c r="DG121" s="228">
        <v>0.04</v>
      </c>
      <c r="DH121" s="228">
        <v>30.21</v>
      </c>
      <c r="DI121" s="228">
        <v>32.22</v>
      </c>
      <c r="DJ121" s="228">
        <v>-2.0099999999999998</v>
      </c>
      <c r="DK121" s="228">
        <v>-2.0099999999999998</v>
      </c>
      <c r="DL121" s="228">
        <v>32.21</v>
      </c>
      <c r="DM121" s="228">
        <v>33.22</v>
      </c>
      <c r="DN121" s="228">
        <v>-1.01</v>
      </c>
      <c r="DO121" s="228">
        <v>-1.01</v>
      </c>
      <c r="DP121" s="228">
        <v>0.83</v>
      </c>
      <c r="DQ121" s="228">
        <v>0.98</v>
      </c>
      <c r="DR121" s="228">
        <v>-0.15</v>
      </c>
      <c r="DS121" s="229">
        <v>-0.15310000000000001</v>
      </c>
      <c r="DT121" s="231">
        <v>4200</v>
      </c>
      <c r="DU121" s="231">
        <v>3800</v>
      </c>
      <c r="DV121" s="228">
        <v>0.37</v>
      </c>
      <c r="DW121" s="228">
        <v>0.65</v>
      </c>
      <c r="DX121" s="228">
        <v>-0.28000000000000003</v>
      </c>
      <c r="DY121" s="229">
        <v>-0.43080000000000002</v>
      </c>
      <c r="DZ121" s="229">
        <v>4.7399999999999998E-2</v>
      </c>
      <c r="EA121" s="230">
        <v>635425</v>
      </c>
      <c r="EB121" s="229">
        <v>-1.6000000000000001E-3</v>
      </c>
      <c r="EC121" s="229">
        <v>4.7399999999999998E-2</v>
      </c>
      <c r="ED121" s="228">
        <v>-8.9</v>
      </c>
      <c r="EE121" s="229">
        <v>-2.2000000000000001E-3</v>
      </c>
      <c r="EF121" s="230">
        <v>1175799</v>
      </c>
      <c r="EG121" s="230">
        <v>1285575</v>
      </c>
      <c r="EH121" s="229">
        <v>-8.5400000000000004E-2</v>
      </c>
      <c r="EI121" s="229">
        <v>0.52180000000000004</v>
      </c>
      <c r="EJ121" s="231">
        <v>420184.28</v>
      </c>
      <c r="EK121" s="231">
        <v>144147.79</v>
      </c>
      <c r="EL121" s="231">
        <v>93684.32</v>
      </c>
      <c r="EM121" s="231">
        <v>26436</v>
      </c>
      <c r="EN121" s="231">
        <v>658016.39</v>
      </c>
      <c r="EO121" s="231">
        <v>417982.36</v>
      </c>
      <c r="EP121" s="231">
        <v>240034.03</v>
      </c>
      <c r="EQ121" s="229">
        <v>0.57430000000000003</v>
      </c>
      <c r="ER121" s="231">
        <v>212888</v>
      </c>
      <c r="ES121" s="231">
        <v>160902</v>
      </c>
      <c r="ET121" s="231">
        <v>584223</v>
      </c>
      <c r="EU121" s="231">
        <v>136099497</v>
      </c>
      <c r="EV121" s="231">
        <v>958014</v>
      </c>
      <c r="EW121" s="231">
        <v>888797</v>
      </c>
      <c r="EX121" s="231">
        <v>69217</v>
      </c>
      <c r="EY121" s="229">
        <v>7.7899999999999997E-2</v>
      </c>
      <c r="EZ121" s="229">
        <v>0.17080000000000001</v>
      </c>
      <c r="FA121" s="227" t="s">
        <v>691</v>
      </c>
      <c r="FB121" s="161">
        <f t="shared" si="1"/>
        <v>672000</v>
      </c>
    </row>
    <row r="122" spans="1:158" ht="17.25" thickBot="1" x14ac:dyDescent="0.3">
      <c r="A122" s="226">
        <v>46146</v>
      </c>
      <c r="B122" s="227" t="s">
        <v>175</v>
      </c>
      <c r="C122" s="227" t="s">
        <v>564</v>
      </c>
      <c r="D122" s="228">
        <v>2250</v>
      </c>
      <c r="E122" s="228">
        <v>284.64999999999998</v>
      </c>
      <c r="F122" s="228">
        <v>280.81</v>
      </c>
      <c r="G122" s="228">
        <v>3.84</v>
      </c>
      <c r="H122" s="229">
        <v>1.37E-2</v>
      </c>
      <c r="I122" s="228">
        <v>285.64999999999998</v>
      </c>
      <c r="J122" s="228">
        <v>279.73</v>
      </c>
      <c r="K122" s="228">
        <v>5.92</v>
      </c>
      <c r="L122" s="229">
        <v>2.12E-2</v>
      </c>
      <c r="M122" s="228">
        <v>284.64999999999998</v>
      </c>
      <c r="N122" s="228">
        <v>280.81</v>
      </c>
      <c r="O122" s="228">
        <v>3.84</v>
      </c>
      <c r="P122" s="229">
        <v>1.37E-2</v>
      </c>
      <c r="Q122" s="228">
        <v>283</v>
      </c>
      <c r="R122" s="228">
        <v>279.39</v>
      </c>
      <c r="S122" s="228">
        <v>3.61</v>
      </c>
      <c r="T122" s="229">
        <v>1.29E-2</v>
      </c>
      <c r="U122" s="228">
        <v>283.14999999999998</v>
      </c>
      <c r="V122" s="228">
        <v>279.41000000000003</v>
      </c>
      <c r="W122" s="228">
        <v>3.74</v>
      </c>
      <c r="X122" s="229">
        <v>1.34E-2</v>
      </c>
      <c r="Y122" s="228">
        <v>-1</v>
      </c>
      <c r="Z122" s="228">
        <v>1.08</v>
      </c>
      <c r="AA122" s="228">
        <v>-2.08</v>
      </c>
      <c r="AB122" s="229">
        <v>-3.5000000000000001E-3</v>
      </c>
      <c r="AC122" s="228">
        <v>-1</v>
      </c>
      <c r="AD122" s="228">
        <v>1.08</v>
      </c>
      <c r="AE122" s="228">
        <v>-2.08</v>
      </c>
      <c r="AF122" s="229">
        <v>-3.5000000000000001E-3</v>
      </c>
      <c r="AG122" s="228">
        <v>-2.65</v>
      </c>
      <c r="AH122" s="228">
        <v>-0.34</v>
      </c>
      <c r="AI122" s="228">
        <v>-2.31</v>
      </c>
      <c r="AJ122" s="229">
        <v>-9.2999999999999992E-3</v>
      </c>
      <c r="AK122" s="228">
        <v>-2.5</v>
      </c>
      <c r="AL122" s="228">
        <v>-0.32</v>
      </c>
      <c r="AM122" s="228">
        <v>-2.1800000000000002</v>
      </c>
      <c r="AN122" s="229">
        <v>-8.8000000000000005E-3</v>
      </c>
      <c r="AO122" s="228">
        <v>284.13</v>
      </c>
      <c r="AP122" s="228">
        <v>282.89</v>
      </c>
      <c r="AQ122" s="228">
        <v>0</v>
      </c>
      <c r="AR122" s="230">
        <v>7386750</v>
      </c>
      <c r="AS122" s="230">
        <v>6437250</v>
      </c>
      <c r="AT122" s="230">
        <v>949500</v>
      </c>
      <c r="AU122" s="229">
        <v>0.14749999999999999</v>
      </c>
      <c r="AV122" s="230">
        <v>6801750</v>
      </c>
      <c r="AW122" s="230">
        <v>6264000</v>
      </c>
      <c r="AX122" s="230">
        <v>537750</v>
      </c>
      <c r="AY122" s="229">
        <v>8.5800000000000001E-2</v>
      </c>
      <c r="AZ122" s="230">
        <v>535500</v>
      </c>
      <c r="BA122" s="230">
        <v>162000</v>
      </c>
      <c r="BB122" s="230">
        <v>373500</v>
      </c>
      <c r="BC122" s="229">
        <v>2.3056000000000001</v>
      </c>
      <c r="BD122" s="230">
        <v>49500</v>
      </c>
      <c r="BE122" s="230">
        <v>11250</v>
      </c>
      <c r="BF122" s="230">
        <v>38250</v>
      </c>
      <c r="BG122" s="229">
        <v>3.4</v>
      </c>
      <c r="BH122" s="230">
        <v>8588250</v>
      </c>
      <c r="BI122" s="230">
        <v>6563250</v>
      </c>
      <c r="BJ122" s="230">
        <v>2025000</v>
      </c>
      <c r="BK122" s="229">
        <v>0.3085</v>
      </c>
      <c r="BL122" s="230">
        <v>2844000</v>
      </c>
      <c r="BM122" s="230">
        <v>3424500</v>
      </c>
      <c r="BN122" s="230">
        <v>-580500</v>
      </c>
      <c r="BO122" s="229">
        <v>-0.16950000000000001</v>
      </c>
      <c r="BP122" s="230">
        <v>18819000</v>
      </c>
      <c r="BQ122" s="230">
        <v>16425000</v>
      </c>
      <c r="BR122" s="230">
        <v>2394000</v>
      </c>
      <c r="BS122" s="229">
        <v>0.14580000000000001</v>
      </c>
      <c r="BT122" s="230">
        <v>5082384</v>
      </c>
      <c r="BU122" s="230">
        <v>3900471</v>
      </c>
      <c r="BV122" s="230">
        <v>1181913</v>
      </c>
      <c r="BW122" s="229">
        <v>0.30299999999999999</v>
      </c>
      <c r="BX122" s="230">
        <v>44559000</v>
      </c>
      <c r="BY122" s="230">
        <v>44028000</v>
      </c>
      <c r="BZ122" s="230">
        <v>531000</v>
      </c>
      <c r="CA122" s="229">
        <v>1.21E-2</v>
      </c>
      <c r="CB122" s="230">
        <v>43647750</v>
      </c>
      <c r="CC122" s="230">
        <v>43335000</v>
      </c>
      <c r="CD122" s="230">
        <v>312750</v>
      </c>
      <c r="CE122" s="229">
        <v>7.1999999999999998E-3</v>
      </c>
      <c r="CF122" s="230">
        <v>850500</v>
      </c>
      <c r="CG122" s="230">
        <v>677250</v>
      </c>
      <c r="CH122" s="230">
        <v>173250</v>
      </c>
      <c r="CI122" s="229">
        <v>0.25580000000000003</v>
      </c>
      <c r="CJ122" s="230">
        <v>60750</v>
      </c>
      <c r="CK122" s="230">
        <v>15750</v>
      </c>
      <c r="CL122" s="230">
        <v>45000</v>
      </c>
      <c r="CM122" s="229">
        <v>2.8571</v>
      </c>
      <c r="CN122" s="230">
        <v>14175000</v>
      </c>
      <c r="CO122" s="230">
        <v>12375000</v>
      </c>
      <c r="CP122" s="230">
        <v>1800000</v>
      </c>
      <c r="CQ122" s="229">
        <v>0.14549999999999999</v>
      </c>
      <c r="CR122" s="230">
        <v>10680750</v>
      </c>
      <c r="CS122" s="230">
        <v>10183500</v>
      </c>
      <c r="CT122" s="230">
        <v>497250</v>
      </c>
      <c r="CU122" s="229">
        <v>4.8800000000000003E-2</v>
      </c>
      <c r="CV122" s="230">
        <v>69414750</v>
      </c>
      <c r="CW122" s="230">
        <v>66586500</v>
      </c>
      <c r="CX122" s="230">
        <v>2828250</v>
      </c>
      <c r="CY122" s="229">
        <v>4.2500000000000003E-2</v>
      </c>
      <c r="CZ122" s="228">
        <v>37.36</v>
      </c>
      <c r="DA122" s="228">
        <v>37.950000000000003</v>
      </c>
      <c r="DB122" s="228">
        <v>-0.59</v>
      </c>
      <c r="DC122" s="228">
        <v>-0.59</v>
      </c>
      <c r="DD122" s="228">
        <v>40.869999999999997</v>
      </c>
      <c r="DE122" s="228">
        <v>40.93</v>
      </c>
      <c r="DF122" s="228">
        <v>-3.51</v>
      </c>
      <c r="DG122" s="228">
        <v>-0.06</v>
      </c>
      <c r="DH122" s="228">
        <v>37.130000000000003</v>
      </c>
      <c r="DI122" s="228">
        <v>37.799999999999997</v>
      </c>
      <c r="DJ122" s="228">
        <v>-0.67</v>
      </c>
      <c r="DK122" s="228">
        <v>-0.67</v>
      </c>
      <c r="DL122" s="228">
        <v>38.08</v>
      </c>
      <c r="DM122" s="228">
        <v>38.24</v>
      </c>
      <c r="DN122" s="228">
        <v>-0.16</v>
      </c>
      <c r="DO122" s="228">
        <v>-0.16</v>
      </c>
      <c r="DP122" s="228">
        <v>0.75</v>
      </c>
      <c r="DQ122" s="228">
        <v>0.82</v>
      </c>
      <c r="DR122" s="228">
        <v>-7.0000000000000007E-2</v>
      </c>
      <c r="DS122" s="229">
        <v>-8.5400000000000004E-2</v>
      </c>
      <c r="DT122" s="228">
        <v>290</v>
      </c>
      <c r="DU122" s="228">
        <v>290</v>
      </c>
      <c r="DV122" s="228">
        <v>0.33</v>
      </c>
      <c r="DW122" s="228">
        <v>0.52</v>
      </c>
      <c r="DX122" s="228">
        <v>-0.19</v>
      </c>
      <c r="DY122" s="229">
        <v>-0.3654</v>
      </c>
      <c r="DZ122" s="229">
        <v>2.0500000000000001E-2</v>
      </c>
      <c r="EA122" s="230">
        <v>693000</v>
      </c>
      <c r="EB122" s="229">
        <v>-5.7999999999999996E-3</v>
      </c>
      <c r="EC122" s="229">
        <v>2.0500000000000001E-2</v>
      </c>
      <c r="ED122" s="228">
        <v>-1.24</v>
      </c>
      <c r="EE122" s="229">
        <v>-4.4000000000000003E-3</v>
      </c>
      <c r="EF122" s="230">
        <v>2221602</v>
      </c>
      <c r="EG122" s="230">
        <v>1747749</v>
      </c>
      <c r="EH122" s="229">
        <v>0.27110000000000001</v>
      </c>
      <c r="EI122" s="229">
        <v>0.43709999999999999</v>
      </c>
      <c r="EJ122" s="231">
        <v>26439.69</v>
      </c>
      <c r="EK122" s="231">
        <v>7995.2</v>
      </c>
      <c r="EL122" s="231">
        <v>20981.06</v>
      </c>
      <c r="EM122" s="231">
        <v>10013</v>
      </c>
      <c r="EN122" s="231">
        <v>55415.95</v>
      </c>
      <c r="EO122" s="231">
        <v>47629.74</v>
      </c>
      <c r="EP122" s="231">
        <v>7786.21</v>
      </c>
      <c r="EQ122" s="229">
        <v>0.16350000000000001</v>
      </c>
      <c r="ER122" s="231">
        <v>42553</v>
      </c>
      <c r="ES122" s="231">
        <v>30007</v>
      </c>
      <c r="ET122" s="231">
        <v>126822</v>
      </c>
      <c r="EU122" s="231">
        <v>127514625</v>
      </c>
      <c r="EV122" s="231">
        <v>199382</v>
      </c>
      <c r="EW122" s="231">
        <v>189199</v>
      </c>
      <c r="EX122" s="231">
        <v>10183</v>
      </c>
      <c r="EY122" s="229">
        <v>5.3800000000000001E-2</v>
      </c>
      <c r="EZ122" s="229">
        <v>0.5444</v>
      </c>
      <c r="FA122" s="227" t="s">
        <v>555</v>
      </c>
      <c r="FB122" s="161">
        <f t="shared" si="1"/>
        <v>911250</v>
      </c>
    </row>
    <row r="123" spans="1:158" ht="17.25" thickBot="1" x14ac:dyDescent="0.3">
      <c r="A123" s="226">
        <v>46146</v>
      </c>
      <c r="B123" s="227" t="s">
        <v>221</v>
      </c>
      <c r="C123" s="227" t="s">
        <v>690</v>
      </c>
      <c r="D123" s="228">
        <v>150</v>
      </c>
      <c r="E123" s="231">
        <v>4189.7</v>
      </c>
      <c r="F123" s="231">
        <v>4258.8</v>
      </c>
      <c r="G123" s="228">
        <v>-69.099999999999994</v>
      </c>
      <c r="H123" s="229">
        <v>-1.6199999999999999E-2</v>
      </c>
      <c r="I123" s="231">
        <v>4202.7</v>
      </c>
      <c r="J123" s="231">
        <v>4269.6000000000004</v>
      </c>
      <c r="K123" s="228">
        <v>-66.900000000000006</v>
      </c>
      <c r="L123" s="229">
        <v>-1.5699999999999999E-2</v>
      </c>
      <c r="M123" s="231">
        <v>4189.7</v>
      </c>
      <c r="N123" s="231">
        <v>4258.8</v>
      </c>
      <c r="O123" s="228">
        <v>-69.099999999999994</v>
      </c>
      <c r="P123" s="229">
        <v>-1.6199999999999999E-2</v>
      </c>
      <c r="Q123" s="231">
        <v>4114.8</v>
      </c>
      <c r="R123" s="231">
        <v>4180.3999999999996</v>
      </c>
      <c r="S123" s="228">
        <v>-65.599999999999994</v>
      </c>
      <c r="T123" s="229">
        <v>-1.5699999999999999E-2</v>
      </c>
      <c r="U123" s="231">
        <v>4071.7</v>
      </c>
      <c r="V123" s="231">
        <v>4161.7</v>
      </c>
      <c r="W123" s="228">
        <v>-90</v>
      </c>
      <c r="X123" s="229">
        <v>-2.1600000000000001E-2</v>
      </c>
      <c r="Y123" s="228">
        <v>-13</v>
      </c>
      <c r="Z123" s="228">
        <v>-10.8</v>
      </c>
      <c r="AA123" s="228">
        <v>-2.2000000000000002</v>
      </c>
      <c r="AB123" s="229">
        <v>-3.0999999999999999E-3</v>
      </c>
      <c r="AC123" s="228">
        <v>-13</v>
      </c>
      <c r="AD123" s="228">
        <v>-10.8</v>
      </c>
      <c r="AE123" s="228">
        <v>-2.2000000000000002</v>
      </c>
      <c r="AF123" s="229">
        <v>-3.0999999999999999E-3</v>
      </c>
      <c r="AG123" s="228">
        <v>-87.9</v>
      </c>
      <c r="AH123" s="228">
        <v>-89.2</v>
      </c>
      <c r="AI123" s="228">
        <v>1.3</v>
      </c>
      <c r="AJ123" s="229">
        <v>-2.0899999999999998E-2</v>
      </c>
      <c r="AK123" s="228">
        <v>-131</v>
      </c>
      <c r="AL123" s="228">
        <v>-107.9</v>
      </c>
      <c r="AM123" s="228">
        <v>-23.1</v>
      </c>
      <c r="AN123" s="229">
        <v>-3.1199999999999999E-2</v>
      </c>
      <c r="AO123" s="231">
        <v>4204.62</v>
      </c>
      <c r="AP123" s="231">
        <v>4133.41</v>
      </c>
      <c r="AQ123" s="228">
        <v>0</v>
      </c>
      <c r="AR123" s="230">
        <v>349800</v>
      </c>
      <c r="AS123" s="230">
        <v>526200</v>
      </c>
      <c r="AT123" s="230">
        <v>-176400</v>
      </c>
      <c r="AU123" s="229">
        <v>-0.3352</v>
      </c>
      <c r="AV123" s="230">
        <v>294750</v>
      </c>
      <c r="AW123" s="230">
        <v>466050</v>
      </c>
      <c r="AX123" s="230">
        <v>-171300</v>
      </c>
      <c r="AY123" s="229">
        <v>-0.36759999999999998</v>
      </c>
      <c r="AZ123" s="230">
        <v>51000</v>
      </c>
      <c r="BA123" s="230">
        <v>51300</v>
      </c>
      <c r="BB123" s="228">
        <v>-300</v>
      </c>
      <c r="BC123" s="229">
        <v>-5.7999999999999996E-3</v>
      </c>
      <c r="BD123" s="230">
        <v>4050</v>
      </c>
      <c r="BE123" s="230">
        <v>8850</v>
      </c>
      <c r="BF123" s="230">
        <v>-4800</v>
      </c>
      <c r="BG123" s="229">
        <v>-0.54239999999999999</v>
      </c>
      <c r="BH123" s="230">
        <v>736350</v>
      </c>
      <c r="BI123" s="230">
        <v>674550</v>
      </c>
      <c r="BJ123" s="230">
        <v>61800</v>
      </c>
      <c r="BK123" s="229">
        <v>9.1600000000000001E-2</v>
      </c>
      <c r="BL123" s="230">
        <v>355200</v>
      </c>
      <c r="BM123" s="230">
        <v>319950</v>
      </c>
      <c r="BN123" s="230">
        <v>35250</v>
      </c>
      <c r="BO123" s="229">
        <v>0.11020000000000001</v>
      </c>
      <c r="BP123" s="230">
        <v>1441350</v>
      </c>
      <c r="BQ123" s="230">
        <v>1520700</v>
      </c>
      <c r="BR123" s="230">
        <v>-79350</v>
      </c>
      <c r="BS123" s="229">
        <v>-5.2200000000000003E-2</v>
      </c>
      <c r="BT123" s="230">
        <v>224489</v>
      </c>
      <c r="BU123" s="230">
        <v>427566</v>
      </c>
      <c r="BV123" s="230">
        <v>-203077</v>
      </c>
      <c r="BW123" s="229">
        <v>-0.47499999999999998</v>
      </c>
      <c r="BX123" s="230">
        <v>3267450</v>
      </c>
      <c r="BY123" s="230">
        <v>3258900</v>
      </c>
      <c r="BZ123" s="230">
        <v>8550</v>
      </c>
      <c r="CA123" s="229">
        <v>2.5999999999999999E-3</v>
      </c>
      <c r="CB123" s="230">
        <v>3131850</v>
      </c>
      <c r="CC123" s="230">
        <v>3146700</v>
      </c>
      <c r="CD123" s="230">
        <v>-14850</v>
      </c>
      <c r="CE123" s="229">
        <v>-4.7000000000000002E-3</v>
      </c>
      <c r="CF123" s="230">
        <v>122250</v>
      </c>
      <c r="CG123" s="230">
        <v>101850</v>
      </c>
      <c r="CH123" s="230">
        <v>20400</v>
      </c>
      <c r="CI123" s="229">
        <v>0.20030000000000001</v>
      </c>
      <c r="CJ123" s="230">
        <v>13350</v>
      </c>
      <c r="CK123" s="230">
        <v>10350</v>
      </c>
      <c r="CL123" s="230">
        <v>3000</v>
      </c>
      <c r="CM123" s="229">
        <v>0.28989999999999999</v>
      </c>
      <c r="CN123" s="230">
        <v>919950</v>
      </c>
      <c r="CO123" s="230">
        <v>815400</v>
      </c>
      <c r="CP123" s="230">
        <v>104550</v>
      </c>
      <c r="CQ123" s="229">
        <v>0.12820000000000001</v>
      </c>
      <c r="CR123" s="230">
        <v>618300</v>
      </c>
      <c r="CS123" s="230">
        <v>565050</v>
      </c>
      <c r="CT123" s="230">
        <v>53250</v>
      </c>
      <c r="CU123" s="229">
        <v>9.4200000000000006E-2</v>
      </c>
      <c r="CV123" s="230">
        <v>4805700</v>
      </c>
      <c r="CW123" s="230">
        <v>4639350</v>
      </c>
      <c r="CX123" s="230">
        <v>166350</v>
      </c>
      <c r="CY123" s="229">
        <v>3.5900000000000001E-2</v>
      </c>
      <c r="CZ123" s="228">
        <v>33.21</v>
      </c>
      <c r="DA123" s="228">
        <v>33.51</v>
      </c>
      <c r="DB123" s="228">
        <v>-0.3</v>
      </c>
      <c r="DC123" s="228">
        <v>-0.3</v>
      </c>
      <c r="DD123" s="228">
        <v>36.380000000000003</v>
      </c>
      <c r="DE123" s="228">
        <v>36.409999999999997</v>
      </c>
      <c r="DF123" s="228">
        <v>-3.17</v>
      </c>
      <c r="DG123" s="228">
        <v>-0.03</v>
      </c>
      <c r="DH123" s="228">
        <v>32.93</v>
      </c>
      <c r="DI123" s="228">
        <v>33.24</v>
      </c>
      <c r="DJ123" s="228">
        <v>-0.31</v>
      </c>
      <c r="DK123" s="228">
        <v>-0.31</v>
      </c>
      <c r="DL123" s="228">
        <v>33.799999999999997</v>
      </c>
      <c r="DM123" s="228">
        <v>34.06</v>
      </c>
      <c r="DN123" s="228">
        <v>-0.26</v>
      </c>
      <c r="DO123" s="228">
        <v>-0.26</v>
      </c>
      <c r="DP123" s="228">
        <v>0.67</v>
      </c>
      <c r="DQ123" s="228">
        <v>0.69</v>
      </c>
      <c r="DR123" s="228">
        <v>-0.02</v>
      </c>
      <c r="DS123" s="229">
        <v>-2.9000000000000001E-2</v>
      </c>
      <c r="DT123" s="231">
        <v>4600</v>
      </c>
      <c r="DU123" s="231">
        <v>4200</v>
      </c>
      <c r="DV123" s="228">
        <v>0.48</v>
      </c>
      <c r="DW123" s="228">
        <v>0.47</v>
      </c>
      <c r="DX123" s="228">
        <v>0.01</v>
      </c>
      <c r="DY123" s="229">
        <v>2.1299999999999999E-2</v>
      </c>
      <c r="DZ123" s="229">
        <v>4.1500000000000002E-2</v>
      </c>
      <c r="EA123" s="230">
        <v>112200</v>
      </c>
      <c r="EB123" s="229">
        <v>-1.7899999999999999E-2</v>
      </c>
      <c r="EC123" s="229">
        <v>4.1500000000000002E-2</v>
      </c>
      <c r="ED123" s="228">
        <v>-71.209999999999994</v>
      </c>
      <c r="EE123" s="229">
        <v>-1.6899999999999998E-2</v>
      </c>
      <c r="EF123" s="230">
        <v>112863</v>
      </c>
      <c r="EG123" s="230">
        <v>223526</v>
      </c>
      <c r="EH123" s="229">
        <v>-0.49509999999999998</v>
      </c>
      <c r="EI123" s="229">
        <v>0.50280000000000002</v>
      </c>
      <c r="EJ123" s="231">
        <v>33560.33</v>
      </c>
      <c r="EK123" s="231">
        <v>14782.42</v>
      </c>
      <c r="EL123" s="231">
        <v>14668.39</v>
      </c>
      <c r="EM123" s="231">
        <v>8251</v>
      </c>
      <c r="EN123" s="231">
        <v>63011.14</v>
      </c>
      <c r="EO123" s="231">
        <v>66824.84</v>
      </c>
      <c r="EP123" s="231">
        <v>-3813.7</v>
      </c>
      <c r="EQ123" s="229">
        <v>-5.7099999999999998E-2</v>
      </c>
      <c r="ER123" s="231">
        <v>41560</v>
      </c>
      <c r="ES123" s="231">
        <v>26065</v>
      </c>
      <c r="ET123" s="231">
        <v>136789</v>
      </c>
      <c r="EU123" s="231">
        <v>12564965</v>
      </c>
      <c r="EV123" s="231">
        <v>204414</v>
      </c>
      <c r="EW123" s="231">
        <v>199557</v>
      </c>
      <c r="EX123" s="231">
        <v>4857</v>
      </c>
      <c r="EY123" s="229">
        <v>2.4299999999999999E-2</v>
      </c>
      <c r="EZ123" s="229">
        <v>0.38250000000000001</v>
      </c>
      <c r="FA123" s="227" t="s">
        <v>566</v>
      </c>
      <c r="FB123" s="161">
        <f t="shared" si="1"/>
        <v>135600</v>
      </c>
    </row>
    <row r="124" spans="1:158" ht="17.25" thickBot="1" x14ac:dyDescent="0.3">
      <c r="A124" s="226">
        <v>46146</v>
      </c>
      <c r="B124" s="227" t="s">
        <v>170</v>
      </c>
      <c r="C124" s="227" t="s">
        <v>250</v>
      </c>
      <c r="D124" s="228">
        <v>425</v>
      </c>
      <c r="E124" s="231">
        <v>2351.5</v>
      </c>
      <c r="F124" s="231">
        <v>2310.8000000000002</v>
      </c>
      <c r="G124" s="228">
        <v>40.700000000000003</v>
      </c>
      <c r="H124" s="229">
        <v>1.7600000000000001E-2</v>
      </c>
      <c r="I124" s="231">
        <v>2348.8000000000002</v>
      </c>
      <c r="J124" s="231">
        <v>2305.1999999999998</v>
      </c>
      <c r="K124" s="228">
        <v>43.6</v>
      </c>
      <c r="L124" s="229">
        <v>1.89E-2</v>
      </c>
      <c r="M124" s="231">
        <v>2351.5</v>
      </c>
      <c r="N124" s="231">
        <v>2310.8000000000002</v>
      </c>
      <c r="O124" s="228">
        <v>40.700000000000003</v>
      </c>
      <c r="P124" s="229">
        <v>1.7600000000000001E-2</v>
      </c>
      <c r="Q124" s="231">
        <v>2365.4</v>
      </c>
      <c r="R124" s="231">
        <v>2325</v>
      </c>
      <c r="S124" s="228">
        <v>40.4</v>
      </c>
      <c r="T124" s="229">
        <v>1.7399999999999999E-2</v>
      </c>
      <c r="U124" s="231">
        <v>2369</v>
      </c>
      <c r="V124" s="231">
        <v>2326</v>
      </c>
      <c r="W124" s="228">
        <v>43</v>
      </c>
      <c r="X124" s="229">
        <v>1.8499999999999999E-2</v>
      </c>
      <c r="Y124" s="228">
        <v>2.7</v>
      </c>
      <c r="Z124" s="228">
        <v>5.6</v>
      </c>
      <c r="AA124" s="228">
        <v>-2.9</v>
      </c>
      <c r="AB124" s="229">
        <v>1.1000000000000001E-3</v>
      </c>
      <c r="AC124" s="228">
        <v>2.7</v>
      </c>
      <c r="AD124" s="228">
        <v>5.6</v>
      </c>
      <c r="AE124" s="228">
        <v>-2.9</v>
      </c>
      <c r="AF124" s="229">
        <v>1.1000000000000001E-3</v>
      </c>
      <c r="AG124" s="228">
        <v>16.600000000000001</v>
      </c>
      <c r="AH124" s="228">
        <v>19.8</v>
      </c>
      <c r="AI124" s="228">
        <v>-3.2</v>
      </c>
      <c r="AJ124" s="229">
        <v>7.1000000000000004E-3</v>
      </c>
      <c r="AK124" s="228">
        <v>20.2</v>
      </c>
      <c r="AL124" s="228">
        <v>20.8</v>
      </c>
      <c r="AM124" s="228">
        <v>-0.6</v>
      </c>
      <c r="AN124" s="229">
        <v>8.6E-3</v>
      </c>
      <c r="AO124" s="231">
        <v>2348.39</v>
      </c>
      <c r="AP124" s="231">
        <v>2361.15</v>
      </c>
      <c r="AQ124" s="228">
        <v>0</v>
      </c>
      <c r="AR124" s="230">
        <v>1595025</v>
      </c>
      <c r="AS124" s="230">
        <v>860200</v>
      </c>
      <c r="AT124" s="230">
        <v>734825</v>
      </c>
      <c r="AU124" s="229">
        <v>0.85419999999999996</v>
      </c>
      <c r="AV124" s="230">
        <v>1493875</v>
      </c>
      <c r="AW124" s="230">
        <v>828750</v>
      </c>
      <c r="AX124" s="230">
        <v>665125</v>
      </c>
      <c r="AY124" s="229">
        <v>0.80259999999999998</v>
      </c>
      <c r="AZ124" s="230">
        <v>84150</v>
      </c>
      <c r="BA124" s="230">
        <v>26775</v>
      </c>
      <c r="BB124" s="230">
        <v>57375</v>
      </c>
      <c r="BC124" s="229">
        <v>2.1429</v>
      </c>
      <c r="BD124" s="230">
        <v>17000</v>
      </c>
      <c r="BE124" s="230">
        <v>4675</v>
      </c>
      <c r="BF124" s="230">
        <v>12325</v>
      </c>
      <c r="BG124" s="229">
        <v>2.6364000000000001</v>
      </c>
      <c r="BH124" s="230">
        <v>6523325</v>
      </c>
      <c r="BI124" s="230">
        <v>1898050</v>
      </c>
      <c r="BJ124" s="230">
        <v>4625275</v>
      </c>
      <c r="BK124" s="229">
        <v>2.4369000000000001</v>
      </c>
      <c r="BL124" s="230">
        <v>1987725</v>
      </c>
      <c r="BM124" s="230">
        <v>1304750</v>
      </c>
      <c r="BN124" s="230">
        <v>682975</v>
      </c>
      <c r="BO124" s="229">
        <v>0.52349999999999997</v>
      </c>
      <c r="BP124" s="230">
        <v>10106075</v>
      </c>
      <c r="BQ124" s="230">
        <v>4063000</v>
      </c>
      <c r="BR124" s="230">
        <v>6043075</v>
      </c>
      <c r="BS124" s="229">
        <v>1.4873000000000001</v>
      </c>
      <c r="BT124" s="230">
        <v>1336484</v>
      </c>
      <c r="BU124" s="230">
        <v>1111629</v>
      </c>
      <c r="BV124" s="230">
        <v>224855</v>
      </c>
      <c r="BW124" s="229">
        <v>0.20230000000000001</v>
      </c>
      <c r="BX124" s="230">
        <v>7131075</v>
      </c>
      <c r="BY124" s="230">
        <v>6988275</v>
      </c>
      <c r="BZ124" s="230">
        <v>142800</v>
      </c>
      <c r="CA124" s="229">
        <v>2.0400000000000001E-2</v>
      </c>
      <c r="CB124" s="230">
        <v>6731575</v>
      </c>
      <c r="CC124" s="230">
        <v>6608750</v>
      </c>
      <c r="CD124" s="230">
        <v>122825</v>
      </c>
      <c r="CE124" s="229">
        <v>1.8599999999999998E-2</v>
      </c>
      <c r="CF124" s="230">
        <v>391000</v>
      </c>
      <c r="CG124" s="230">
        <v>371025</v>
      </c>
      <c r="CH124" s="230">
        <v>19975</v>
      </c>
      <c r="CI124" s="229">
        <v>5.3800000000000001E-2</v>
      </c>
      <c r="CJ124" s="230">
        <v>8500</v>
      </c>
      <c r="CK124" s="230">
        <v>8500</v>
      </c>
      <c r="CL124" s="228">
        <v>0</v>
      </c>
      <c r="CM124" s="229">
        <v>0</v>
      </c>
      <c r="CN124" s="230">
        <v>2872575</v>
      </c>
      <c r="CO124" s="230">
        <v>1827500</v>
      </c>
      <c r="CP124" s="230">
        <v>1045075</v>
      </c>
      <c r="CQ124" s="229">
        <v>0.57189999999999996</v>
      </c>
      <c r="CR124" s="230">
        <v>1813050</v>
      </c>
      <c r="CS124" s="230">
        <v>1463700</v>
      </c>
      <c r="CT124" s="230">
        <v>349350</v>
      </c>
      <c r="CU124" s="229">
        <v>0.2387</v>
      </c>
      <c r="CV124" s="230">
        <v>11816700</v>
      </c>
      <c r="CW124" s="230">
        <v>10279475</v>
      </c>
      <c r="CX124" s="230">
        <v>1537225</v>
      </c>
      <c r="CY124" s="229">
        <v>0.14949999999999999</v>
      </c>
      <c r="CZ124" s="228">
        <v>31.55</v>
      </c>
      <c r="DA124" s="228">
        <v>29.73</v>
      </c>
      <c r="DB124" s="228">
        <v>1.82</v>
      </c>
      <c r="DC124" s="228">
        <v>1.82</v>
      </c>
      <c r="DD124" s="228">
        <v>27.67</v>
      </c>
      <c r="DE124" s="228">
        <v>27.64</v>
      </c>
      <c r="DF124" s="228">
        <v>3.88</v>
      </c>
      <c r="DG124" s="228">
        <v>0.03</v>
      </c>
      <c r="DH124" s="228">
        <v>31.59</v>
      </c>
      <c r="DI124" s="228">
        <v>29.7</v>
      </c>
      <c r="DJ124" s="228">
        <v>1.89</v>
      </c>
      <c r="DK124" s="228">
        <v>1.89</v>
      </c>
      <c r="DL124" s="228">
        <v>31.41</v>
      </c>
      <c r="DM124" s="228">
        <v>29.77</v>
      </c>
      <c r="DN124" s="228">
        <v>1.64</v>
      </c>
      <c r="DO124" s="228">
        <v>1.64</v>
      </c>
      <c r="DP124" s="228">
        <v>0.63</v>
      </c>
      <c r="DQ124" s="228">
        <v>0.8</v>
      </c>
      <c r="DR124" s="228">
        <v>-0.17</v>
      </c>
      <c r="DS124" s="229">
        <v>-0.21249999999999999</v>
      </c>
      <c r="DT124" s="231">
        <v>2400</v>
      </c>
      <c r="DU124" s="231">
        <v>2300</v>
      </c>
      <c r="DV124" s="228">
        <v>0.3</v>
      </c>
      <c r="DW124" s="228">
        <v>0.69</v>
      </c>
      <c r="DX124" s="228">
        <v>-0.39</v>
      </c>
      <c r="DY124" s="229">
        <v>-0.56520000000000004</v>
      </c>
      <c r="DZ124" s="229">
        <v>5.6000000000000001E-2</v>
      </c>
      <c r="EA124" s="230">
        <v>379525</v>
      </c>
      <c r="EB124" s="229">
        <v>5.8999999999999999E-3</v>
      </c>
      <c r="EC124" s="229">
        <v>5.6000000000000001E-2</v>
      </c>
      <c r="ED124" s="228">
        <v>12.76</v>
      </c>
      <c r="EE124" s="229">
        <v>5.4000000000000003E-3</v>
      </c>
      <c r="EF124" s="230">
        <v>705629</v>
      </c>
      <c r="EG124" s="230">
        <v>711351</v>
      </c>
      <c r="EH124" s="229">
        <v>-8.0000000000000002E-3</v>
      </c>
      <c r="EI124" s="229">
        <v>0.52800000000000002</v>
      </c>
      <c r="EJ124" s="231">
        <v>161890.95000000001</v>
      </c>
      <c r="EK124" s="231">
        <v>45782.89</v>
      </c>
      <c r="EL124" s="231">
        <v>37469.46</v>
      </c>
      <c r="EM124" s="231">
        <v>7201</v>
      </c>
      <c r="EN124" s="231">
        <v>245143.3</v>
      </c>
      <c r="EO124" s="231">
        <v>95606.88</v>
      </c>
      <c r="EP124" s="231">
        <v>149536.42000000001</v>
      </c>
      <c r="EQ124" s="229">
        <v>1.5641</v>
      </c>
      <c r="ER124" s="231">
        <v>69983</v>
      </c>
      <c r="ES124" s="231">
        <v>40471</v>
      </c>
      <c r="ET124" s="231">
        <v>167743</v>
      </c>
      <c r="EU124" s="231">
        <v>32222448</v>
      </c>
      <c r="EV124" s="231">
        <v>278197</v>
      </c>
      <c r="EW124" s="231">
        <v>238204</v>
      </c>
      <c r="EX124" s="231">
        <v>39993</v>
      </c>
      <c r="EY124" s="229">
        <v>0.16789999999999999</v>
      </c>
      <c r="EZ124" s="229">
        <v>0.36670000000000003</v>
      </c>
      <c r="FA124" s="227" t="s">
        <v>555</v>
      </c>
      <c r="FB124" s="161">
        <f t="shared" si="1"/>
        <v>399500</v>
      </c>
    </row>
    <row r="125" spans="1:158" ht="17.25" thickBot="1" x14ac:dyDescent="0.3">
      <c r="A125" s="226">
        <v>46146</v>
      </c>
      <c r="B125" s="227" t="s">
        <v>162</v>
      </c>
      <c r="C125" s="227" t="s">
        <v>251</v>
      </c>
      <c r="D125" s="228">
        <v>200</v>
      </c>
      <c r="E125" s="231">
        <v>3120.2</v>
      </c>
      <c r="F125" s="231">
        <v>3115</v>
      </c>
      <c r="G125" s="228">
        <v>5.2</v>
      </c>
      <c r="H125" s="229">
        <v>1.6999999999999999E-3</v>
      </c>
      <c r="I125" s="231">
        <v>3106.5</v>
      </c>
      <c r="J125" s="231">
        <v>3097.5</v>
      </c>
      <c r="K125" s="228">
        <v>9</v>
      </c>
      <c r="L125" s="229">
        <v>2.8999999999999998E-3</v>
      </c>
      <c r="M125" s="231">
        <v>3120.2</v>
      </c>
      <c r="N125" s="231">
        <v>3115</v>
      </c>
      <c r="O125" s="228">
        <v>5.2</v>
      </c>
      <c r="P125" s="229">
        <v>1.6999999999999999E-3</v>
      </c>
      <c r="Q125" s="231">
        <v>3141.5</v>
      </c>
      <c r="R125" s="231">
        <v>3135.4</v>
      </c>
      <c r="S125" s="228">
        <v>6.1</v>
      </c>
      <c r="T125" s="229">
        <v>1.9E-3</v>
      </c>
      <c r="U125" s="231">
        <v>3132.7</v>
      </c>
      <c r="V125" s="231">
        <v>3126</v>
      </c>
      <c r="W125" s="228">
        <v>6.7</v>
      </c>
      <c r="X125" s="229">
        <v>2.0999999999999999E-3</v>
      </c>
      <c r="Y125" s="228">
        <v>13.7</v>
      </c>
      <c r="Z125" s="228">
        <v>17.5</v>
      </c>
      <c r="AA125" s="228">
        <v>-3.8</v>
      </c>
      <c r="AB125" s="229">
        <v>4.4000000000000003E-3</v>
      </c>
      <c r="AC125" s="228">
        <v>13.7</v>
      </c>
      <c r="AD125" s="228">
        <v>17.5</v>
      </c>
      <c r="AE125" s="228">
        <v>-3.8</v>
      </c>
      <c r="AF125" s="229">
        <v>4.4000000000000003E-3</v>
      </c>
      <c r="AG125" s="228">
        <v>35</v>
      </c>
      <c r="AH125" s="228">
        <v>37.9</v>
      </c>
      <c r="AI125" s="228">
        <v>-2.9</v>
      </c>
      <c r="AJ125" s="229">
        <v>1.1299999999999999E-2</v>
      </c>
      <c r="AK125" s="228">
        <v>26.2</v>
      </c>
      <c r="AL125" s="228">
        <v>28.5</v>
      </c>
      <c r="AM125" s="228">
        <v>-2.2999999999999998</v>
      </c>
      <c r="AN125" s="229">
        <v>8.3999999999999995E-3</v>
      </c>
      <c r="AO125" s="231">
        <v>3135.2</v>
      </c>
      <c r="AP125" s="231">
        <v>3153.4</v>
      </c>
      <c r="AQ125" s="228">
        <v>0</v>
      </c>
      <c r="AR125" s="230">
        <v>3127800</v>
      </c>
      <c r="AS125" s="230">
        <v>2103800</v>
      </c>
      <c r="AT125" s="230">
        <v>1024000</v>
      </c>
      <c r="AU125" s="229">
        <v>0.48670000000000002</v>
      </c>
      <c r="AV125" s="230">
        <v>2933000</v>
      </c>
      <c r="AW125" s="230">
        <v>1946200</v>
      </c>
      <c r="AX125" s="230">
        <v>986800</v>
      </c>
      <c r="AY125" s="229">
        <v>0.50700000000000001</v>
      </c>
      <c r="AZ125" s="230">
        <v>163000</v>
      </c>
      <c r="BA125" s="230">
        <v>122600</v>
      </c>
      <c r="BB125" s="230">
        <v>40400</v>
      </c>
      <c r="BC125" s="229">
        <v>0.32950000000000002</v>
      </c>
      <c r="BD125" s="230">
        <v>31800</v>
      </c>
      <c r="BE125" s="230">
        <v>35000</v>
      </c>
      <c r="BF125" s="230">
        <v>-3200</v>
      </c>
      <c r="BG125" s="229">
        <v>-9.1399999999999995E-2</v>
      </c>
      <c r="BH125" s="230">
        <v>9019800</v>
      </c>
      <c r="BI125" s="230">
        <v>4648000</v>
      </c>
      <c r="BJ125" s="230">
        <v>4371800</v>
      </c>
      <c r="BK125" s="229">
        <v>0.94059999999999999</v>
      </c>
      <c r="BL125" s="230">
        <v>3364000</v>
      </c>
      <c r="BM125" s="230">
        <v>3402600</v>
      </c>
      <c r="BN125" s="230">
        <v>-38600</v>
      </c>
      <c r="BO125" s="229">
        <v>-1.1299999999999999E-2</v>
      </c>
      <c r="BP125" s="230">
        <v>15511600</v>
      </c>
      <c r="BQ125" s="230">
        <v>10154400</v>
      </c>
      <c r="BR125" s="230">
        <v>5357200</v>
      </c>
      <c r="BS125" s="229">
        <v>0.52759999999999996</v>
      </c>
      <c r="BT125" s="230">
        <v>2976483</v>
      </c>
      <c r="BU125" s="230">
        <v>3564479</v>
      </c>
      <c r="BV125" s="230">
        <v>-587996</v>
      </c>
      <c r="BW125" s="229">
        <v>-0.16500000000000001</v>
      </c>
      <c r="BX125" s="230">
        <v>20421000</v>
      </c>
      <c r="BY125" s="230">
        <v>19942600</v>
      </c>
      <c r="BZ125" s="230">
        <v>478400</v>
      </c>
      <c r="CA125" s="229">
        <v>2.4E-2</v>
      </c>
      <c r="CB125" s="230">
        <v>17552000</v>
      </c>
      <c r="CC125" s="230">
        <v>17173600</v>
      </c>
      <c r="CD125" s="230">
        <v>378400</v>
      </c>
      <c r="CE125" s="229">
        <v>2.1999999999999999E-2</v>
      </c>
      <c r="CF125" s="230">
        <v>2818800</v>
      </c>
      <c r="CG125" s="230">
        <v>2735400</v>
      </c>
      <c r="CH125" s="230">
        <v>83400</v>
      </c>
      <c r="CI125" s="229">
        <v>3.0499999999999999E-2</v>
      </c>
      <c r="CJ125" s="230">
        <v>50200</v>
      </c>
      <c r="CK125" s="230">
        <v>33600</v>
      </c>
      <c r="CL125" s="230">
        <v>16600</v>
      </c>
      <c r="CM125" s="229">
        <v>0.49399999999999999</v>
      </c>
      <c r="CN125" s="230">
        <v>4595200</v>
      </c>
      <c r="CO125" s="230">
        <v>3557000</v>
      </c>
      <c r="CP125" s="230">
        <v>1038200</v>
      </c>
      <c r="CQ125" s="229">
        <v>0.29189999999999999</v>
      </c>
      <c r="CR125" s="230">
        <v>3698400</v>
      </c>
      <c r="CS125" s="230">
        <v>3168000</v>
      </c>
      <c r="CT125" s="230">
        <v>530400</v>
      </c>
      <c r="CU125" s="229">
        <v>0.16739999999999999</v>
      </c>
      <c r="CV125" s="230">
        <v>28714600</v>
      </c>
      <c r="CW125" s="230">
        <v>26667600</v>
      </c>
      <c r="CX125" s="230">
        <v>2047000</v>
      </c>
      <c r="CY125" s="229">
        <v>7.6799999999999993E-2</v>
      </c>
      <c r="CZ125" s="228">
        <v>38.130000000000003</v>
      </c>
      <c r="DA125" s="228">
        <v>35.5</v>
      </c>
      <c r="DB125" s="228">
        <v>2.63</v>
      </c>
      <c r="DC125" s="228">
        <v>2.63</v>
      </c>
      <c r="DD125" s="228">
        <v>35.6</v>
      </c>
      <c r="DE125" s="228">
        <v>35.68</v>
      </c>
      <c r="DF125" s="228">
        <v>2.5299999999999998</v>
      </c>
      <c r="DG125" s="228">
        <v>-0.08</v>
      </c>
      <c r="DH125" s="228">
        <v>38.07</v>
      </c>
      <c r="DI125" s="228">
        <v>35.299999999999997</v>
      </c>
      <c r="DJ125" s="228">
        <v>2.77</v>
      </c>
      <c r="DK125" s="228">
        <v>2.77</v>
      </c>
      <c r="DL125" s="228">
        <v>38.26</v>
      </c>
      <c r="DM125" s="228">
        <v>35.770000000000003</v>
      </c>
      <c r="DN125" s="228">
        <v>2.4900000000000002</v>
      </c>
      <c r="DO125" s="228">
        <v>2.4900000000000002</v>
      </c>
      <c r="DP125" s="228">
        <v>0.8</v>
      </c>
      <c r="DQ125" s="228">
        <v>0.89</v>
      </c>
      <c r="DR125" s="228">
        <v>-0.09</v>
      </c>
      <c r="DS125" s="229">
        <v>-0.1011</v>
      </c>
      <c r="DT125" s="231">
        <v>3200</v>
      </c>
      <c r="DU125" s="231">
        <v>3100</v>
      </c>
      <c r="DV125" s="228">
        <v>0.37</v>
      </c>
      <c r="DW125" s="228">
        <v>0.73</v>
      </c>
      <c r="DX125" s="228">
        <v>-0.36</v>
      </c>
      <c r="DY125" s="229">
        <v>-0.49320000000000003</v>
      </c>
      <c r="DZ125" s="229">
        <v>0.14050000000000001</v>
      </c>
      <c r="EA125" s="230">
        <v>2769000</v>
      </c>
      <c r="EB125" s="229">
        <v>6.7999999999999996E-3</v>
      </c>
      <c r="EC125" s="229">
        <v>0.14050000000000001</v>
      </c>
      <c r="ED125" s="228">
        <v>18.2</v>
      </c>
      <c r="EE125" s="229">
        <v>5.7999999999999996E-3</v>
      </c>
      <c r="EF125" s="230">
        <v>1476877</v>
      </c>
      <c r="EG125" s="230">
        <v>1851272</v>
      </c>
      <c r="EH125" s="229">
        <v>-0.20219999999999999</v>
      </c>
      <c r="EI125" s="229">
        <v>0.49619999999999997</v>
      </c>
      <c r="EJ125" s="231">
        <v>299597.03999999998</v>
      </c>
      <c r="EK125" s="231">
        <v>105205.42</v>
      </c>
      <c r="EL125" s="231">
        <v>98097.15</v>
      </c>
      <c r="EM125" s="231">
        <v>24248</v>
      </c>
      <c r="EN125" s="231">
        <v>502899.61</v>
      </c>
      <c r="EO125" s="231">
        <v>324245.28000000003</v>
      </c>
      <c r="EP125" s="231">
        <v>178654.33</v>
      </c>
      <c r="EQ125" s="229">
        <v>0.55100000000000005</v>
      </c>
      <c r="ER125" s="231">
        <v>150053</v>
      </c>
      <c r="ES125" s="231">
        <v>114234</v>
      </c>
      <c r="ET125" s="231">
        <v>637783</v>
      </c>
      <c r="EU125" s="231">
        <v>120808308</v>
      </c>
      <c r="EV125" s="231">
        <v>902070</v>
      </c>
      <c r="EW125" s="231">
        <v>835906</v>
      </c>
      <c r="EX125" s="231">
        <v>66164</v>
      </c>
      <c r="EY125" s="229">
        <v>7.9200000000000007E-2</v>
      </c>
      <c r="EZ125" s="229">
        <v>0.23769999999999999</v>
      </c>
      <c r="FA125" s="227" t="s">
        <v>555</v>
      </c>
      <c r="FB125" s="161">
        <f t="shared" si="1"/>
        <v>2869000</v>
      </c>
    </row>
    <row r="126" spans="1:158" ht="17.25" thickBot="1" x14ac:dyDescent="0.3">
      <c r="A126" s="226">
        <v>46146</v>
      </c>
      <c r="B126" s="227" t="s">
        <v>175</v>
      </c>
      <c r="C126" s="227" t="s">
        <v>253</v>
      </c>
      <c r="D126" s="228">
        <v>3000</v>
      </c>
      <c r="E126" s="228">
        <v>306.7</v>
      </c>
      <c r="F126" s="228">
        <v>295.8</v>
      </c>
      <c r="G126" s="228">
        <v>10.9</v>
      </c>
      <c r="H126" s="229">
        <v>3.6799999999999999E-2</v>
      </c>
      <c r="I126" s="228">
        <v>305.14999999999998</v>
      </c>
      <c r="J126" s="228">
        <v>294.35000000000002</v>
      </c>
      <c r="K126" s="228">
        <v>10.8</v>
      </c>
      <c r="L126" s="229">
        <v>3.6700000000000003E-2</v>
      </c>
      <c r="M126" s="228">
        <v>306.7</v>
      </c>
      <c r="N126" s="228">
        <v>295.8</v>
      </c>
      <c r="O126" s="228">
        <v>10.9</v>
      </c>
      <c r="P126" s="229">
        <v>3.6799999999999999E-2</v>
      </c>
      <c r="Q126" s="228">
        <v>307.7</v>
      </c>
      <c r="R126" s="228">
        <v>297.35000000000002</v>
      </c>
      <c r="S126" s="228">
        <v>10.35</v>
      </c>
      <c r="T126" s="229">
        <v>3.4799999999999998E-2</v>
      </c>
      <c r="U126" s="228">
        <v>310.2</v>
      </c>
      <c r="V126" s="228">
        <v>0</v>
      </c>
      <c r="W126" s="228">
        <v>310.2</v>
      </c>
      <c r="X126" s="229">
        <v>0</v>
      </c>
      <c r="Y126" s="228">
        <v>1.55</v>
      </c>
      <c r="Z126" s="228">
        <v>1.45</v>
      </c>
      <c r="AA126" s="228">
        <v>0.1</v>
      </c>
      <c r="AB126" s="229">
        <v>5.1000000000000004E-3</v>
      </c>
      <c r="AC126" s="228">
        <v>1.55</v>
      </c>
      <c r="AD126" s="228">
        <v>1.45</v>
      </c>
      <c r="AE126" s="228">
        <v>0.1</v>
      </c>
      <c r="AF126" s="229">
        <v>5.1000000000000004E-3</v>
      </c>
      <c r="AG126" s="228">
        <v>2.5499999999999998</v>
      </c>
      <c r="AH126" s="228">
        <v>3</v>
      </c>
      <c r="AI126" s="228">
        <v>-0.45</v>
      </c>
      <c r="AJ126" s="229">
        <v>8.3999999999999995E-3</v>
      </c>
      <c r="AK126" s="228">
        <v>5.05</v>
      </c>
      <c r="AL126" s="228">
        <v>0</v>
      </c>
      <c r="AM126" s="228">
        <v>5.05</v>
      </c>
      <c r="AN126" s="229">
        <v>1.6500000000000001E-2</v>
      </c>
      <c r="AO126" s="228">
        <v>305.67</v>
      </c>
      <c r="AP126" s="228">
        <v>307.2</v>
      </c>
      <c r="AQ126" s="228">
        <v>0</v>
      </c>
      <c r="AR126" s="230">
        <v>21678000</v>
      </c>
      <c r="AS126" s="230">
        <v>7389000</v>
      </c>
      <c r="AT126" s="230">
        <v>14289000</v>
      </c>
      <c r="AU126" s="229">
        <v>1.9338</v>
      </c>
      <c r="AV126" s="230">
        <v>21399000</v>
      </c>
      <c r="AW126" s="230">
        <v>7281000</v>
      </c>
      <c r="AX126" s="230">
        <v>14118000</v>
      </c>
      <c r="AY126" s="229">
        <v>1.9390000000000001</v>
      </c>
      <c r="AZ126" s="230">
        <v>246000</v>
      </c>
      <c r="BA126" s="230">
        <v>108000</v>
      </c>
      <c r="BB126" s="230">
        <v>138000</v>
      </c>
      <c r="BC126" s="229">
        <v>1.2778</v>
      </c>
      <c r="BD126" s="230">
        <v>33000</v>
      </c>
      <c r="BE126" s="228">
        <v>0</v>
      </c>
      <c r="BF126" s="230">
        <v>33000</v>
      </c>
      <c r="BG126" s="229">
        <v>0</v>
      </c>
      <c r="BH126" s="230">
        <v>36525000</v>
      </c>
      <c r="BI126" s="230">
        <v>8067000</v>
      </c>
      <c r="BJ126" s="230">
        <v>28458000</v>
      </c>
      <c r="BK126" s="229">
        <v>3.5276999999999998</v>
      </c>
      <c r="BL126" s="230">
        <v>16050000</v>
      </c>
      <c r="BM126" s="230">
        <v>2664000</v>
      </c>
      <c r="BN126" s="230">
        <v>13386000</v>
      </c>
      <c r="BO126" s="229">
        <v>5.0247999999999999</v>
      </c>
      <c r="BP126" s="230">
        <v>74253000</v>
      </c>
      <c r="BQ126" s="230">
        <v>18120000</v>
      </c>
      <c r="BR126" s="230">
        <v>56133000</v>
      </c>
      <c r="BS126" s="229">
        <v>3.0977999999999999</v>
      </c>
      <c r="BT126" s="230">
        <v>8582145</v>
      </c>
      <c r="BU126" s="230">
        <v>3819443</v>
      </c>
      <c r="BV126" s="230">
        <v>4762702</v>
      </c>
      <c r="BW126" s="229">
        <v>1.2470000000000001</v>
      </c>
      <c r="BX126" s="230">
        <v>52860000</v>
      </c>
      <c r="BY126" s="230">
        <v>51999000</v>
      </c>
      <c r="BZ126" s="230">
        <v>861000</v>
      </c>
      <c r="CA126" s="229">
        <v>1.66E-2</v>
      </c>
      <c r="CB126" s="230">
        <v>52521000</v>
      </c>
      <c r="CC126" s="230">
        <v>51699000</v>
      </c>
      <c r="CD126" s="230">
        <v>822000</v>
      </c>
      <c r="CE126" s="229">
        <v>1.5900000000000001E-2</v>
      </c>
      <c r="CF126" s="230">
        <v>327000</v>
      </c>
      <c r="CG126" s="230">
        <v>300000</v>
      </c>
      <c r="CH126" s="230">
        <v>27000</v>
      </c>
      <c r="CI126" s="229">
        <v>0.09</v>
      </c>
      <c r="CJ126" s="230">
        <v>12000</v>
      </c>
      <c r="CK126" s="228">
        <v>0</v>
      </c>
      <c r="CL126" s="230">
        <v>12000</v>
      </c>
      <c r="CM126" s="229">
        <v>0</v>
      </c>
      <c r="CN126" s="230">
        <v>12933000</v>
      </c>
      <c r="CO126" s="230">
        <v>10122000</v>
      </c>
      <c r="CP126" s="230">
        <v>2811000</v>
      </c>
      <c r="CQ126" s="229">
        <v>0.2777</v>
      </c>
      <c r="CR126" s="230">
        <v>8454000</v>
      </c>
      <c r="CS126" s="230">
        <v>5433000</v>
      </c>
      <c r="CT126" s="230">
        <v>3021000</v>
      </c>
      <c r="CU126" s="229">
        <v>0.55600000000000005</v>
      </c>
      <c r="CV126" s="230">
        <v>74247000</v>
      </c>
      <c r="CW126" s="230">
        <v>67554000</v>
      </c>
      <c r="CX126" s="230">
        <v>6693000</v>
      </c>
      <c r="CY126" s="229">
        <v>9.9099999999999994E-2</v>
      </c>
      <c r="CZ126" s="228">
        <v>42.83</v>
      </c>
      <c r="DA126" s="228">
        <v>42.41</v>
      </c>
      <c r="DB126" s="228">
        <v>0.42</v>
      </c>
      <c r="DC126" s="228">
        <v>0.42</v>
      </c>
      <c r="DD126" s="228">
        <v>42.83</v>
      </c>
      <c r="DE126" s="228">
        <v>42.66</v>
      </c>
      <c r="DF126" s="228">
        <v>0</v>
      </c>
      <c r="DG126" s="228">
        <v>0.17</v>
      </c>
      <c r="DH126" s="228">
        <v>42.55</v>
      </c>
      <c r="DI126" s="228">
        <v>42.3</v>
      </c>
      <c r="DJ126" s="228">
        <v>0.25</v>
      </c>
      <c r="DK126" s="228">
        <v>0.25</v>
      </c>
      <c r="DL126" s="228">
        <v>43.46</v>
      </c>
      <c r="DM126" s="228">
        <v>42.75</v>
      </c>
      <c r="DN126" s="228">
        <v>0.71</v>
      </c>
      <c r="DO126" s="228">
        <v>0.71</v>
      </c>
      <c r="DP126" s="228">
        <v>0.65</v>
      </c>
      <c r="DQ126" s="228">
        <v>0.54</v>
      </c>
      <c r="DR126" s="228">
        <v>0.11</v>
      </c>
      <c r="DS126" s="229">
        <v>0.20369999999999999</v>
      </c>
      <c r="DT126" s="228">
        <v>310</v>
      </c>
      <c r="DU126" s="228">
        <v>270</v>
      </c>
      <c r="DV126" s="228">
        <v>0.44</v>
      </c>
      <c r="DW126" s="228">
        <v>0.33</v>
      </c>
      <c r="DX126" s="228">
        <v>0.11</v>
      </c>
      <c r="DY126" s="229">
        <v>0.33329999999999999</v>
      </c>
      <c r="DZ126" s="229">
        <v>6.4000000000000003E-3</v>
      </c>
      <c r="EA126" s="230">
        <v>300000</v>
      </c>
      <c r="EB126" s="229">
        <v>3.3E-3</v>
      </c>
      <c r="EC126" s="229">
        <v>6.4000000000000003E-3</v>
      </c>
      <c r="ED126" s="228">
        <v>1.53</v>
      </c>
      <c r="EE126" s="229">
        <v>5.0000000000000001E-3</v>
      </c>
      <c r="EF126" s="230">
        <v>3591576</v>
      </c>
      <c r="EG126" s="230">
        <v>1822095</v>
      </c>
      <c r="EH126" s="229">
        <v>0.97109999999999996</v>
      </c>
      <c r="EI126" s="229">
        <v>0.41849999999999998</v>
      </c>
      <c r="EJ126" s="231">
        <v>118164.85</v>
      </c>
      <c r="EK126" s="231">
        <v>47644.02</v>
      </c>
      <c r="EL126" s="231">
        <v>66267.839999999997</v>
      </c>
      <c r="EM126" s="231">
        <v>6100</v>
      </c>
      <c r="EN126" s="231">
        <v>232076.71</v>
      </c>
      <c r="EO126" s="231">
        <v>55068.29</v>
      </c>
      <c r="EP126" s="231">
        <v>177008.42</v>
      </c>
      <c r="EQ126" s="229">
        <v>3.2143000000000002</v>
      </c>
      <c r="ER126" s="231">
        <v>39493</v>
      </c>
      <c r="ES126" s="231">
        <v>23940</v>
      </c>
      <c r="ET126" s="231">
        <v>162125</v>
      </c>
      <c r="EU126" s="231">
        <v>82205057</v>
      </c>
      <c r="EV126" s="231">
        <v>225558</v>
      </c>
      <c r="EW126" s="231">
        <v>199106</v>
      </c>
      <c r="EX126" s="231">
        <v>26452</v>
      </c>
      <c r="EY126" s="229">
        <v>0.13289999999999999</v>
      </c>
      <c r="EZ126" s="229">
        <v>0.9032</v>
      </c>
      <c r="FA126" s="227" t="s">
        <v>555</v>
      </c>
      <c r="FB126" s="161">
        <f t="shared" si="1"/>
        <v>339000</v>
      </c>
    </row>
    <row r="127" spans="1:158" ht="17.25" thickBot="1" x14ac:dyDescent="0.3">
      <c r="A127" s="226">
        <v>46146</v>
      </c>
      <c r="B127" s="227" t="s">
        <v>170</v>
      </c>
      <c r="C127" s="227" t="s">
        <v>669</v>
      </c>
      <c r="D127" s="228">
        <v>225</v>
      </c>
      <c r="E127" s="231">
        <v>2269.6</v>
      </c>
      <c r="F127" s="231">
        <v>2252.1</v>
      </c>
      <c r="G127" s="228">
        <v>17.5</v>
      </c>
      <c r="H127" s="229">
        <v>7.7999999999999996E-3</v>
      </c>
      <c r="I127" s="231">
        <v>2257.8000000000002</v>
      </c>
      <c r="J127" s="231">
        <v>2246.6999999999998</v>
      </c>
      <c r="K127" s="228">
        <v>11.1</v>
      </c>
      <c r="L127" s="229">
        <v>4.8999999999999998E-3</v>
      </c>
      <c r="M127" s="231">
        <v>2269.6</v>
      </c>
      <c r="N127" s="231">
        <v>2252.1</v>
      </c>
      <c r="O127" s="228">
        <v>17.5</v>
      </c>
      <c r="P127" s="229">
        <v>7.7999999999999996E-3</v>
      </c>
      <c r="Q127" s="231">
        <v>2271</v>
      </c>
      <c r="R127" s="231">
        <v>2257.8000000000002</v>
      </c>
      <c r="S127" s="228">
        <v>13.2</v>
      </c>
      <c r="T127" s="229">
        <v>5.7999999999999996E-3</v>
      </c>
      <c r="U127" s="228">
        <v>0</v>
      </c>
      <c r="V127" s="228">
        <v>0</v>
      </c>
      <c r="W127" s="228">
        <v>0</v>
      </c>
      <c r="X127" s="229">
        <v>0</v>
      </c>
      <c r="Y127" s="228">
        <v>11.8</v>
      </c>
      <c r="Z127" s="228">
        <v>5.4</v>
      </c>
      <c r="AA127" s="228">
        <v>6.4</v>
      </c>
      <c r="AB127" s="229">
        <v>5.1999999999999998E-3</v>
      </c>
      <c r="AC127" s="228">
        <v>11.8</v>
      </c>
      <c r="AD127" s="228">
        <v>5.4</v>
      </c>
      <c r="AE127" s="228">
        <v>6.4</v>
      </c>
      <c r="AF127" s="229">
        <v>5.1999999999999998E-3</v>
      </c>
      <c r="AG127" s="228">
        <v>13.2</v>
      </c>
      <c r="AH127" s="228">
        <v>11.1</v>
      </c>
      <c r="AI127" s="228">
        <v>2.1</v>
      </c>
      <c r="AJ127" s="229">
        <v>5.7999999999999996E-3</v>
      </c>
      <c r="AK127" s="228">
        <v>0</v>
      </c>
      <c r="AL127" s="228">
        <v>0</v>
      </c>
      <c r="AM127" s="228">
        <v>0</v>
      </c>
      <c r="AN127" s="229">
        <v>0</v>
      </c>
      <c r="AO127" s="231">
        <v>2276.44</v>
      </c>
      <c r="AP127" s="231">
        <v>2280.6799999999998</v>
      </c>
      <c r="AQ127" s="228">
        <v>0</v>
      </c>
      <c r="AR127" s="230">
        <v>235125</v>
      </c>
      <c r="AS127" s="230">
        <v>195300</v>
      </c>
      <c r="AT127" s="230">
        <v>39825</v>
      </c>
      <c r="AU127" s="229">
        <v>0.2039</v>
      </c>
      <c r="AV127" s="230">
        <v>229275</v>
      </c>
      <c r="AW127" s="230">
        <v>190575</v>
      </c>
      <c r="AX127" s="230">
        <v>38700</v>
      </c>
      <c r="AY127" s="229">
        <v>0.2031</v>
      </c>
      <c r="AZ127" s="230">
        <v>5850</v>
      </c>
      <c r="BA127" s="230">
        <v>4725</v>
      </c>
      <c r="BB127" s="230">
        <v>1125</v>
      </c>
      <c r="BC127" s="229">
        <v>0.23810000000000001</v>
      </c>
      <c r="BD127" s="228">
        <v>0</v>
      </c>
      <c r="BE127" s="228">
        <v>0</v>
      </c>
      <c r="BF127" s="228">
        <v>0</v>
      </c>
      <c r="BG127" s="229">
        <v>0</v>
      </c>
      <c r="BH127" s="230">
        <v>714150</v>
      </c>
      <c r="BI127" s="230">
        <v>168300</v>
      </c>
      <c r="BJ127" s="230">
        <v>545850</v>
      </c>
      <c r="BK127" s="229">
        <v>3.2433000000000001</v>
      </c>
      <c r="BL127" s="230">
        <v>162450</v>
      </c>
      <c r="BM127" s="230">
        <v>83250</v>
      </c>
      <c r="BN127" s="230">
        <v>79200</v>
      </c>
      <c r="BO127" s="229">
        <v>0.95140000000000002</v>
      </c>
      <c r="BP127" s="230">
        <v>1111725</v>
      </c>
      <c r="BQ127" s="230">
        <v>446850</v>
      </c>
      <c r="BR127" s="230">
        <v>664875</v>
      </c>
      <c r="BS127" s="229">
        <v>1.4879</v>
      </c>
      <c r="BT127" s="230">
        <v>167469</v>
      </c>
      <c r="BU127" s="230">
        <v>309556</v>
      </c>
      <c r="BV127" s="230">
        <v>-142087</v>
      </c>
      <c r="BW127" s="229">
        <v>-0.45900000000000002</v>
      </c>
      <c r="BX127" s="230">
        <v>3513150</v>
      </c>
      <c r="BY127" s="230">
        <v>3483000</v>
      </c>
      <c r="BZ127" s="230">
        <v>30150</v>
      </c>
      <c r="CA127" s="229">
        <v>8.6999999999999994E-3</v>
      </c>
      <c r="CB127" s="230">
        <v>3487950</v>
      </c>
      <c r="CC127" s="230">
        <v>3458700</v>
      </c>
      <c r="CD127" s="230">
        <v>29250</v>
      </c>
      <c r="CE127" s="229">
        <v>8.5000000000000006E-3</v>
      </c>
      <c r="CF127" s="230">
        <v>25200</v>
      </c>
      <c r="CG127" s="230">
        <v>24300</v>
      </c>
      <c r="CH127" s="228">
        <v>900</v>
      </c>
      <c r="CI127" s="229">
        <v>3.6999999999999998E-2</v>
      </c>
      <c r="CJ127" s="228">
        <v>0</v>
      </c>
      <c r="CK127" s="228">
        <v>0</v>
      </c>
      <c r="CL127" s="228">
        <v>0</v>
      </c>
      <c r="CM127" s="229">
        <v>0</v>
      </c>
      <c r="CN127" s="230">
        <v>495000</v>
      </c>
      <c r="CO127" s="230">
        <v>341550</v>
      </c>
      <c r="CP127" s="230">
        <v>153450</v>
      </c>
      <c r="CQ127" s="229">
        <v>0.44929999999999998</v>
      </c>
      <c r="CR127" s="230">
        <v>404550</v>
      </c>
      <c r="CS127" s="230">
        <v>384525</v>
      </c>
      <c r="CT127" s="230">
        <v>20025</v>
      </c>
      <c r="CU127" s="229">
        <v>5.21E-2</v>
      </c>
      <c r="CV127" s="230">
        <v>4412700</v>
      </c>
      <c r="CW127" s="230">
        <v>4209075</v>
      </c>
      <c r="CX127" s="230">
        <v>203625</v>
      </c>
      <c r="CY127" s="229">
        <v>4.8399999999999999E-2</v>
      </c>
      <c r="CZ127" s="228">
        <v>35.54</v>
      </c>
      <c r="DA127" s="228">
        <v>35.75</v>
      </c>
      <c r="DB127" s="228">
        <v>-0.21</v>
      </c>
      <c r="DC127" s="228">
        <v>-0.21</v>
      </c>
      <c r="DD127" s="228">
        <v>33.44</v>
      </c>
      <c r="DE127" s="228">
        <v>33.520000000000003</v>
      </c>
      <c r="DF127" s="228">
        <v>2.1</v>
      </c>
      <c r="DG127" s="228">
        <v>-0.08</v>
      </c>
      <c r="DH127" s="228">
        <v>35.479999999999997</v>
      </c>
      <c r="DI127" s="228">
        <v>34.07</v>
      </c>
      <c r="DJ127" s="228">
        <v>1.41</v>
      </c>
      <c r="DK127" s="228">
        <v>1.41</v>
      </c>
      <c r="DL127" s="228">
        <v>35.79</v>
      </c>
      <c r="DM127" s="228">
        <v>39.159999999999997</v>
      </c>
      <c r="DN127" s="228">
        <v>-3.37</v>
      </c>
      <c r="DO127" s="228">
        <v>-3.37</v>
      </c>
      <c r="DP127" s="228">
        <v>0.82</v>
      </c>
      <c r="DQ127" s="228">
        <v>1.1299999999999999</v>
      </c>
      <c r="DR127" s="228">
        <v>-0.31</v>
      </c>
      <c r="DS127" s="229">
        <v>-0.27429999999999999</v>
      </c>
      <c r="DT127" s="231">
        <v>2300</v>
      </c>
      <c r="DU127" s="231">
        <v>2300</v>
      </c>
      <c r="DV127" s="228">
        <v>0.23</v>
      </c>
      <c r="DW127" s="228">
        <v>0.49</v>
      </c>
      <c r="DX127" s="228">
        <v>-0.26</v>
      </c>
      <c r="DY127" s="229">
        <v>-0.53059999999999996</v>
      </c>
      <c r="DZ127" s="229">
        <v>7.1999999999999998E-3</v>
      </c>
      <c r="EA127" s="230">
        <v>24300</v>
      </c>
      <c r="EB127" s="229">
        <v>5.9999999999999995E-4</v>
      </c>
      <c r="EC127" s="229">
        <v>7.1999999999999998E-3</v>
      </c>
      <c r="ED127" s="228">
        <v>4.24</v>
      </c>
      <c r="EE127" s="229">
        <v>1.9E-3</v>
      </c>
      <c r="EF127" s="230">
        <v>76831</v>
      </c>
      <c r="EG127" s="230">
        <v>188688</v>
      </c>
      <c r="EH127" s="229">
        <v>-0.59279999999999999</v>
      </c>
      <c r="EI127" s="229">
        <v>0.45879999999999999</v>
      </c>
      <c r="EJ127" s="231">
        <v>17180.41</v>
      </c>
      <c r="EK127" s="231">
        <v>3570.16</v>
      </c>
      <c r="EL127" s="231">
        <v>5352.72</v>
      </c>
      <c r="EM127" s="231">
        <v>3946</v>
      </c>
      <c r="EN127" s="231">
        <v>26103.29</v>
      </c>
      <c r="EO127" s="231">
        <v>10126.969999999999</v>
      </c>
      <c r="EP127" s="231">
        <v>15976.32</v>
      </c>
      <c r="EQ127" s="229">
        <v>1.5775999999999999</v>
      </c>
      <c r="ER127" s="231">
        <v>11585</v>
      </c>
      <c r="ES127" s="231">
        <v>8907</v>
      </c>
      <c r="ET127" s="231">
        <v>79735</v>
      </c>
      <c r="EU127" s="231">
        <v>16926669</v>
      </c>
      <c r="EV127" s="231">
        <v>100227</v>
      </c>
      <c r="EW127" s="231">
        <v>94775</v>
      </c>
      <c r="EX127" s="231">
        <v>5452</v>
      </c>
      <c r="EY127" s="229">
        <v>5.7500000000000002E-2</v>
      </c>
      <c r="EZ127" s="229">
        <v>0.26069999999999999</v>
      </c>
      <c r="FA127" s="227" t="s">
        <v>555</v>
      </c>
      <c r="FB127" s="161">
        <f t="shared" si="1"/>
        <v>25200</v>
      </c>
    </row>
    <row r="128" spans="1:158" ht="17.25" thickBot="1" x14ac:dyDescent="0.3">
      <c r="A128" s="226">
        <v>46146</v>
      </c>
      <c r="B128" s="227" t="s">
        <v>168</v>
      </c>
      <c r="C128" s="227" t="s">
        <v>254</v>
      </c>
      <c r="D128" s="228">
        <v>1200</v>
      </c>
      <c r="E128" s="228">
        <v>789</v>
      </c>
      <c r="F128" s="228">
        <v>777.75</v>
      </c>
      <c r="G128" s="228">
        <v>11.25</v>
      </c>
      <c r="H128" s="229">
        <v>1.4500000000000001E-2</v>
      </c>
      <c r="I128" s="228">
        <v>784.55</v>
      </c>
      <c r="J128" s="228">
        <v>775</v>
      </c>
      <c r="K128" s="228">
        <v>9.5500000000000007</v>
      </c>
      <c r="L128" s="229">
        <v>1.23E-2</v>
      </c>
      <c r="M128" s="228">
        <v>789</v>
      </c>
      <c r="N128" s="228">
        <v>777.75</v>
      </c>
      <c r="O128" s="228">
        <v>11.25</v>
      </c>
      <c r="P128" s="229">
        <v>1.4500000000000001E-2</v>
      </c>
      <c r="Q128" s="228">
        <v>793.2</v>
      </c>
      <c r="R128" s="228">
        <v>783.45</v>
      </c>
      <c r="S128" s="228">
        <v>9.75</v>
      </c>
      <c r="T128" s="229">
        <v>1.24E-2</v>
      </c>
      <c r="U128" s="228">
        <v>0</v>
      </c>
      <c r="V128" s="228">
        <v>0</v>
      </c>
      <c r="W128" s="228">
        <v>0</v>
      </c>
      <c r="X128" s="229">
        <v>0</v>
      </c>
      <c r="Y128" s="228">
        <v>4.45</v>
      </c>
      <c r="Z128" s="228">
        <v>2.75</v>
      </c>
      <c r="AA128" s="228">
        <v>1.7</v>
      </c>
      <c r="AB128" s="229">
        <v>5.7000000000000002E-3</v>
      </c>
      <c r="AC128" s="228">
        <v>4.45</v>
      </c>
      <c r="AD128" s="228">
        <v>2.75</v>
      </c>
      <c r="AE128" s="228">
        <v>1.7</v>
      </c>
      <c r="AF128" s="229">
        <v>5.7000000000000002E-3</v>
      </c>
      <c r="AG128" s="228">
        <v>8.65</v>
      </c>
      <c r="AH128" s="228">
        <v>8.4499999999999993</v>
      </c>
      <c r="AI128" s="228">
        <v>0.2</v>
      </c>
      <c r="AJ128" s="229">
        <v>1.0999999999999999E-2</v>
      </c>
      <c r="AK128" s="228">
        <v>0</v>
      </c>
      <c r="AL128" s="228">
        <v>0</v>
      </c>
      <c r="AM128" s="228">
        <v>0</v>
      </c>
      <c r="AN128" s="229">
        <v>0</v>
      </c>
      <c r="AO128" s="228">
        <v>787.63</v>
      </c>
      <c r="AP128" s="228">
        <v>791.01</v>
      </c>
      <c r="AQ128" s="228">
        <v>0</v>
      </c>
      <c r="AR128" s="230">
        <v>1794000</v>
      </c>
      <c r="AS128" s="230">
        <v>2302800</v>
      </c>
      <c r="AT128" s="230">
        <v>-508800</v>
      </c>
      <c r="AU128" s="229">
        <v>-0.22090000000000001</v>
      </c>
      <c r="AV128" s="230">
        <v>1754400</v>
      </c>
      <c r="AW128" s="230">
        <v>2264400</v>
      </c>
      <c r="AX128" s="230">
        <v>-510000</v>
      </c>
      <c r="AY128" s="229">
        <v>-0.22520000000000001</v>
      </c>
      <c r="AZ128" s="230">
        <v>39600</v>
      </c>
      <c r="BA128" s="230">
        <v>38400</v>
      </c>
      <c r="BB128" s="230">
        <v>1200</v>
      </c>
      <c r="BC128" s="229">
        <v>3.1300000000000001E-2</v>
      </c>
      <c r="BD128" s="228">
        <v>0</v>
      </c>
      <c r="BE128" s="228">
        <v>0</v>
      </c>
      <c r="BF128" s="228">
        <v>0</v>
      </c>
      <c r="BG128" s="229">
        <v>0</v>
      </c>
      <c r="BH128" s="230">
        <v>2966400</v>
      </c>
      <c r="BI128" s="230">
        <v>2511600</v>
      </c>
      <c r="BJ128" s="230">
        <v>454800</v>
      </c>
      <c r="BK128" s="229">
        <v>0.18110000000000001</v>
      </c>
      <c r="BL128" s="230">
        <v>2442000</v>
      </c>
      <c r="BM128" s="230">
        <v>1515600</v>
      </c>
      <c r="BN128" s="230">
        <v>926400</v>
      </c>
      <c r="BO128" s="229">
        <v>0.61119999999999997</v>
      </c>
      <c r="BP128" s="230">
        <v>7202400</v>
      </c>
      <c r="BQ128" s="230">
        <v>6330000</v>
      </c>
      <c r="BR128" s="230">
        <v>872400</v>
      </c>
      <c r="BS128" s="229">
        <v>0.13780000000000001</v>
      </c>
      <c r="BT128" s="230">
        <v>888134</v>
      </c>
      <c r="BU128" s="230">
        <v>1771781</v>
      </c>
      <c r="BV128" s="230">
        <v>-883647</v>
      </c>
      <c r="BW128" s="229">
        <v>-0.49869999999999998</v>
      </c>
      <c r="BX128" s="230">
        <v>22135200</v>
      </c>
      <c r="BY128" s="230">
        <v>21988800</v>
      </c>
      <c r="BZ128" s="230">
        <v>146400</v>
      </c>
      <c r="CA128" s="229">
        <v>6.7000000000000002E-3</v>
      </c>
      <c r="CB128" s="230">
        <v>20880000</v>
      </c>
      <c r="CC128" s="230">
        <v>20739600</v>
      </c>
      <c r="CD128" s="230">
        <v>140400</v>
      </c>
      <c r="CE128" s="229">
        <v>6.7999999999999996E-3</v>
      </c>
      <c r="CF128" s="230">
        <v>1255200</v>
      </c>
      <c r="CG128" s="230">
        <v>1249200</v>
      </c>
      <c r="CH128" s="230">
        <v>6000</v>
      </c>
      <c r="CI128" s="229">
        <v>4.7999999999999996E-3</v>
      </c>
      <c r="CJ128" s="228">
        <v>0</v>
      </c>
      <c r="CK128" s="228">
        <v>0</v>
      </c>
      <c r="CL128" s="228">
        <v>0</v>
      </c>
      <c r="CM128" s="229">
        <v>0</v>
      </c>
      <c r="CN128" s="230">
        <v>3210000</v>
      </c>
      <c r="CO128" s="230">
        <v>2568000</v>
      </c>
      <c r="CP128" s="230">
        <v>642000</v>
      </c>
      <c r="CQ128" s="229">
        <v>0.25</v>
      </c>
      <c r="CR128" s="230">
        <v>2578800</v>
      </c>
      <c r="CS128" s="230">
        <v>2017200</v>
      </c>
      <c r="CT128" s="230">
        <v>561600</v>
      </c>
      <c r="CU128" s="229">
        <v>0.27839999999999998</v>
      </c>
      <c r="CV128" s="230">
        <v>27924000</v>
      </c>
      <c r="CW128" s="230">
        <v>26574000</v>
      </c>
      <c r="CX128" s="230">
        <v>1350000</v>
      </c>
      <c r="CY128" s="229">
        <v>5.0799999999999998E-2</v>
      </c>
      <c r="CZ128" s="228">
        <v>30.2</v>
      </c>
      <c r="DA128" s="228">
        <v>28.12</v>
      </c>
      <c r="DB128" s="228">
        <v>2.08</v>
      </c>
      <c r="DC128" s="228">
        <v>2.08</v>
      </c>
      <c r="DD128" s="228">
        <v>24.39</v>
      </c>
      <c r="DE128" s="228">
        <v>24.39</v>
      </c>
      <c r="DF128" s="228">
        <v>5.81</v>
      </c>
      <c r="DG128" s="228">
        <v>0</v>
      </c>
      <c r="DH128" s="228">
        <v>29.33</v>
      </c>
      <c r="DI128" s="228">
        <v>28.18</v>
      </c>
      <c r="DJ128" s="228">
        <v>1.1499999999999999</v>
      </c>
      <c r="DK128" s="228">
        <v>1.1499999999999999</v>
      </c>
      <c r="DL128" s="228">
        <v>31.25</v>
      </c>
      <c r="DM128" s="228">
        <v>28.04</v>
      </c>
      <c r="DN128" s="228">
        <v>3.21</v>
      </c>
      <c r="DO128" s="228">
        <v>3.21</v>
      </c>
      <c r="DP128" s="228">
        <v>0.8</v>
      </c>
      <c r="DQ128" s="228">
        <v>0.79</v>
      </c>
      <c r="DR128" s="228">
        <v>0.01</v>
      </c>
      <c r="DS128" s="229">
        <v>1.2699999999999999E-2</v>
      </c>
      <c r="DT128" s="228">
        <v>800</v>
      </c>
      <c r="DU128" s="228">
        <v>760</v>
      </c>
      <c r="DV128" s="228">
        <v>0.82</v>
      </c>
      <c r="DW128" s="228">
        <v>0.6</v>
      </c>
      <c r="DX128" s="228">
        <v>0.22</v>
      </c>
      <c r="DY128" s="229">
        <v>0.36670000000000003</v>
      </c>
      <c r="DZ128" s="229">
        <v>5.67E-2</v>
      </c>
      <c r="EA128" s="230">
        <v>1249200</v>
      </c>
      <c r="EB128" s="229">
        <v>5.3E-3</v>
      </c>
      <c r="EC128" s="229">
        <v>5.67E-2</v>
      </c>
      <c r="ED128" s="228">
        <v>3.38</v>
      </c>
      <c r="EE128" s="229">
        <v>4.3E-3</v>
      </c>
      <c r="EF128" s="230">
        <v>484175</v>
      </c>
      <c r="EG128" s="230">
        <v>1095663</v>
      </c>
      <c r="EH128" s="229">
        <v>-0.55810000000000004</v>
      </c>
      <c r="EI128" s="229">
        <v>0.54520000000000002</v>
      </c>
      <c r="EJ128" s="231">
        <v>24722.799999999999</v>
      </c>
      <c r="EK128" s="231">
        <v>18034.75</v>
      </c>
      <c r="EL128" s="231">
        <v>14131.35</v>
      </c>
      <c r="EM128" s="231">
        <v>4510</v>
      </c>
      <c r="EN128" s="231">
        <v>56888.9</v>
      </c>
      <c r="EO128" s="231">
        <v>50397.57</v>
      </c>
      <c r="EP128" s="231">
        <v>6491.33</v>
      </c>
      <c r="EQ128" s="229">
        <v>0.1288</v>
      </c>
      <c r="ER128" s="231">
        <v>26383</v>
      </c>
      <c r="ES128" s="231">
        <v>19488</v>
      </c>
      <c r="ET128" s="231">
        <v>174699</v>
      </c>
      <c r="EU128" s="231">
        <v>77572761</v>
      </c>
      <c r="EV128" s="231">
        <v>220571</v>
      </c>
      <c r="EW128" s="231">
        <v>207460</v>
      </c>
      <c r="EX128" s="231">
        <v>13111</v>
      </c>
      <c r="EY128" s="229">
        <v>6.3200000000000006E-2</v>
      </c>
      <c r="EZ128" s="229">
        <v>0.36</v>
      </c>
      <c r="FA128" s="227" t="s">
        <v>555</v>
      </c>
      <c r="FB128" s="161">
        <f t="shared" si="1"/>
        <v>1255200</v>
      </c>
    </row>
    <row r="129" spans="1:158" ht="17.25" thickBot="1" x14ac:dyDescent="0.3">
      <c r="A129" s="226">
        <v>46146</v>
      </c>
      <c r="B129" s="227" t="s">
        <v>162</v>
      </c>
      <c r="C129" s="227" t="s">
        <v>255</v>
      </c>
      <c r="D129" s="228">
        <v>50</v>
      </c>
      <c r="E129" s="231">
        <v>13656</v>
      </c>
      <c r="F129" s="231">
        <v>13386</v>
      </c>
      <c r="G129" s="228">
        <v>270</v>
      </c>
      <c r="H129" s="229">
        <v>2.0199999999999999E-2</v>
      </c>
      <c r="I129" s="231">
        <v>13580</v>
      </c>
      <c r="J129" s="231">
        <v>13314</v>
      </c>
      <c r="K129" s="228">
        <v>266</v>
      </c>
      <c r="L129" s="229">
        <v>0.02</v>
      </c>
      <c r="M129" s="231">
        <v>13656</v>
      </c>
      <c r="N129" s="231">
        <v>13386</v>
      </c>
      <c r="O129" s="228">
        <v>270</v>
      </c>
      <c r="P129" s="229">
        <v>2.0199999999999999E-2</v>
      </c>
      <c r="Q129" s="231">
        <v>13742</v>
      </c>
      <c r="R129" s="231">
        <v>13464</v>
      </c>
      <c r="S129" s="228">
        <v>278</v>
      </c>
      <c r="T129" s="229">
        <v>2.06E-2</v>
      </c>
      <c r="U129" s="231">
        <v>13817</v>
      </c>
      <c r="V129" s="231">
        <v>13541</v>
      </c>
      <c r="W129" s="228">
        <v>276</v>
      </c>
      <c r="X129" s="229">
        <v>2.0400000000000001E-2</v>
      </c>
      <c r="Y129" s="228">
        <v>76</v>
      </c>
      <c r="Z129" s="228">
        <v>72</v>
      </c>
      <c r="AA129" s="228">
        <v>4</v>
      </c>
      <c r="AB129" s="229">
        <v>5.5999999999999999E-3</v>
      </c>
      <c r="AC129" s="228">
        <v>76</v>
      </c>
      <c r="AD129" s="228">
        <v>72</v>
      </c>
      <c r="AE129" s="228">
        <v>4</v>
      </c>
      <c r="AF129" s="229">
        <v>5.5999999999999999E-3</v>
      </c>
      <c r="AG129" s="228">
        <v>162</v>
      </c>
      <c r="AH129" s="228">
        <v>150</v>
      </c>
      <c r="AI129" s="228">
        <v>12</v>
      </c>
      <c r="AJ129" s="229">
        <v>1.1900000000000001E-2</v>
      </c>
      <c r="AK129" s="228">
        <v>237</v>
      </c>
      <c r="AL129" s="228">
        <v>227</v>
      </c>
      <c r="AM129" s="228">
        <v>10</v>
      </c>
      <c r="AN129" s="229">
        <v>1.7500000000000002E-2</v>
      </c>
      <c r="AO129" s="231">
        <v>13802.02</v>
      </c>
      <c r="AP129" s="231">
        <v>13820.16</v>
      </c>
      <c r="AQ129" s="228">
        <v>0</v>
      </c>
      <c r="AR129" s="230">
        <v>855150</v>
      </c>
      <c r="AS129" s="230">
        <v>489150</v>
      </c>
      <c r="AT129" s="230">
        <v>366000</v>
      </c>
      <c r="AU129" s="229">
        <v>0.74819999999999998</v>
      </c>
      <c r="AV129" s="230">
        <v>775300</v>
      </c>
      <c r="AW129" s="230">
        <v>455150</v>
      </c>
      <c r="AX129" s="230">
        <v>320150</v>
      </c>
      <c r="AY129" s="229">
        <v>0.70340000000000003</v>
      </c>
      <c r="AZ129" s="230">
        <v>76400</v>
      </c>
      <c r="BA129" s="230">
        <v>30450</v>
      </c>
      <c r="BB129" s="230">
        <v>45950</v>
      </c>
      <c r="BC129" s="229">
        <v>1.5089999999999999</v>
      </c>
      <c r="BD129" s="230">
        <v>3450</v>
      </c>
      <c r="BE129" s="230">
        <v>3550</v>
      </c>
      <c r="BF129" s="228">
        <v>-100</v>
      </c>
      <c r="BG129" s="229">
        <v>-2.8199999999999999E-2</v>
      </c>
      <c r="BH129" s="230">
        <v>6613800</v>
      </c>
      <c r="BI129" s="230">
        <v>3580050</v>
      </c>
      <c r="BJ129" s="230">
        <v>3033750</v>
      </c>
      <c r="BK129" s="229">
        <v>0.84740000000000004</v>
      </c>
      <c r="BL129" s="230">
        <v>3342450</v>
      </c>
      <c r="BM129" s="230">
        <v>1857000</v>
      </c>
      <c r="BN129" s="230">
        <v>1485450</v>
      </c>
      <c r="BO129" s="229">
        <v>0.79990000000000006</v>
      </c>
      <c r="BP129" s="230">
        <v>10811400</v>
      </c>
      <c r="BQ129" s="230">
        <v>5926200</v>
      </c>
      <c r="BR129" s="230">
        <v>4885200</v>
      </c>
      <c r="BS129" s="229">
        <v>0.82430000000000003</v>
      </c>
      <c r="BT129" s="230">
        <v>756891</v>
      </c>
      <c r="BU129" s="230">
        <v>718163</v>
      </c>
      <c r="BV129" s="230">
        <v>38728</v>
      </c>
      <c r="BW129" s="229">
        <v>5.3900000000000003E-2</v>
      </c>
      <c r="BX129" s="230">
        <v>3103150</v>
      </c>
      <c r="BY129" s="230">
        <v>3078200</v>
      </c>
      <c r="BZ129" s="230">
        <v>24950</v>
      </c>
      <c r="CA129" s="229">
        <v>8.0999999999999996E-3</v>
      </c>
      <c r="CB129" s="230">
        <v>2494200</v>
      </c>
      <c r="CC129" s="230">
        <v>2507400</v>
      </c>
      <c r="CD129" s="230">
        <v>-13200</v>
      </c>
      <c r="CE129" s="229">
        <v>-5.3E-3</v>
      </c>
      <c r="CF129" s="230">
        <v>604700</v>
      </c>
      <c r="CG129" s="230">
        <v>567950</v>
      </c>
      <c r="CH129" s="230">
        <v>36750</v>
      </c>
      <c r="CI129" s="229">
        <v>6.4699999999999994E-2</v>
      </c>
      <c r="CJ129" s="230">
        <v>4250</v>
      </c>
      <c r="CK129" s="230">
        <v>2850</v>
      </c>
      <c r="CL129" s="230">
        <v>1400</v>
      </c>
      <c r="CM129" s="229">
        <v>0.49120000000000003</v>
      </c>
      <c r="CN129" s="230">
        <v>1902100</v>
      </c>
      <c r="CO129" s="230">
        <v>1620100</v>
      </c>
      <c r="CP129" s="230">
        <v>282000</v>
      </c>
      <c r="CQ129" s="229">
        <v>0.1741</v>
      </c>
      <c r="CR129" s="230">
        <v>942300</v>
      </c>
      <c r="CS129" s="230">
        <v>765300</v>
      </c>
      <c r="CT129" s="230">
        <v>177000</v>
      </c>
      <c r="CU129" s="229">
        <v>0.23130000000000001</v>
      </c>
      <c r="CV129" s="230">
        <v>5947550</v>
      </c>
      <c r="CW129" s="230">
        <v>5463600</v>
      </c>
      <c r="CX129" s="230">
        <v>483950</v>
      </c>
      <c r="CY129" s="229">
        <v>8.8599999999999998E-2</v>
      </c>
      <c r="CZ129" s="228">
        <v>26.69</v>
      </c>
      <c r="DA129" s="228">
        <v>27.3</v>
      </c>
      <c r="DB129" s="228">
        <v>-0.61</v>
      </c>
      <c r="DC129" s="228">
        <v>-0.61</v>
      </c>
      <c r="DD129" s="228">
        <v>29</v>
      </c>
      <c r="DE129" s="228">
        <v>28.95</v>
      </c>
      <c r="DF129" s="228">
        <v>-2.31</v>
      </c>
      <c r="DG129" s="228">
        <v>0.05</v>
      </c>
      <c r="DH129" s="228">
        <v>26.13</v>
      </c>
      <c r="DI129" s="228">
        <v>26.61</v>
      </c>
      <c r="DJ129" s="228">
        <v>-0.48</v>
      </c>
      <c r="DK129" s="228">
        <v>-0.48</v>
      </c>
      <c r="DL129" s="228">
        <v>27.78</v>
      </c>
      <c r="DM129" s="228">
        <v>28.64</v>
      </c>
      <c r="DN129" s="228">
        <v>-0.86</v>
      </c>
      <c r="DO129" s="228">
        <v>-0.86</v>
      </c>
      <c r="DP129" s="228">
        <v>0.5</v>
      </c>
      <c r="DQ129" s="228">
        <v>0.47</v>
      </c>
      <c r="DR129" s="228">
        <v>0.03</v>
      </c>
      <c r="DS129" s="229">
        <v>6.3799999999999996E-2</v>
      </c>
      <c r="DT129" s="231">
        <v>14000</v>
      </c>
      <c r="DU129" s="231">
        <v>13000</v>
      </c>
      <c r="DV129" s="228">
        <v>0.51</v>
      </c>
      <c r="DW129" s="228">
        <v>0.52</v>
      </c>
      <c r="DX129" s="228">
        <v>-0.01</v>
      </c>
      <c r="DY129" s="229">
        <v>-1.9199999999999998E-2</v>
      </c>
      <c r="DZ129" s="229">
        <v>0.19620000000000001</v>
      </c>
      <c r="EA129" s="230">
        <v>570800</v>
      </c>
      <c r="EB129" s="229">
        <v>6.3E-3</v>
      </c>
      <c r="EC129" s="229">
        <v>0.19620000000000001</v>
      </c>
      <c r="ED129" s="228">
        <v>18.14</v>
      </c>
      <c r="EE129" s="229">
        <v>1.2999999999999999E-3</v>
      </c>
      <c r="EF129" s="230">
        <v>303492</v>
      </c>
      <c r="EG129" s="230">
        <v>361449</v>
      </c>
      <c r="EH129" s="229">
        <v>-0.1603</v>
      </c>
      <c r="EI129" s="229">
        <v>0.40100000000000002</v>
      </c>
      <c r="EJ129" s="231">
        <v>959323.65</v>
      </c>
      <c r="EK129" s="231">
        <v>443531.22</v>
      </c>
      <c r="EL129" s="231">
        <v>118046.62</v>
      </c>
      <c r="EM129" s="231">
        <v>26974</v>
      </c>
      <c r="EN129" s="231">
        <v>1520901.49</v>
      </c>
      <c r="EO129" s="231">
        <v>809100.23</v>
      </c>
      <c r="EP129" s="231">
        <v>711801.26</v>
      </c>
      <c r="EQ129" s="229">
        <v>0.87970000000000004</v>
      </c>
      <c r="ER129" s="231">
        <v>268948</v>
      </c>
      <c r="ES129" s="231">
        <v>121010</v>
      </c>
      <c r="ET129" s="231">
        <v>424293</v>
      </c>
      <c r="EU129" s="231">
        <v>19673414</v>
      </c>
      <c r="EV129" s="231">
        <v>814251</v>
      </c>
      <c r="EW129" s="231">
        <v>737215</v>
      </c>
      <c r="EX129" s="231">
        <v>77036</v>
      </c>
      <c r="EY129" s="229">
        <v>0.1045</v>
      </c>
      <c r="EZ129" s="229">
        <v>0.30230000000000001</v>
      </c>
      <c r="FA129" s="227" t="s">
        <v>555</v>
      </c>
      <c r="FB129" s="161">
        <f t="shared" si="1"/>
        <v>608950</v>
      </c>
    </row>
    <row r="130" spans="1:158" ht="17.25" thickBot="1" x14ac:dyDescent="0.3">
      <c r="A130" s="226">
        <v>46146</v>
      </c>
      <c r="B130" s="227" t="s">
        <v>170</v>
      </c>
      <c r="C130" s="227" t="s">
        <v>602</v>
      </c>
      <c r="D130" s="228">
        <v>525</v>
      </c>
      <c r="E130" s="231">
        <v>1017.65</v>
      </c>
      <c r="F130" s="228">
        <v>998.95</v>
      </c>
      <c r="G130" s="228">
        <v>18.7</v>
      </c>
      <c r="H130" s="229">
        <v>1.8700000000000001E-2</v>
      </c>
      <c r="I130" s="231">
        <v>1011.55</v>
      </c>
      <c r="J130" s="228">
        <v>993.05</v>
      </c>
      <c r="K130" s="228">
        <v>18.5</v>
      </c>
      <c r="L130" s="229">
        <v>1.8599999999999998E-2</v>
      </c>
      <c r="M130" s="231">
        <v>1017.65</v>
      </c>
      <c r="N130" s="228">
        <v>998.95</v>
      </c>
      <c r="O130" s="228">
        <v>18.7</v>
      </c>
      <c r="P130" s="229">
        <v>1.8700000000000001E-2</v>
      </c>
      <c r="Q130" s="231">
        <v>1024.2</v>
      </c>
      <c r="R130" s="231">
        <v>1005.4</v>
      </c>
      <c r="S130" s="228">
        <v>18.8</v>
      </c>
      <c r="T130" s="229">
        <v>1.8700000000000001E-2</v>
      </c>
      <c r="U130" s="231">
        <v>1030</v>
      </c>
      <c r="V130" s="231">
        <v>1008.5</v>
      </c>
      <c r="W130" s="228">
        <v>21.5</v>
      </c>
      <c r="X130" s="229">
        <v>2.1299999999999999E-2</v>
      </c>
      <c r="Y130" s="228">
        <v>6.1</v>
      </c>
      <c r="Z130" s="228">
        <v>5.9</v>
      </c>
      <c r="AA130" s="228">
        <v>0.2</v>
      </c>
      <c r="AB130" s="229">
        <v>6.0000000000000001E-3</v>
      </c>
      <c r="AC130" s="228">
        <v>6.1</v>
      </c>
      <c r="AD130" s="228">
        <v>5.9</v>
      </c>
      <c r="AE130" s="228">
        <v>0.2</v>
      </c>
      <c r="AF130" s="229">
        <v>6.0000000000000001E-3</v>
      </c>
      <c r="AG130" s="228">
        <v>12.65</v>
      </c>
      <c r="AH130" s="228">
        <v>12.35</v>
      </c>
      <c r="AI130" s="228">
        <v>0.3</v>
      </c>
      <c r="AJ130" s="229">
        <v>1.2500000000000001E-2</v>
      </c>
      <c r="AK130" s="228">
        <v>18.45</v>
      </c>
      <c r="AL130" s="228">
        <v>15.45</v>
      </c>
      <c r="AM130" s="228">
        <v>3</v>
      </c>
      <c r="AN130" s="229">
        <v>1.8200000000000001E-2</v>
      </c>
      <c r="AO130" s="231">
        <v>1015.01</v>
      </c>
      <c r="AP130" s="231">
        <v>1024.19</v>
      </c>
      <c r="AQ130" s="228">
        <v>0</v>
      </c>
      <c r="AR130" s="230">
        <v>2005500</v>
      </c>
      <c r="AS130" s="230">
        <v>1599675</v>
      </c>
      <c r="AT130" s="230">
        <v>405825</v>
      </c>
      <c r="AU130" s="229">
        <v>0.25369999999999998</v>
      </c>
      <c r="AV130" s="230">
        <v>1843800</v>
      </c>
      <c r="AW130" s="230">
        <v>1525650</v>
      </c>
      <c r="AX130" s="230">
        <v>318150</v>
      </c>
      <c r="AY130" s="229">
        <v>0.20849999999999999</v>
      </c>
      <c r="AZ130" s="230">
        <v>157500</v>
      </c>
      <c r="BA130" s="230">
        <v>62475</v>
      </c>
      <c r="BB130" s="230">
        <v>95025</v>
      </c>
      <c r="BC130" s="229">
        <v>1.5209999999999999</v>
      </c>
      <c r="BD130" s="230">
        <v>4200</v>
      </c>
      <c r="BE130" s="230">
        <v>11550</v>
      </c>
      <c r="BF130" s="230">
        <v>-7350</v>
      </c>
      <c r="BG130" s="229">
        <v>-0.63639999999999997</v>
      </c>
      <c r="BH130" s="230">
        <v>2933700</v>
      </c>
      <c r="BI130" s="230">
        <v>2245425</v>
      </c>
      <c r="BJ130" s="230">
        <v>688275</v>
      </c>
      <c r="BK130" s="229">
        <v>0.30649999999999999</v>
      </c>
      <c r="BL130" s="230">
        <v>1465275</v>
      </c>
      <c r="BM130" s="230">
        <v>1538775</v>
      </c>
      <c r="BN130" s="230">
        <v>-73500</v>
      </c>
      <c r="BO130" s="229">
        <v>-4.7800000000000002E-2</v>
      </c>
      <c r="BP130" s="230">
        <v>6404475</v>
      </c>
      <c r="BQ130" s="230">
        <v>5383875</v>
      </c>
      <c r="BR130" s="230">
        <v>1020600</v>
      </c>
      <c r="BS130" s="229">
        <v>0.18959999999999999</v>
      </c>
      <c r="BT130" s="230">
        <v>2694459</v>
      </c>
      <c r="BU130" s="230">
        <v>2437699</v>
      </c>
      <c r="BV130" s="230">
        <v>256760</v>
      </c>
      <c r="BW130" s="229">
        <v>0.1053</v>
      </c>
      <c r="BX130" s="230">
        <v>13225800</v>
      </c>
      <c r="BY130" s="230">
        <v>12958050</v>
      </c>
      <c r="BZ130" s="230">
        <v>267750</v>
      </c>
      <c r="CA130" s="229">
        <v>2.07E-2</v>
      </c>
      <c r="CB130" s="230">
        <v>12040350</v>
      </c>
      <c r="CC130" s="230">
        <v>11868675</v>
      </c>
      <c r="CD130" s="230">
        <v>171675</v>
      </c>
      <c r="CE130" s="229">
        <v>1.4500000000000001E-2</v>
      </c>
      <c r="CF130" s="230">
        <v>1172850</v>
      </c>
      <c r="CG130" s="230">
        <v>1079925</v>
      </c>
      <c r="CH130" s="230">
        <v>92925</v>
      </c>
      <c r="CI130" s="229">
        <v>8.5999999999999993E-2</v>
      </c>
      <c r="CJ130" s="230">
        <v>12600</v>
      </c>
      <c r="CK130" s="230">
        <v>9450</v>
      </c>
      <c r="CL130" s="230">
        <v>3150</v>
      </c>
      <c r="CM130" s="229">
        <v>0.33329999999999999</v>
      </c>
      <c r="CN130" s="230">
        <v>2087925</v>
      </c>
      <c r="CO130" s="230">
        <v>1875825</v>
      </c>
      <c r="CP130" s="230">
        <v>212100</v>
      </c>
      <c r="CQ130" s="229">
        <v>0.11310000000000001</v>
      </c>
      <c r="CR130" s="230">
        <v>1335075</v>
      </c>
      <c r="CS130" s="230">
        <v>1042125</v>
      </c>
      <c r="CT130" s="230">
        <v>292950</v>
      </c>
      <c r="CU130" s="229">
        <v>0.28110000000000002</v>
      </c>
      <c r="CV130" s="230">
        <v>16648800</v>
      </c>
      <c r="CW130" s="230">
        <v>15876000</v>
      </c>
      <c r="CX130" s="230">
        <v>772800</v>
      </c>
      <c r="CY130" s="229">
        <v>4.87E-2</v>
      </c>
      <c r="CZ130" s="228">
        <v>31.69</v>
      </c>
      <c r="DA130" s="228">
        <v>32.5</v>
      </c>
      <c r="DB130" s="228">
        <v>-0.81</v>
      </c>
      <c r="DC130" s="228">
        <v>-0.81</v>
      </c>
      <c r="DD130" s="228">
        <v>35.659999999999997</v>
      </c>
      <c r="DE130" s="228">
        <v>35.67</v>
      </c>
      <c r="DF130" s="228">
        <v>-3.97</v>
      </c>
      <c r="DG130" s="228">
        <v>-0.01</v>
      </c>
      <c r="DH130" s="228">
        <v>31.69</v>
      </c>
      <c r="DI130" s="228">
        <v>32.549999999999997</v>
      </c>
      <c r="DJ130" s="228">
        <v>-0.86</v>
      </c>
      <c r="DK130" s="228">
        <v>-0.86</v>
      </c>
      <c r="DL130" s="228">
        <v>31.7</v>
      </c>
      <c r="DM130" s="228">
        <v>32.43</v>
      </c>
      <c r="DN130" s="228">
        <v>-0.73</v>
      </c>
      <c r="DO130" s="228">
        <v>-0.73</v>
      </c>
      <c r="DP130" s="228">
        <v>0.64</v>
      </c>
      <c r="DQ130" s="228">
        <v>0.56000000000000005</v>
      </c>
      <c r="DR130" s="228">
        <v>0.08</v>
      </c>
      <c r="DS130" s="229">
        <v>0.1429</v>
      </c>
      <c r="DT130" s="231">
        <v>1100</v>
      </c>
      <c r="DU130" s="231">
        <v>1000</v>
      </c>
      <c r="DV130" s="228">
        <v>0.5</v>
      </c>
      <c r="DW130" s="228">
        <v>0.69</v>
      </c>
      <c r="DX130" s="228">
        <v>-0.19</v>
      </c>
      <c r="DY130" s="229">
        <v>-0.27539999999999998</v>
      </c>
      <c r="DZ130" s="229">
        <v>8.9599999999999999E-2</v>
      </c>
      <c r="EA130" s="230">
        <v>1089375</v>
      </c>
      <c r="EB130" s="229">
        <v>6.4000000000000003E-3</v>
      </c>
      <c r="EC130" s="229">
        <v>8.9599999999999999E-2</v>
      </c>
      <c r="ED130" s="228">
        <v>9.18</v>
      </c>
      <c r="EE130" s="229">
        <v>8.9999999999999993E-3</v>
      </c>
      <c r="EF130" s="230">
        <v>1528727</v>
      </c>
      <c r="EG130" s="230">
        <v>1142688</v>
      </c>
      <c r="EH130" s="229">
        <v>0.33779999999999999</v>
      </c>
      <c r="EI130" s="229">
        <v>0.56740000000000002</v>
      </c>
      <c r="EJ130" s="231">
        <v>31287.98</v>
      </c>
      <c r="EK130" s="231">
        <v>14860.06</v>
      </c>
      <c r="EL130" s="231">
        <v>20371.05</v>
      </c>
      <c r="EM130" s="231">
        <v>6364</v>
      </c>
      <c r="EN130" s="231">
        <v>66519.09</v>
      </c>
      <c r="EO130" s="231">
        <v>54975.23</v>
      </c>
      <c r="EP130" s="231">
        <v>11543.86</v>
      </c>
      <c r="EQ130" s="229">
        <v>0.21</v>
      </c>
      <c r="ER130" s="231">
        <v>22044</v>
      </c>
      <c r="ES130" s="231">
        <v>13328</v>
      </c>
      <c r="ET130" s="231">
        <v>134671</v>
      </c>
      <c r="EU130" s="231">
        <v>111298748</v>
      </c>
      <c r="EV130" s="231">
        <v>170043</v>
      </c>
      <c r="EW130" s="231">
        <v>159637</v>
      </c>
      <c r="EX130" s="231">
        <v>10406</v>
      </c>
      <c r="EY130" s="229">
        <v>6.5199999999999994E-2</v>
      </c>
      <c r="EZ130" s="229">
        <v>0.14960000000000001</v>
      </c>
      <c r="FA130" s="227" t="s">
        <v>555</v>
      </c>
      <c r="FB130" s="161">
        <f t="shared" si="1"/>
        <v>1185450</v>
      </c>
    </row>
    <row r="131" spans="1:158" ht="17.25" thickBot="1" x14ac:dyDescent="0.3">
      <c r="A131" s="226">
        <v>46146</v>
      </c>
      <c r="B131" s="227" t="s">
        <v>215</v>
      </c>
      <c r="C131" s="227" t="s">
        <v>670</v>
      </c>
      <c r="D131" s="228">
        <v>200</v>
      </c>
      <c r="E131" s="231">
        <v>2625.2</v>
      </c>
      <c r="F131" s="231">
        <v>2742.2</v>
      </c>
      <c r="G131" s="228">
        <v>-117</v>
      </c>
      <c r="H131" s="229">
        <v>-4.2700000000000002E-2</v>
      </c>
      <c r="I131" s="231">
        <v>2611.6</v>
      </c>
      <c r="J131" s="231">
        <v>2733.2</v>
      </c>
      <c r="K131" s="228">
        <v>-121.6</v>
      </c>
      <c r="L131" s="229">
        <v>-4.4499999999999998E-2</v>
      </c>
      <c r="M131" s="231">
        <v>2625.2</v>
      </c>
      <c r="N131" s="231">
        <v>2742.2</v>
      </c>
      <c r="O131" s="228">
        <v>-117</v>
      </c>
      <c r="P131" s="229">
        <v>-4.2700000000000002E-2</v>
      </c>
      <c r="Q131" s="231">
        <v>2636.8</v>
      </c>
      <c r="R131" s="231">
        <v>2753.9</v>
      </c>
      <c r="S131" s="228">
        <v>-117.1</v>
      </c>
      <c r="T131" s="229">
        <v>-4.2500000000000003E-2</v>
      </c>
      <c r="U131" s="231">
        <v>2649.1</v>
      </c>
      <c r="V131" s="231">
        <v>2775.9</v>
      </c>
      <c r="W131" s="228">
        <v>-126.8</v>
      </c>
      <c r="X131" s="229">
        <v>-4.5699999999999998E-2</v>
      </c>
      <c r="Y131" s="228">
        <v>13.6</v>
      </c>
      <c r="Z131" s="228">
        <v>9</v>
      </c>
      <c r="AA131" s="228">
        <v>4.5999999999999996</v>
      </c>
      <c r="AB131" s="229">
        <v>5.1999999999999998E-3</v>
      </c>
      <c r="AC131" s="228">
        <v>13.6</v>
      </c>
      <c r="AD131" s="228">
        <v>9</v>
      </c>
      <c r="AE131" s="228">
        <v>4.5999999999999996</v>
      </c>
      <c r="AF131" s="229">
        <v>5.1999999999999998E-3</v>
      </c>
      <c r="AG131" s="228">
        <v>25.2</v>
      </c>
      <c r="AH131" s="228">
        <v>20.7</v>
      </c>
      <c r="AI131" s="228">
        <v>4.5</v>
      </c>
      <c r="AJ131" s="229">
        <v>9.5999999999999992E-3</v>
      </c>
      <c r="AK131" s="228">
        <v>37.5</v>
      </c>
      <c r="AL131" s="228">
        <v>42.7</v>
      </c>
      <c r="AM131" s="228">
        <v>-5.2</v>
      </c>
      <c r="AN131" s="229">
        <v>1.44E-2</v>
      </c>
      <c r="AO131" s="231">
        <v>2633.99</v>
      </c>
      <c r="AP131" s="231">
        <v>2646.53</v>
      </c>
      <c r="AQ131" s="228">
        <v>0</v>
      </c>
      <c r="AR131" s="230">
        <v>3009600</v>
      </c>
      <c r="AS131" s="230">
        <v>1102800</v>
      </c>
      <c r="AT131" s="230">
        <v>1906800</v>
      </c>
      <c r="AU131" s="229">
        <v>1.7291000000000001</v>
      </c>
      <c r="AV131" s="230">
        <v>2831600</v>
      </c>
      <c r="AW131" s="230">
        <v>1046000</v>
      </c>
      <c r="AX131" s="230">
        <v>1785600</v>
      </c>
      <c r="AY131" s="229">
        <v>1.7071000000000001</v>
      </c>
      <c r="AZ131" s="230">
        <v>146200</v>
      </c>
      <c r="BA131" s="230">
        <v>47000</v>
      </c>
      <c r="BB131" s="230">
        <v>99200</v>
      </c>
      <c r="BC131" s="229">
        <v>2.1105999999999998</v>
      </c>
      <c r="BD131" s="230">
        <v>31800</v>
      </c>
      <c r="BE131" s="230">
        <v>9800</v>
      </c>
      <c r="BF131" s="230">
        <v>22000</v>
      </c>
      <c r="BG131" s="229">
        <v>2.2448999999999999</v>
      </c>
      <c r="BH131" s="230">
        <v>10216200</v>
      </c>
      <c r="BI131" s="230">
        <v>4049600</v>
      </c>
      <c r="BJ131" s="230">
        <v>6166600</v>
      </c>
      <c r="BK131" s="229">
        <v>1.5227999999999999</v>
      </c>
      <c r="BL131" s="230">
        <v>3966200</v>
      </c>
      <c r="BM131" s="230">
        <v>1460800</v>
      </c>
      <c r="BN131" s="230">
        <v>2505400</v>
      </c>
      <c r="BO131" s="229">
        <v>1.7151000000000001</v>
      </c>
      <c r="BP131" s="230">
        <v>17192000</v>
      </c>
      <c r="BQ131" s="230">
        <v>6613200</v>
      </c>
      <c r="BR131" s="230">
        <v>10578800</v>
      </c>
      <c r="BS131" s="229">
        <v>1.5995999999999999</v>
      </c>
      <c r="BT131" s="230">
        <v>4924433</v>
      </c>
      <c r="BU131" s="230">
        <v>2135637</v>
      </c>
      <c r="BV131" s="230">
        <v>2788796</v>
      </c>
      <c r="BW131" s="229">
        <v>1.3058000000000001</v>
      </c>
      <c r="BX131" s="230">
        <v>4866550</v>
      </c>
      <c r="BY131" s="230">
        <v>4212825</v>
      </c>
      <c r="BZ131" s="230">
        <v>653725</v>
      </c>
      <c r="CA131" s="229">
        <v>0.1552</v>
      </c>
      <c r="CB131" s="230">
        <v>4630200</v>
      </c>
      <c r="CC131" s="230">
        <v>4075800</v>
      </c>
      <c r="CD131" s="230">
        <v>554400</v>
      </c>
      <c r="CE131" s="229">
        <v>0.13600000000000001</v>
      </c>
      <c r="CF131" s="230">
        <v>177400</v>
      </c>
      <c r="CG131" s="230">
        <v>108000</v>
      </c>
      <c r="CH131" s="230">
        <v>69400</v>
      </c>
      <c r="CI131" s="229">
        <v>0.64259999999999995</v>
      </c>
      <c r="CJ131" s="230">
        <v>58950</v>
      </c>
      <c r="CK131" s="230">
        <v>29025</v>
      </c>
      <c r="CL131" s="230">
        <v>29925</v>
      </c>
      <c r="CM131" s="229">
        <v>1.0309999999999999</v>
      </c>
      <c r="CN131" s="230">
        <v>4546000</v>
      </c>
      <c r="CO131" s="230">
        <v>2737000</v>
      </c>
      <c r="CP131" s="230">
        <v>1809000</v>
      </c>
      <c r="CQ131" s="229">
        <v>0.66090000000000004</v>
      </c>
      <c r="CR131" s="230">
        <v>1759400</v>
      </c>
      <c r="CS131" s="230">
        <v>1353600</v>
      </c>
      <c r="CT131" s="230">
        <v>405800</v>
      </c>
      <c r="CU131" s="229">
        <v>0.29980000000000001</v>
      </c>
      <c r="CV131" s="230">
        <v>11171950</v>
      </c>
      <c r="CW131" s="230">
        <v>8303425</v>
      </c>
      <c r="CX131" s="230">
        <v>2868525</v>
      </c>
      <c r="CY131" s="229">
        <v>0.34549999999999997</v>
      </c>
      <c r="CZ131" s="228">
        <v>42.55</v>
      </c>
      <c r="DA131" s="228">
        <v>43.95</v>
      </c>
      <c r="DB131" s="228">
        <v>-1.4</v>
      </c>
      <c r="DC131" s="228">
        <v>-1.4</v>
      </c>
      <c r="DD131" s="228">
        <v>55.35</v>
      </c>
      <c r="DE131" s="228">
        <v>55.18</v>
      </c>
      <c r="DF131" s="228">
        <v>-12.8</v>
      </c>
      <c r="DG131" s="228">
        <v>0.17</v>
      </c>
      <c r="DH131" s="228">
        <v>42.73</v>
      </c>
      <c r="DI131" s="228">
        <v>43.83</v>
      </c>
      <c r="DJ131" s="228">
        <v>-1.1000000000000001</v>
      </c>
      <c r="DK131" s="228">
        <v>-1.1000000000000001</v>
      </c>
      <c r="DL131" s="228">
        <v>42.08</v>
      </c>
      <c r="DM131" s="228">
        <v>44.3</v>
      </c>
      <c r="DN131" s="228">
        <v>-2.2200000000000002</v>
      </c>
      <c r="DO131" s="228">
        <v>-2.2200000000000002</v>
      </c>
      <c r="DP131" s="228">
        <v>0.39</v>
      </c>
      <c r="DQ131" s="228">
        <v>0.49</v>
      </c>
      <c r="DR131" s="228">
        <v>-0.1</v>
      </c>
      <c r="DS131" s="229">
        <v>-0.2041</v>
      </c>
      <c r="DT131" s="231">
        <v>2800</v>
      </c>
      <c r="DU131" s="231">
        <v>2600</v>
      </c>
      <c r="DV131" s="228">
        <v>0.39</v>
      </c>
      <c r="DW131" s="228">
        <v>0.36</v>
      </c>
      <c r="DX131" s="228">
        <v>0.03</v>
      </c>
      <c r="DY131" s="229">
        <v>8.3299999999999999E-2</v>
      </c>
      <c r="DZ131" s="229">
        <v>4.8599999999999997E-2</v>
      </c>
      <c r="EA131" s="230">
        <v>137025</v>
      </c>
      <c r="EB131" s="229">
        <v>4.4000000000000003E-3</v>
      </c>
      <c r="EC131" s="229">
        <v>4.8599999999999997E-2</v>
      </c>
      <c r="ED131" s="228">
        <v>12.54</v>
      </c>
      <c r="EE131" s="229">
        <v>4.7999999999999996E-3</v>
      </c>
      <c r="EF131" s="230">
        <v>1426939</v>
      </c>
      <c r="EG131" s="230">
        <v>595986</v>
      </c>
      <c r="EH131" s="229">
        <v>1.3942000000000001</v>
      </c>
      <c r="EI131" s="229">
        <v>0.2898</v>
      </c>
      <c r="EJ131" s="231">
        <v>290338.14</v>
      </c>
      <c r="EK131" s="231">
        <v>105199.22</v>
      </c>
      <c r="EL131" s="231">
        <v>79404.78</v>
      </c>
      <c r="EM131" s="231">
        <v>11871</v>
      </c>
      <c r="EN131" s="231">
        <v>474942.14</v>
      </c>
      <c r="EO131" s="231">
        <v>188262.8</v>
      </c>
      <c r="EP131" s="231">
        <v>286679.34000000003</v>
      </c>
      <c r="EQ131" s="229">
        <v>1.5227999999999999</v>
      </c>
      <c r="ER131" s="231">
        <v>127062</v>
      </c>
      <c r="ES131" s="231">
        <v>45623</v>
      </c>
      <c r="ET131" s="231">
        <v>127791</v>
      </c>
      <c r="EU131" s="231">
        <v>11364224</v>
      </c>
      <c r="EV131" s="231">
        <v>300476</v>
      </c>
      <c r="EW131" s="231">
        <v>228105</v>
      </c>
      <c r="EX131" s="231">
        <v>72371</v>
      </c>
      <c r="EY131" s="229">
        <v>0.31730000000000003</v>
      </c>
      <c r="EZ131" s="229">
        <v>0.98309999999999997</v>
      </c>
      <c r="FA131" s="227" t="s">
        <v>566</v>
      </c>
      <c r="FB131" s="161">
        <f t="shared" ref="FB131:FB138" si="2">BX131-CB131</f>
        <v>236350</v>
      </c>
    </row>
    <row r="132" spans="1:158" ht="17.25" thickBot="1" x14ac:dyDescent="0.3">
      <c r="A132" s="226">
        <v>46146</v>
      </c>
      <c r="B132" s="227" t="s">
        <v>175</v>
      </c>
      <c r="C132" s="227" t="s">
        <v>517</v>
      </c>
      <c r="D132" s="228">
        <v>625</v>
      </c>
      <c r="E132" s="231">
        <v>2929.5</v>
      </c>
      <c r="F132" s="231">
        <v>2981</v>
      </c>
      <c r="G132" s="228">
        <v>-51.5</v>
      </c>
      <c r="H132" s="229">
        <v>-1.7299999999999999E-2</v>
      </c>
      <c r="I132" s="231">
        <v>2912.9</v>
      </c>
      <c r="J132" s="231">
        <v>2971.5</v>
      </c>
      <c r="K132" s="228">
        <v>-58.6</v>
      </c>
      <c r="L132" s="229">
        <v>-1.9699999999999999E-2</v>
      </c>
      <c r="M132" s="231">
        <v>2929.5</v>
      </c>
      <c r="N132" s="231">
        <v>2981</v>
      </c>
      <c r="O132" s="228">
        <v>-51.5</v>
      </c>
      <c r="P132" s="229">
        <v>-1.7299999999999999E-2</v>
      </c>
      <c r="Q132" s="231">
        <v>2947.1</v>
      </c>
      <c r="R132" s="231">
        <v>2994</v>
      </c>
      <c r="S132" s="228">
        <v>-46.9</v>
      </c>
      <c r="T132" s="229">
        <v>-1.5699999999999999E-2</v>
      </c>
      <c r="U132" s="231">
        <v>2968.5</v>
      </c>
      <c r="V132" s="231">
        <v>3007.7</v>
      </c>
      <c r="W132" s="228">
        <v>-39.200000000000003</v>
      </c>
      <c r="X132" s="229">
        <v>-1.2999999999999999E-2</v>
      </c>
      <c r="Y132" s="228">
        <v>16.600000000000001</v>
      </c>
      <c r="Z132" s="228">
        <v>9.5</v>
      </c>
      <c r="AA132" s="228">
        <v>7.1</v>
      </c>
      <c r="AB132" s="229">
        <v>5.7000000000000002E-3</v>
      </c>
      <c r="AC132" s="228">
        <v>16.600000000000001</v>
      </c>
      <c r="AD132" s="228">
        <v>9.5</v>
      </c>
      <c r="AE132" s="228">
        <v>7.1</v>
      </c>
      <c r="AF132" s="229">
        <v>5.7000000000000002E-3</v>
      </c>
      <c r="AG132" s="228">
        <v>34.200000000000003</v>
      </c>
      <c r="AH132" s="228">
        <v>22.5</v>
      </c>
      <c r="AI132" s="228">
        <v>11.7</v>
      </c>
      <c r="AJ132" s="229">
        <v>1.17E-2</v>
      </c>
      <c r="AK132" s="228">
        <v>55.6</v>
      </c>
      <c r="AL132" s="228">
        <v>36.200000000000003</v>
      </c>
      <c r="AM132" s="228">
        <v>19.399999999999999</v>
      </c>
      <c r="AN132" s="229">
        <v>1.9099999999999999E-2</v>
      </c>
      <c r="AO132" s="231">
        <v>2953.87</v>
      </c>
      <c r="AP132" s="231">
        <v>2987.94</v>
      </c>
      <c r="AQ132" s="228">
        <v>0</v>
      </c>
      <c r="AR132" s="230">
        <v>4373750</v>
      </c>
      <c r="AS132" s="230">
        <v>2950000</v>
      </c>
      <c r="AT132" s="230">
        <v>1423750</v>
      </c>
      <c r="AU132" s="229">
        <v>0.48259999999999997</v>
      </c>
      <c r="AV132" s="230">
        <v>3949375</v>
      </c>
      <c r="AW132" s="230">
        <v>2713125</v>
      </c>
      <c r="AX132" s="230">
        <v>1236250</v>
      </c>
      <c r="AY132" s="229">
        <v>0.45569999999999999</v>
      </c>
      <c r="AZ132" s="230">
        <v>316875</v>
      </c>
      <c r="BA132" s="230">
        <v>184375</v>
      </c>
      <c r="BB132" s="230">
        <v>132500</v>
      </c>
      <c r="BC132" s="229">
        <v>0.71860000000000002</v>
      </c>
      <c r="BD132" s="230">
        <v>107500</v>
      </c>
      <c r="BE132" s="230">
        <v>52500</v>
      </c>
      <c r="BF132" s="230">
        <v>55000</v>
      </c>
      <c r="BG132" s="229">
        <v>1.0476000000000001</v>
      </c>
      <c r="BH132" s="230">
        <v>10571250</v>
      </c>
      <c r="BI132" s="230">
        <v>8301875</v>
      </c>
      <c r="BJ132" s="230">
        <v>2269375</v>
      </c>
      <c r="BK132" s="229">
        <v>0.27339999999999998</v>
      </c>
      <c r="BL132" s="230">
        <v>7657500</v>
      </c>
      <c r="BM132" s="230">
        <v>5757500</v>
      </c>
      <c r="BN132" s="230">
        <v>1900000</v>
      </c>
      <c r="BO132" s="229">
        <v>0.33</v>
      </c>
      <c r="BP132" s="230">
        <v>22602500</v>
      </c>
      <c r="BQ132" s="230">
        <v>17009375</v>
      </c>
      <c r="BR132" s="230">
        <v>5593125</v>
      </c>
      <c r="BS132" s="229">
        <v>0.32879999999999998</v>
      </c>
      <c r="BT132" s="230">
        <v>2519703</v>
      </c>
      <c r="BU132" s="230">
        <v>2565729</v>
      </c>
      <c r="BV132" s="230">
        <v>-46026</v>
      </c>
      <c r="BW132" s="229">
        <v>-1.7899999999999999E-2</v>
      </c>
      <c r="BX132" s="230">
        <v>12953750</v>
      </c>
      <c r="BY132" s="230">
        <v>12571900</v>
      </c>
      <c r="BZ132" s="230">
        <v>381850</v>
      </c>
      <c r="CA132" s="229">
        <v>3.04E-2</v>
      </c>
      <c r="CB132" s="230">
        <v>12500000</v>
      </c>
      <c r="CC132" s="230">
        <v>12180000</v>
      </c>
      <c r="CD132" s="230">
        <v>320000</v>
      </c>
      <c r="CE132" s="229">
        <v>2.63E-2</v>
      </c>
      <c r="CF132" s="230">
        <v>414375</v>
      </c>
      <c r="CG132" s="230">
        <v>377500</v>
      </c>
      <c r="CH132" s="230">
        <v>36875</v>
      </c>
      <c r="CI132" s="229">
        <v>9.7699999999999995E-2</v>
      </c>
      <c r="CJ132" s="230">
        <v>39375</v>
      </c>
      <c r="CK132" s="230">
        <v>14400</v>
      </c>
      <c r="CL132" s="230">
        <v>24975</v>
      </c>
      <c r="CM132" s="229">
        <v>1.7343999999999999</v>
      </c>
      <c r="CN132" s="230">
        <v>4511250</v>
      </c>
      <c r="CO132" s="230">
        <v>4010625</v>
      </c>
      <c r="CP132" s="230">
        <v>500625</v>
      </c>
      <c r="CQ132" s="229">
        <v>0.12479999999999999</v>
      </c>
      <c r="CR132" s="230">
        <v>3265625</v>
      </c>
      <c r="CS132" s="230">
        <v>3040625</v>
      </c>
      <c r="CT132" s="230">
        <v>225000</v>
      </c>
      <c r="CU132" s="229">
        <v>7.3999999999999996E-2</v>
      </c>
      <c r="CV132" s="230">
        <v>20730625</v>
      </c>
      <c r="CW132" s="230">
        <v>19623150</v>
      </c>
      <c r="CX132" s="230">
        <v>1107475</v>
      </c>
      <c r="CY132" s="229">
        <v>5.6399999999999999E-2</v>
      </c>
      <c r="CZ132" s="228">
        <v>45.21</v>
      </c>
      <c r="DA132" s="228">
        <v>42.54</v>
      </c>
      <c r="DB132" s="228">
        <v>2.67</v>
      </c>
      <c r="DC132" s="228">
        <v>2.67</v>
      </c>
      <c r="DD132" s="228">
        <v>49.18</v>
      </c>
      <c r="DE132" s="228">
        <v>49.25</v>
      </c>
      <c r="DF132" s="228">
        <v>-3.97</v>
      </c>
      <c r="DG132" s="228">
        <v>-7.0000000000000007E-2</v>
      </c>
      <c r="DH132" s="228">
        <v>44.56</v>
      </c>
      <c r="DI132" s="228">
        <v>41.55</v>
      </c>
      <c r="DJ132" s="228">
        <v>3.01</v>
      </c>
      <c r="DK132" s="228">
        <v>3.01</v>
      </c>
      <c r="DL132" s="228">
        <v>46.1</v>
      </c>
      <c r="DM132" s="228">
        <v>43.96</v>
      </c>
      <c r="DN132" s="228">
        <v>2.14</v>
      </c>
      <c r="DO132" s="228">
        <v>2.14</v>
      </c>
      <c r="DP132" s="228">
        <v>0.72</v>
      </c>
      <c r="DQ132" s="228">
        <v>0.76</v>
      </c>
      <c r="DR132" s="228">
        <v>-0.04</v>
      </c>
      <c r="DS132" s="229">
        <v>-5.2600000000000001E-2</v>
      </c>
      <c r="DT132" s="231">
        <v>3000</v>
      </c>
      <c r="DU132" s="231">
        <v>2700</v>
      </c>
      <c r="DV132" s="228">
        <v>0.72</v>
      </c>
      <c r="DW132" s="228">
        <v>0.69</v>
      </c>
      <c r="DX132" s="228">
        <v>0.03</v>
      </c>
      <c r="DY132" s="229">
        <v>4.3499999999999997E-2</v>
      </c>
      <c r="DZ132" s="229">
        <v>3.5000000000000003E-2</v>
      </c>
      <c r="EA132" s="230">
        <v>391900</v>
      </c>
      <c r="EB132" s="229">
        <v>6.0000000000000001E-3</v>
      </c>
      <c r="EC132" s="229">
        <v>3.5000000000000003E-2</v>
      </c>
      <c r="ED132" s="228">
        <v>34.07</v>
      </c>
      <c r="EE132" s="229">
        <v>1.15E-2</v>
      </c>
      <c r="EF132" s="230">
        <v>873061</v>
      </c>
      <c r="EG132" s="230">
        <v>1160546</v>
      </c>
      <c r="EH132" s="229">
        <v>-0.2477</v>
      </c>
      <c r="EI132" s="229">
        <v>0.34649999999999997</v>
      </c>
      <c r="EJ132" s="231">
        <v>337536.8</v>
      </c>
      <c r="EK132" s="231">
        <v>220058.82</v>
      </c>
      <c r="EL132" s="231">
        <v>127289.27</v>
      </c>
      <c r="EM132" s="231">
        <v>8011</v>
      </c>
      <c r="EN132" s="231">
        <v>684884.89</v>
      </c>
      <c r="EO132" s="231">
        <v>516419.79</v>
      </c>
      <c r="EP132" s="231">
        <v>168465.1</v>
      </c>
      <c r="EQ132" s="229">
        <v>0.32619999999999999</v>
      </c>
      <c r="ER132" s="231">
        <v>137227</v>
      </c>
      <c r="ES132" s="231">
        <v>88566</v>
      </c>
      <c r="ET132" s="231">
        <v>379568</v>
      </c>
      <c r="EU132" s="231">
        <v>38177113</v>
      </c>
      <c r="EV132" s="231">
        <v>605362</v>
      </c>
      <c r="EW132" s="231">
        <v>578651</v>
      </c>
      <c r="EX132" s="231">
        <v>26711</v>
      </c>
      <c r="EY132" s="229">
        <v>4.6199999999999998E-2</v>
      </c>
      <c r="EZ132" s="229">
        <v>0.54300000000000004</v>
      </c>
      <c r="FA132" s="227" t="s">
        <v>566</v>
      </c>
      <c r="FB132" s="161">
        <f t="shared" si="2"/>
        <v>453750</v>
      </c>
    </row>
    <row r="133" spans="1:158" ht="17.25" thickBot="1" x14ac:dyDescent="0.3">
      <c r="A133" s="226">
        <v>46146</v>
      </c>
      <c r="B133" s="227" t="s">
        <v>175</v>
      </c>
      <c r="C133" s="227" t="s">
        <v>257</v>
      </c>
      <c r="D133" s="228">
        <v>400</v>
      </c>
      <c r="E133" s="231">
        <v>1615.1</v>
      </c>
      <c r="F133" s="231">
        <v>1595.1</v>
      </c>
      <c r="G133" s="228">
        <v>20</v>
      </c>
      <c r="H133" s="229">
        <v>1.2500000000000001E-2</v>
      </c>
      <c r="I133" s="231">
        <v>1606.7</v>
      </c>
      <c r="J133" s="231">
        <v>1585.7</v>
      </c>
      <c r="K133" s="228">
        <v>21</v>
      </c>
      <c r="L133" s="229">
        <v>1.32E-2</v>
      </c>
      <c r="M133" s="231">
        <v>1615.1</v>
      </c>
      <c r="N133" s="231">
        <v>1595.1</v>
      </c>
      <c r="O133" s="228">
        <v>20</v>
      </c>
      <c r="P133" s="229">
        <v>1.2500000000000001E-2</v>
      </c>
      <c r="Q133" s="231">
        <v>1622.6</v>
      </c>
      <c r="R133" s="231">
        <v>1604.7</v>
      </c>
      <c r="S133" s="228">
        <v>17.899999999999999</v>
      </c>
      <c r="T133" s="229">
        <v>1.12E-2</v>
      </c>
      <c r="U133" s="231">
        <v>1600</v>
      </c>
      <c r="V133" s="231">
        <v>1600</v>
      </c>
      <c r="W133" s="228">
        <v>0</v>
      </c>
      <c r="X133" s="229">
        <v>0</v>
      </c>
      <c r="Y133" s="228">
        <v>8.4</v>
      </c>
      <c r="Z133" s="228">
        <v>9.4</v>
      </c>
      <c r="AA133" s="228">
        <v>-1</v>
      </c>
      <c r="AB133" s="229">
        <v>5.1999999999999998E-3</v>
      </c>
      <c r="AC133" s="228">
        <v>8.4</v>
      </c>
      <c r="AD133" s="228">
        <v>9.4</v>
      </c>
      <c r="AE133" s="228">
        <v>-1</v>
      </c>
      <c r="AF133" s="229">
        <v>5.1999999999999998E-3</v>
      </c>
      <c r="AG133" s="228">
        <v>15.9</v>
      </c>
      <c r="AH133" s="228">
        <v>19</v>
      </c>
      <c r="AI133" s="228">
        <v>-3.1</v>
      </c>
      <c r="AJ133" s="229">
        <v>9.9000000000000008E-3</v>
      </c>
      <c r="AK133" s="228">
        <v>-6.7</v>
      </c>
      <c r="AL133" s="228">
        <v>14.3</v>
      </c>
      <c r="AM133" s="228">
        <v>-21</v>
      </c>
      <c r="AN133" s="229">
        <v>-4.1999999999999997E-3</v>
      </c>
      <c r="AO133" s="231">
        <v>1608.75</v>
      </c>
      <c r="AP133" s="231">
        <v>1616.76</v>
      </c>
      <c r="AQ133" s="228">
        <v>0</v>
      </c>
      <c r="AR133" s="230">
        <v>352000</v>
      </c>
      <c r="AS133" s="230">
        <v>284800</v>
      </c>
      <c r="AT133" s="230">
        <v>67200</v>
      </c>
      <c r="AU133" s="229">
        <v>0.23599999999999999</v>
      </c>
      <c r="AV133" s="230">
        <v>341200</v>
      </c>
      <c r="AW133" s="230">
        <v>278000</v>
      </c>
      <c r="AX133" s="230">
        <v>63200</v>
      </c>
      <c r="AY133" s="229">
        <v>0.2273</v>
      </c>
      <c r="AZ133" s="230">
        <v>10800</v>
      </c>
      <c r="BA133" s="230">
        <v>5200</v>
      </c>
      <c r="BB133" s="230">
        <v>5600</v>
      </c>
      <c r="BC133" s="229">
        <v>1.0769</v>
      </c>
      <c r="BD133" s="228">
        <v>0</v>
      </c>
      <c r="BE133" s="230">
        <v>1600</v>
      </c>
      <c r="BF133" s="230">
        <v>-1600</v>
      </c>
      <c r="BG133" s="229">
        <v>-1</v>
      </c>
      <c r="BH133" s="230">
        <v>530800</v>
      </c>
      <c r="BI133" s="230">
        <v>189200</v>
      </c>
      <c r="BJ133" s="230">
        <v>341600</v>
      </c>
      <c r="BK133" s="229">
        <v>1.8055000000000001</v>
      </c>
      <c r="BL133" s="230">
        <v>170800</v>
      </c>
      <c r="BM133" s="230">
        <v>77200</v>
      </c>
      <c r="BN133" s="230">
        <v>93600</v>
      </c>
      <c r="BO133" s="229">
        <v>1.2123999999999999</v>
      </c>
      <c r="BP133" s="230">
        <v>1053600</v>
      </c>
      <c r="BQ133" s="230">
        <v>551200</v>
      </c>
      <c r="BR133" s="230">
        <v>502400</v>
      </c>
      <c r="BS133" s="229">
        <v>0.91149999999999998</v>
      </c>
      <c r="BT133" s="230">
        <v>546907</v>
      </c>
      <c r="BU133" s="230">
        <v>432339</v>
      </c>
      <c r="BV133" s="230">
        <v>114568</v>
      </c>
      <c r="BW133" s="229">
        <v>0.26500000000000001</v>
      </c>
      <c r="BX133" s="230">
        <v>9185600</v>
      </c>
      <c r="BY133" s="230">
        <v>9177200</v>
      </c>
      <c r="BZ133" s="230">
        <v>8400</v>
      </c>
      <c r="CA133" s="229">
        <v>8.9999999999999998E-4</v>
      </c>
      <c r="CB133" s="230">
        <v>9157200</v>
      </c>
      <c r="CC133" s="230">
        <v>9148800</v>
      </c>
      <c r="CD133" s="230">
        <v>8400</v>
      </c>
      <c r="CE133" s="229">
        <v>8.9999999999999998E-4</v>
      </c>
      <c r="CF133" s="230">
        <v>26800</v>
      </c>
      <c r="CG133" s="230">
        <v>26800</v>
      </c>
      <c r="CH133" s="228">
        <v>0</v>
      </c>
      <c r="CI133" s="229">
        <v>0</v>
      </c>
      <c r="CJ133" s="230">
        <v>1600</v>
      </c>
      <c r="CK133" s="230">
        <v>1600</v>
      </c>
      <c r="CL133" s="228">
        <v>0</v>
      </c>
      <c r="CM133" s="229">
        <v>0</v>
      </c>
      <c r="CN133" s="230">
        <v>358400</v>
      </c>
      <c r="CO133" s="230">
        <v>223600</v>
      </c>
      <c r="CP133" s="230">
        <v>134800</v>
      </c>
      <c r="CQ133" s="229">
        <v>0.60289999999999999</v>
      </c>
      <c r="CR133" s="230">
        <v>305600</v>
      </c>
      <c r="CS133" s="230">
        <v>266000</v>
      </c>
      <c r="CT133" s="230">
        <v>39600</v>
      </c>
      <c r="CU133" s="229">
        <v>0.1489</v>
      </c>
      <c r="CV133" s="230">
        <v>9849600</v>
      </c>
      <c r="CW133" s="230">
        <v>9666800</v>
      </c>
      <c r="CX133" s="230">
        <v>182800</v>
      </c>
      <c r="CY133" s="229">
        <v>1.89E-2</v>
      </c>
      <c r="CZ133" s="228">
        <v>34.5</v>
      </c>
      <c r="DA133" s="228">
        <v>33.380000000000003</v>
      </c>
      <c r="DB133" s="228">
        <v>1.1200000000000001</v>
      </c>
      <c r="DC133" s="228">
        <v>1.1200000000000001</v>
      </c>
      <c r="DD133" s="228">
        <v>31.63</v>
      </c>
      <c r="DE133" s="228">
        <v>31.66</v>
      </c>
      <c r="DF133" s="228">
        <v>2.87</v>
      </c>
      <c r="DG133" s="228">
        <v>-0.03</v>
      </c>
      <c r="DH133" s="228">
        <v>34.4</v>
      </c>
      <c r="DI133" s="228">
        <v>33.61</v>
      </c>
      <c r="DJ133" s="228">
        <v>0.79</v>
      </c>
      <c r="DK133" s="228">
        <v>0.79</v>
      </c>
      <c r="DL133" s="228">
        <v>34.81</v>
      </c>
      <c r="DM133" s="228">
        <v>32.81</v>
      </c>
      <c r="DN133" s="228">
        <v>2</v>
      </c>
      <c r="DO133" s="228">
        <v>2</v>
      </c>
      <c r="DP133" s="228">
        <v>0.85</v>
      </c>
      <c r="DQ133" s="228">
        <v>1.19</v>
      </c>
      <c r="DR133" s="228">
        <v>-0.34</v>
      </c>
      <c r="DS133" s="229">
        <v>-0.28570000000000001</v>
      </c>
      <c r="DT133" s="231">
        <v>1600</v>
      </c>
      <c r="DU133" s="231">
        <v>1600</v>
      </c>
      <c r="DV133" s="228">
        <v>0.32</v>
      </c>
      <c r="DW133" s="228">
        <v>0.41</v>
      </c>
      <c r="DX133" s="228">
        <v>-0.09</v>
      </c>
      <c r="DY133" s="229">
        <v>-0.2195</v>
      </c>
      <c r="DZ133" s="229">
        <v>3.0999999999999999E-3</v>
      </c>
      <c r="EA133" s="230">
        <v>28400</v>
      </c>
      <c r="EB133" s="229">
        <v>4.5999999999999999E-3</v>
      </c>
      <c r="EC133" s="229">
        <v>3.0999999999999999E-3</v>
      </c>
      <c r="ED133" s="228">
        <v>8.01</v>
      </c>
      <c r="EE133" s="229">
        <v>5.0000000000000001E-3</v>
      </c>
      <c r="EF133" s="230">
        <v>312328</v>
      </c>
      <c r="EG133" s="230">
        <v>257292</v>
      </c>
      <c r="EH133" s="229">
        <v>0.21390000000000001</v>
      </c>
      <c r="EI133" s="229">
        <v>0.57110000000000005</v>
      </c>
      <c r="EJ133" s="231">
        <v>9026.19</v>
      </c>
      <c r="EK133" s="231">
        <v>2750.71</v>
      </c>
      <c r="EL133" s="231">
        <v>5663.65</v>
      </c>
      <c r="EM133" s="231">
        <v>5452</v>
      </c>
      <c r="EN133" s="231">
        <v>17440.55</v>
      </c>
      <c r="EO133" s="231">
        <v>9032.8700000000008</v>
      </c>
      <c r="EP133" s="231">
        <v>8407.68</v>
      </c>
      <c r="EQ133" s="229">
        <v>0.93079999999999996</v>
      </c>
      <c r="ER133" s="231">
        <v>6082</v>
      </c>
      <c r="ES133" s="231">
        <v>4804</v>
      </c>
      <c r="ET133" s="231">
        <v>148358</v>
      </c>
      <c r="EU133" s="231">
        <v>35051266</v>
      </c>
      <c r="EV133" s="231">
        <v>159245</v>
      </c>
      <c r="EW133" s="231">
        <v>154350</v>
      </c>
      <c r="EX133" s="231">
        <v>4895</v>
      </c>
      <c r="EY133" s="229">
        <v>3.1699999999999999E-2</v>
      </c>
      <c r="EZ133" s="229">
        <v>0.28100000000000003</v>
      </c>
      <c r="FA133" s="227" t="s">
        <v>555</v>
      </c>
      <c r="FB133" s="161">
        <f t="shared" si="2"/>
        <v>28400</v>
      </c>
    </row>
    <row r="134" spans="1:158" ht="17.25" thickBot="1" x14ac:dyDescent="0.3">
      <c r="A134" s="226">
        <v>46146</v>
      </c>
      <c r="B134" s="227" t="s">
        <v>181</v>
      </c>
      <c r="C134" s="227" t="s">
        <v>562</v>
      </c>
      <c r="D134" s="228">
        <v>120</v>
      </c>
      <c r="E134" s="231">
        <v>13964.65</v>
      </c>
      <c r="F134" s="231">
        <v>13879.65</v>
      </c>
      <c r="G134" s="228">
        <v>85</v>
      </c>
      <c r="H134" s="229">
        <v>6.1000000000000004E-3</v>
      </c>
      <c r="I134" s="231">
        <v>13930.2</v>
      </c>
      <c r="J134" s="231">
        <v>13826</v>
      </c>
      <c r="K134" s="228">
        <v>104.2</v>
      </c>
      <c r="L134" s="229">
        <v>7.4999999999999997E-3</v>
      </c>
      <c r="M134" s="231">
        <v>13964.65</v>
      </c>
      <c r="N134" s="231">
        <v>13879.65</v>
      </c>
      <c r="O134" s="228">
        <v>85</v>
      </c>
      <c r="P134" s="229">
        <v>6.1000000000000004E-3</v>
      </c>
      <c r="Q134" s="231">
        <v>14006.25</v>
      </c>
      <c r="R134" s="231">
        <v>13934.1</v>
      </c>
      <c r="S134" s="228">
        <v>72.150000000000006</v>
      </c>
      <c r="T134" s="229">
        <v>5.1999999999999998E-3</v>
      </c>
      <c r="U134" s="231">
        <v>14076.35</v>
      </c>
      <c r="V134" s="231">
        <v>13951</v>
      </c>
      <c r="W134" s="228">
        <v>125.35</v>
      </c>
      <c r="X134" s="229">
        <v>8.9999999999999993E-3</v>
      </c>
      <c r="Y134" s="228">
        <v>34.450000000000003</v>
      </c>
      <c r="Z134" s="228">
        <v>53.65</v>
      </c>
      <c r="AA134" s="228">
        <v>-19.2</v>
      </c>
      <c r="AB134" s="229">
        <v>2.5000000000000001E-3</v>
      </c>
      <c r="AC134" s="228">
        <v>34.450000000000003</v>
      </c>
      <c r="AD134" s="228">
        <v>53.65</v>
      </c>
      <c r="AE134" s="228">
        <v>-19.2</v>
      </c>
      <c r="AF134" s="229">
        <v>2.5000000000000001E-3</v>
      </c>
      <c r="AG134" s="228">
        <v>76.05</v>
      </c>
      <c r="AH134" s="228">
        <v>108.1</v>
      </c>
      <c r="AI134" s="228">
        <v>-32.049999999999997</v>
      </c>
      <c r="AJ134" s="229">
        <v>5.4999999999999997E-3</v>
      </c>
      <c r="AK134" s="228">
        <v>146.15</v>
      </c>
      <c r="AL134" s="228">
        <v>125</v>
      </c>
      <c r="AM134" s="228">
        <v>21.15</v>
      </c>
      <c r="AN134" s="229">
        <v>1.0500000000000001E-2</v>
      </c>
      <c r="AO134" s="231">
        <v>13971.83</v>
      </c>
      <c r="AP134" s="231">
        <v>14038.13</v>
      </c>
      <c r="AQ134" s="228">
        <v>0</v>
      </c>
      <c r="AR134" s="230">
        <v>440160</v>
      </c>
      <c r="AS134" s="230">
        <v>777120</v>
      </c>
      <c r="AT134" s="230">
        <v>-336960</v>
      </c>
      <c r="AU134" s="229">
        <v>-0.43359999999999999</v>
      </c>
      <c r="AV134" s="230">
        <v>409320</v>
      </c>
      <c r="AW134" s="230">
        <v>733800</v>
      </c>
      <c r="AX134" s="230">
        <v>-324480</v>
      </c>
      <c r="AY134" s="229">
        <v>-0.44219999999999998</v>
      </c>
      <c r="AZ134" s="230">
        <v>27960</v>
      </c>
      <c r="BA134" s="230">
        <v>41160</v>
      </c>
      <c r="BB134" s="230">
        <v>-13200</v>
      </c>
      <c r="BC134" s="229">
        <v>-0.32069999999999999</v>
      </c>
      <c r="BD134" s="230">
        <v>2880</v>
      </c>
      <c r="BE134" s="230">
        <v>2160</v>
      </c>
      <c r="BF134" s="228">
        <v>720</v>
      </c>
      <c r="BG134" s="229">
        <v>0.33329999999999999</v>
      </c>
      <c r="BH134" s="230">
        <v>6658320</v>
      </c>
      <c r="BI134" s="230">
        <v>7156680</v>
      </c>
      <c r="BJ134" s="230">
        <v>-498360</v>
      </c>
      <c r="BK134" s="229">
        <v>-6.9599999999999995E-2</v>
      </c>
      <c r="BL134" s="230">
        <v>6670680</v>
      </c>
      <c r="BM134" s="230">
        <v>5677320</v>
      </c>
      <c r="BN134" s="230">
        <v>993360</v>
      </c>
      <c r="BO134" s="229">
        <v>0.17499999999999999</v>
      </c>
      <c r="BP134" s="230">
        <v>13769160</v>
      </c>
      <c r="BQ134" s="230">
        <v>13611120</v>
      </c>
      <c r="BR134" s="230">
        <v>158040</v>
      </c>
      <c r="BS134" s="229">
        <v>1.1599999999999999E-2</v>
      </c>
      <c r="BT134" s="228">
        <v>0</v>
      </c>
      <c r="BU134" s="228">
        <v>0</v>
      </c>
      <c r="BV134" s="228">
        <v>0</v>
      </c>
      <c r="BW134" s="229">
        <v>0</v>
      </c>
      <c r="BX134" s="230">
        <v>2257440</v>
      </c>
      <c r="BY134" s="230">
        <v>2241840</v>
      </c>
      <c r="BZ134" s="230">
        <v>15600</v>
      </c>
      <c r="CA134" s="229">
        <v>7.0000000000000001E-3</v>
      </c>
      <c r="CB134" s="230">
        <v>2208120</v>
      </c>
      <c r="CC134" s="230">
        <v>2194200</v>
      </c>
      <c r="CD134" s="230">
        <v>13920</v>
      </c>
      <c r="CE134" s="229">
        <v>6.3E-3</v>
      </c>
      <c r="CF134" s="230">
        <v>47400</v>
      </c>
      <c r="CG134" s="230">
        <v>46320</v>
      </c>
      <c r="CH134" s="230">
        <v>1080</v>
      </c>
      <c r="CI134" s="229">
        <v>2.3300000000000001E-2</v>
      </c>
      <c r="CJ134" s="230">
        <v>1920</v>
      </c>
      <c r="CK134" s="230">
        <v>1320</v>
      </c>
      <c r="CL134" s="228">
        <v>600</v>
      </c>
      <c r="CM134" s="229">
        <v>0.45450000000000002</v>
      </c>
      <c r="CN134" s="230">
        <v>3415680</v>
      </c>
      <c r="CO134" s="230">
        <v>3032880</v>
      </c>
      <c r="CP134" s="230">
        <v>382800</v>
      </c>
      <c r="CQ134" s="229">
        <v>0.12620000000000001</v>
      </c>
      <c r="CR134" s="230">
        <v>3876600</v>
      </c>
      <c r="CS134" s="230">
        <v>3110040</v>
      </c>
      <c r="CT134" s="230">
        <v>766560</v>
      </c>
      <c r="CU134" s="229">
        <v>0.2465</v>
      </c>
      <c r="CV134" s="230">
        <v>9549720</v>
      </c>
      <c r="CW134" s="230">
        <v>8384760</v>
      </c>
      <c r="CX134" s="230">
        <v>1164960</v>
      </c>
      <c r="CY134" s="229">
        <v>0.1389</v>
      </c>
      <c r="CZ134" s="228">
        <v>23.17</v>
      </c>
      <c r="DA134" s="228">
        <v>22.77</v>
      </c>
      <c r="DB134" s="228">
        <v>0.4</v>
      </c>
      <c r="DC134" s="228">
        <v>0.4</v>
      </c>
      <c r="DD134" s="228">
        <v>24.84</v>
      </c>
      <c r="DE134" s="228">
        <v>24.89</v>
      </c>
      <c r="DF134" s="228">
        <v>-1.67</v>
      </c>
      <c r="DG134" s="228">
        <v>-0.05</v>
      </c>
      <c r="DH134" s="228">
        <v>21.63</v>
      </c>
      <c r="DI134" s="228">
        <v>21.82</v>
      </c>
      <c r="DJ134" s="228">
        <v>-0.19</v>
      </c>
      <c r="DK134" s="228">
        <v>-0.19</v>
      </c>
      <c r="DL134" s="228">
        <v>24.71</v>
      </c>
      <c r="DM134" s="228">
        <v>23.97</v>
      </c>
      <c r="DN134" s="228">
        <v>0.74</v>
      </c>
      <c r="DO134" s="228">
        <v>0.74</v>
      </c>
      <c r="DP134" s="228">
        <v>1.1299999999999999</v>
      </c>
      <c r="DQ134" s="228">
        <v>1.03</v>
      </c>
      <c r="DR134" s="228">
        <v>0.1</v>
      </c>
      <c r="DS134" s="229">
        <v>9.7100000000000006E-2</v>
      </c>
      <c r="DT134" s="231">
        <v>15000</v>
      </c>
      <c r="DU134" s="231">
        <v>13500</v>
      </c>
      <c r="DV134" s="228">
        <v>1</v>
      </c>
      <c r="DW134" s="228">
        <v>0.79</v>
      </c>
      <c r="DX134" s="228">
        <v>0.21</v>
      </c>
      <c r="DY134" s="229">
        <v>0.26579999999999998</v>
      </c>
      <c r="DZ134" s="229">
        <v>2.18E-2</v>
      </c>
      <c r="EA134" s="230">
        <v>47640</v>
      </c>
      <c r="EB134" s="229">
        <v>3.0000000000000001E-3</v>
      </c>
      <c r="EC134" s="229">
        <v>2.18E-2</v>
      </c>
      <c r="ED134" s="228">
        <v>66.3</v>
      </c>
      <c r="EE134" s="229">
        <v>4.7000000000000002E-3</v>
      </c>
      <c r="EF134" s="228">
        <v>0</v>
      </c>
      <c r="EG134" s="228">
        <v>0</v>
      </c>
      <c r="EH134" s="229">
        <v>0</v>
      </c>
      <c r="EI134" s="229">
        <v>0</v>
      </c>
      <c r="EJ134" s="231">
        <v>967828.13</v>
      </c>
      <c r="EK134" s="231">
        <v>899823.26</v>
      </c>
      <c r="EL134" s="231">
        <v>61520.04</v>
      </c>
      <c r="EM134" s="228">
        <v>0</v>
      </c>
      <c r="EN134" s="231">
        <v>1929171.43</v>
      </c>
      <c r="EO134" s="231">
        <v>1916893.28</v>
      </c>
      <c r="EP134" s="231">
        <v>12278.15</v>
      </c>
      <c r="EQ134" s="229">
        <v>6.4000000000000003E-3</v>
      </c>
      <c r="ER134" s="231">
        <v>495924</v>
      </c>
      <c r="ES134" s="231">
        <v>506366</v>
      </c>
      <c r="ET134" s="231">
        <v>315265</v>
      </c>
      <c r="EU134" s="228">
        <v>0</v>
      </c>
      <c r="EV134" s="231">
        <v>1317555</v>
      </c>
      <c r="EW134" s="231">
        <v>1157990</v>
      </c>
      <c r="EX134" s="231">
        <v>159565</v>
      </c>
      <c r="EY134" s="229">
        <v>0.13780000000000001</v>
      </c>
      <c r="EZ134" s="229">
        <v>0</v>
      </c>
      <c r="FA134" s="227" t="s">
        <v>555</v>
      </c>
      <c r="FB134" s="161">
        <f t="shared" si="2"/>
        <v>49320</v>
      </c>
    </row>
    <row r="135" spans="1:158" ht="17.25" thickBot="1" x14ac:dyDescent="0.3">
      <c r="A135" s="226">
        <v>46146</v>
      </c>
      <c r="B135" s="227" t="s">
        <v>162</v>
      </c>
      <c r="C135" s="227" t="s">
        <v>558</v>
      </c>
      <c r="D135" s="228">
        <v>6150</v>
      </c>
      <c r="E135" s="228">
        <v>120.79</v>
      </c>
      <c r="F135" s="228">
        <v>121.92</v>
      </c>
      <c r="G135" s="228">
        <v>-1.1299999999999999</v>
      </c>
      <c r="H135" s="229">
        <v>-9.2999999999999992E-3</v>
      </c>
      <c r="I135" s="228">
        <v>120.21</v>
      </c>
      <c r="J135" s="228">
        <v>121.21</v>
      </c>
      <c r="K135" s="228">
        <v>-1</v>
      </c>
      <c r="L135" s="229">
        <v>-8.3000000000000001E-3</v>
      </c>
      <c r="M135" s="228">
        <v>120.79</v>
      </c>
      <c r="N135" s="228">
        <v>121.92</v>
      </c>
      <c r="O135" s="228">
        <v>-1.1299999999999999</v>
      </c>
      <c r="P135" s="229">
        <v>-9.2999999999999992E-3</v>
      </c>
      <c r="Q135" s="228">
        <v>121.51</v>
      </c>
      <c r="R135" s="228">
        <v>122.78</v>
      </c>
      <c r="S135" s="228">
        <v>-1.27</v>
      </c>
      <c r="T135" s="229">
        <v>-1.03E-2</v>
      </c>
      <c r="U135" s="228">
        <v>122.4</v>
      </c>
      <c r="V135" s="228">
        <v>123.65</v>
      </c>
      <c r="W135" s="228">
        <v>-1.25</v>
      </c>
      <c r="X135" s="229">
        <v>-1.01E-2</v>
      </c>
      <c r="Y135" s="228">
        <v>0.57999999999999996</v>
      </c>
      <c r="Z135" s="228">
        <v>0.71</v>
      </c>
      <c r="AA135" s="228">
        <v>-0.13</v>
      </c>
      <c r="AB135" s="229">
        <v>4.7999999999999996E-3</v>
      </c>
      <c r="AC135" s="228">
        <v>0.57999999999999996</v>
      </c>
      <c r="AD135" s="228">
        <v>0.71</v>
      </c>
      <c r="AE135" s="228">
        <v>-0.13</v>
      </c>
      <c r="AF135" s="229">
        <v>4.7999999999999996E-3</v>
      </c>
      <c r="AG135" s="228">
        <v>1.3</v>
      </c>
      <c r="AH135" s="228">
        <v>1.57</v>
      </c>
      <c r="AI135" s="228">
        <v>-0.27</v>
      </c>
      <c r="AJ135" s="229">
        <v>1.0800000000000001E-2</v>
      </c>
      <c r="AK135" s="228">
        <v>2.19</v>
      </c>
      <c r="AL135" s="228">
        <v>2.44</v>
      </c>
      <c r="AM135" s="228">
        <v>-0.25</v>
      </c>
      <c r="AN135" s="229">
        <v>1.8200000000000001E-2</v>
      </c>
      <c r="AO135" s="228">
        <v>121.95</v>
      </c>
      <c r="AP135" s="228">
        <v>123.1</v>
      </c>
      <c r="AQ135" s="228">
        <v>0</v>
      </c>
      <c r="AR135" s="230">
        <v>13222500</v>
      </c>
      <c r="AS135" s="230">
        <v>19175700</v>
      </c>
      <c r="AT135" s="230">
        <v>-5953200</v>
      </c>
      <c r="AU135" s="229">
        <v>-0.3105</v>
      </c>
      <c r="AV135" s="230">
        <v>12201600</v>
      </c>
      <c r="AW135" s="230">
        <v>17564400</v>
      </c>
      <c r="AX135" s="230">
        <v>-5362800</v>
      </c>
      <c r="AY135" s="229">
        <v>-0.30530000000000002</v>
      </c>
      <c r="AZ135" s="230">
        <v>934800</v>
      </c>
      <c r="BA135" s="230">
        <v>1463700</v>
      </c>
      <c r="BB135" s="230">
        <v>-528900</v>
      </c>
      <c r="BC135" s="229">
        <v>-0.36130000000000001</v>
      </c>
      <c r="BD135" s="230">
        <v>86100</v>
      </c>
      <c r="BE135" s="230">
        <v>147600</v>
      </c>
      <c r="BF135" s="230">
        <v>-61500</v>
      </c>
      <c r="BG135" s="229">
        <v>-0.41670000000000001</v>
      </c>
      <c r="BH135" s="230">
        <v>14052750</v>
      </c>
      <c r="BI135" s="230">
        <v>25584000</v>
      </c>
      <c r="BJ135" s="230">
        <v>-11531250</v>
      </c>
      <c r="BK135" s="229">
        <v>-0.45069999999999999</v>
      </c>
      <c r="BL135" s="230">
        <v>6236100</v>
      </c>
      <c r="BM135" s="230">
        <v>14464800</v>
      </c>
      <c r="BN135" s="230">
        <v>-8228700</v>
      </c>
      <c r="BO135" s="229">
        <v>-0.56889999999999996</v>
      </c>
      <c r="BP135" s="230">
        <v>33511350</v>
      </c>
      <c r="BQ135" s="230">
        <v>59224500</v>
      </c>
      <c r="BR135" s="230">
        <v>-25713150</v>
      </c>
      <c r="BS135" s="229">
        <v>-0.43419999999999997</v>
      </c>
      <c r="BT135" s="230">
        <v>10803975</v>
      </c>
      <c r="BU135" s="230">
        <v>17975206</v>
      </c>
      <c r="BV135" s="230">
        <v>-7171231</v>
      </c>
      <c r="BW135" s="229">
        <v>-0.39900000000000002</v>
      </c>
      <c r="BX135" s="230">
        <v>133664100</v>
      </c>
      <c r="BY135" s="230">
        <v>133116750</v>
      </c>
      <c r="BZ135" s="230">
        <v>547350</v>
      </c>
      <c r="CA135" s="229">
        <v>4.1000000000000003E-3</v>
      </c>
      <c r="CB135" s="230">
        <v>123338250</v>
      </c>
      <c r="CC135" s="230">
        <v>122852400</v>
      </c>
      <c r="CD135" s="230">
        <v>485850</v>
      </c>
      <c r="CE135" s="229">
        <v>4.0000000000000001E-3</v>
      </c>
      <c r="CF135" s="230">
        <v>10209000</v>
      </c>
      <c r="CG135" s="230">
        <v>10184400</v>
      </c>
      <c r="CH135" s="230">
        <v>24600</v>
      </c>
      <c r="CI135" s="229">
        <v>2.3999999999999998E-3</v>
      </c>
      <c r="CJ135" s="230">
        <v>116850</v>
      </c>
      <c r="CK135" s="230">
        <v>79950</v>
      </c>
      <c r="CL135" s="230">
        <v>36900</v>
      </c>
      <c r="CM135" s="229">
        <v>0.46150000000000002</v>
      </c>
      <c r="CN135" s="230">
        <v>27299850</v>
      </c>
      <c r="CO135" s="230">
        <v>24071100</v>
      </c>
      <c r="CP135" s="230">
        <v>3228750</v>
      </c>
      <c r="CQ135" s="229">
        <v>0.1341</v>
      </c>
      <c r="CR135" s="230">
        <v>17896500</v>
      </c>
      <c r="CS135" s="230">
        <v>17220000</v>
      </c>
      <c r="CT135" s="230">
        <v>676500</v>
      </c>
      <c r="CU135" s="229">
        <v>3.9300000000000002E-2</v>
      </c>
      <c r="CV135" s="230">
        <v>178860450</v>
      </c>
      <c r="CW135" s="230">
        <v>174407850</v>
      </c>
      <c r="CX135" s="230">
        <v>4452600</v>
      </c>
      <c r="CY135" s="229">
        <v>2.5499999999999998E-2</v>
      </c>
      <c r="CZ135" s="228">
        <v>42.02</v>
      </c>
      <c r="DA135" s="228">
        <v>40.909999999999997</v>
      </c>
      <c r="DB135" s="228">
        <v>1.1100000000000001</v>
      </c>
      <c r="DC135" s="228">
        <v>1.1100000000000001</v>
      </c>
      <c r="DD135" s="228">
        <v>43.41</v>
      </c>
      <c r="DE135" s="228">
        <v>43.5</v>
      </c>
      <c r="DF135" s="228">
        <v>-1.39</v>
      </c>
      <c r="DG135" s="228">
        <v>-0.09</v>
      </c>
      <c r="DH135" s="228">
        <v>41.89</v>
      </c>
      <c r="DI135" s="228">
        <v>40.69</v>
      </c>
      <c r="DJ135" s="228">
        <v>1.2</v>
      </c>
      <c r="DK135" s="228">
        <v>1.2</v>
      </c>
      <c r="DL135" s="228">
        <v>42.32</v>
      </c>
      <c r="DM135" s="228">
        <v>41.31</v>
      </c>
      <c r="DN135" s="228">
        <v>1.01</v>
      </c>
      <c r="DO135" s="228">
        <v>1.01</v>
      </c>
      <c r="DP135" s="228">
        <v>0.66</v>
      </c>
      <c r="DQ135" s="228">
        <v>0.72</v>
      </c>
      <c r="DR135" s="228">
        <v>-0.06</v>
      </c>
      <c r="DS135" s="229">
        <v>-8.3299999999999999E-2</v>
      </c>
      <c r="DT135" s="228">
        <v>130</v>
      </c>
      <c r="DU135" s="228">
        <v>120</v>
      </c>
      <c r="DV135" s="228">
        <v>0.44</v>
      </c>
      <c r="DW135" s="228">
        <v>0.56999999999999995</v>
      </c>
      <c r="DX135" s="228">
        <v>-0.13</v>
      </c>
      <c r="DY135" s="229">
        <v>-0.2281</v>
      </c>
      <c r="DZ135" s="229">
        <v>7.7299999999999994E-2</v>
      </c>
      <c r="EA135" s="230">
        <v>10264350</v>
      </c>
      <c r="EB135" s="229">
        <v>6.0000000000000001E-3</v>
      </c>
      <c r="EC135" s="229">
        <v>7.7299999999999994E-2</v>
      </c>
      <c r="ED135" s="228">
        <v>1.1499999999999999</v>
      </c>
      <c r="EE135" s="229">
        <v>9.4000000000000004E-3</v>
      </c>
      <c r="EF135" s="230">
        <v>4795334</v>
      </c>
      <c r="EG135" s="230">
        <v>7324031</v>
      </c>
      <c r="EH135" s="229">
        <v>-0.3453</v>
      </c>
      <c r="EI135" s="229">
        <v>0.44379999999999997</v>
      </c>
      <c r="EJ135" s="231">
        <v>18751.93</v>
      </c>
      <c r="EK135" s="231">
        <v>7440.2</v>
      </c>
      <c r="EL135" s="231">
        <v>16137.05</v>
      </c>
      <c r="EM135" s="231">
        <v>8186</v>
      </c>
      <c r="EN135" s="231">
        <v>42329.18</v>
      </c>
      <c r="EO135" s="231">
        <v>75314.11</v>
      </c>
      <c r="EP135" s="231">
        <v>-32984.93</v>
      </c>
      <c r="EQ135" s="229">
        <v>-0.438</v>
      </c>
      <c r="ER135" s="231">
        <v>36107</v>
      </c>
      <c r="ES135" s="231">
        <v>21431</v>
      </c>
      <c r="ET135" s="231">
        <v>161528</v>
      </c>
      <c r="EU135" s="231">
        <v>588447385</v>
      </c>
      <c r="EV135" s="231">
        <v>219066</v>
      </c>
      <c r="EW135" s="231">
        <v>214936</v>
      </c>
      <c r="EX135" s="231">
        <v>4130</v>
      </c>
      <c r="EY135" s="229">
        <v>1.9199999999999998E-2</v>
      </c>
      <c r="EZ135" s="229">
        <v>0.30399999999999999</v>
      </c>
      <c r="FA135" s="227" t="s">
        <v>566</v>
      </c>
      <c r="FB135" s="161">
        <f t="shared" si="2"/>
        <v>10325850</v>
      </c>
    </row>
    <row r="136" spans="1:158" ht="17.25" thickBot="1" x14ac:dyDescent="0.3">
      <c r="A136" s="226">
        <v>46146</v>
      </c>
      <c r="B136" s="227" t="s">
        <v>175</v>
      </c>
      <c r="C136" s="227" t="s">
        <v>696</v>
      </c>
      <c r="D136" s="228">
        <v>775</v>
      </c>
      <c r="E136" s="228">
        <v>840.45</v>
      </c>
      <c r="F136" s="228">
        <v>805.15</v>
      </c>
      <c r="G136" s="228">
        <v>35.299999999999997</v>
      </c>
      <c r="H136" s="229">
        <v>4.3799999999999999E-2</v>
      </c>
      <c r="I136" s="228">
        <v>836.6</v>
      </c>
      <c r="J136" s="228">
        <v>800.25</v>
      </c>
      <c r="K136" s="228">
        <v>36.35</v>
      </c>
      <c r="L136" s="229">
        <v>4.5400000000000003E-2</v>
      </c>
      <c r="M136" s="228">
        <v>840.45</v>
      </c>
      <c r="N136" s="228">
        <v>805.15</v>
      </c>
      <c r="O136" s="228">
        <v>35.299999999999997</v>
      </c>
      <c r="P136" s="229">
        <v>4.3799999999999999E-2</v>
      </c>
      <c r="Q136" s="228">
        <v>844.25</v>
      </c>
      <c r="R136" s="228">
        <v>807.15</v>
      </c>
      <c r="S136" s="228">
        <v>37.1</v>
      </c>
      <c r="T136" s="229">
        <v>4.5999999999999999E-2</v>
      </c>
      <c r="U136" s="228">
        <v>832.2</v>
      </c>
      <c r="V136" s="228">
        <v>812.05</v>
      </c>
      <c r="W136" s="228">
        <v>20.149999999999999</v>
      </c>
      <c r="X136" s="229">
        <v>2.4799999999999999E-2</v>
      </c>
      <c r="Y136" s="228">
        <v>3.85</v>
      </c>
      <c r="Z136" s="228">
        <v>4.9000000000000004</v>
      </c>
      <c r="AA136" s="228">
        <v>-1.05</v>
      </c>
      <c r="AB136" s="229">
        <v>4.5999999999999999E-3</v>
      </c>
      <c r="AC136" s="228">
        <v>3.85</v>
      </c>
      <c r="AD136" s="228">
        <v>4.9000000000000004</v>
      </c>
      <c r="AE136" s="228">
        <v>-1.05</v>
      </c>
      <c r="AF136" s="229">
        <v>4.5999999999999999E-3</v>
      </c>
      <c r="AG136" s="228">
        <v>7.65</v>
      </c>
      <c r="AH136" s="228">
        <v>6.9</v>
      </c>
      <c r="AI136" s="228">
        <v>0.75</v>
      </c>
      <c r="AJ136" s="229">
        <v>9.1000000000000004E-3</v>
      </c>
      <c r="AK136" s="228">
        <v>-4.4000000000000004</v>
      </c>
      <c r="AL136" s="228">
        <v>11.8</v>
      </c>
      <c r="AM136" s="228">
        <v>-16.2</v>
      </c>
      <c r="AN136" s="229">
        <v>-5.3E-3</v>
      </c>
      <c r="AO136" s="228">
        <v>831.58</v>
      </c>
      <c r="AP136" s="228">
        <v>838.79</v>
      </c>
      <c r="AQ136" s="228">
        <v>0</v>
      </c>
      <c r="AR136" s="230">
        <v>1838300</v>
      </c>
      <c r="AS136" s="230">
        <v>3048075</v>
      </c>
      <c r="AT136" s="230">
        <v>-1209775</v>
      </c>
      <c r="AU136" s="229">
        <v>-0.39689999999999998</v>
      </c>
      <c r="AV136" s="230">
        <v>1806525</v>
      </c>
      <c r="AW136" s="230">
        <v>2986075</v>
      </c>
      <c r="AX136" s="230">
        <v>-1179550</v>
      </c>
      <c r="AY136" s="229">
        <v>-0.39500000000000002</v>
      </c>
      <c r="AZ136" s="230">
        <v>24025</v>
      </c>
      <c r="BA136" s="230">
        <v>48825</v>
      </c>
      <c r="BB136" s="230">
        <v>-24800</v>
      </c>
      <c r="BC136" s="229">
        <v>-0.50790000000000002</v>
      </c>
      <c r="BD136" s="230">
        <v>7750</v>
      </c>
      <c r="BE136" s="230">
        <v>13175</v>
      </c>
      <c r="BF136" s="230">
        <v>-5425</v>
      </c>
      <c r="BG136" s="229">
        <v>-0.4118</v>
      </c>
      <c r="BH136" s="230">
        <v>5223500</v>
      </c>
      <c r="BI136" s="230">
        <v>9200800</v>
      </c>
      <c r="BJ136" s="230">
        <v>-3977300</v>
      </c>
      <c r="BK136" s="229">
        <v>-0.43230000000000002</v>
      </c>
      <c r="BL136" s="230">
        <v>1277200</v>
      </c>
      <c r="BM136" s="230">
        <v>3798275</v>
      </c>
      <c r="BN136" s="230">
        <v>-2521075</v>
      </c>
      <c r="BO136" s="229">
        <v>-0.66369999999999996</v>
      </c>
      <c r="BP136" s="230">
        <v>8339000</v>
      </c>
      <c r="BQ136" s="230">
        <v>16047150</v>
      </c>
      <c r="BR136" s="230">
        <v>-7708150</v>
      </c>
      <c r="BS136" s="229">
        <v>-0.4803</v>
      </c>
      <c r="BT136" s="230">
        <v>3178619</v>
      </c>
      <c r="BU136" s="230">
        <v>4828087</v>
      </c>
      <c r="BV136" s="230">
        <v>-1649468</v>
      </c>
      <c r="BW136" s="229">
        <v>-0.34160000000000001</v>
      </c>
      <c r="BX136" s="230">
        <v>2852775</v>
      </c>
      <c r="BY136" s="230">
        <v>2725675</v>
      </c>
      <c r="BZ136" s="230">
        <v>127100</v>
      </c>
      <c r="CA136" s="229">
        <v>4.6600000000000003E-2</v>
      </c>
      <c r="CB136" s="230">
        <v>2804725</v>
      </c>
      <c r="CC136" s="230">
        <v>2685375</v>
      </c>
      <c r="CD136" s="230">
        <v>119350</v>
      </c>
      <c r="CE136" s="229">
        <v>4.4400000000000002E-2</v>
      </c>
      <c r="CF136" s="230">
        <v>39525</v>
      </c>
      <c r="CG136" s="230">
        <v>31775</v>
      </c>
      <c r="CH136" s="230">
        <v>7750</v>
      </c>
      <c r="CI136" s="229">
        <v>0.24390000000000001</v>
      </c>
      <c r="CJ136" s="230">
        <v>8525</v>
      </c>
      <c r="CK136" s="230">
        <v>8525</v>
      </c>
      <c r="CL136" s="228">
        <v>0</v>
      </c>
      <c r="CM136" s="229">
        <v>0</v>
      </c>
      <c r="CN136" s="230">
        <v>2025075</v>
      </c>
      <c r="CO136" s="230">
        <v>1856900</v>
      </c>
      <c r="CP136" s="230">
        <v>168175</v>
      </c>
      <c r="CQ136" s="229">
        <v>9.06E-2</v>
      </c>
      <c r="CR136" s="230">
        <v>1366325</v>
      </c>
      <c r="CS136" s="230">
        <v>1370975</v>
      </c>
      <c r="CT136" s="230">
        <v>-4650</v>
      </c>
      <c r="CU136" s="229">
        <v>-3.3999999999999998E-3</v>
      </c>
      <c r="CV136" s="230">
        <v>6244175</v>
      </c>
      <c r="CW136" s="230">
        <v>5953550</v>
      </c>
      <c r="CX136" s="230">
        <v>290625</v>
      </c>
      <c r="CY136" s="229">
        <v>4.8800000000000003E-2</v>
      </c>
      <c r="CZ136" s="228">
        <v>39.43</v>
      </c>
      <c r="DA136" s="228">
        <v>42.02</v>
      </c>
      <c r="DB136" s="228">
        <v>-2.59</v>
      </c>
      <c r="DC136" s="228">
        <v>-2.59</v>
      </c>
      <c r="DD136" s="228">
        <v>54.23</v>
      </c>
      <c r="DE136" s="228">
        <v>54.05</v>
      </c>
      <c r="DF136" s="228">
        <v>-14.8</v>
      </c>
      <c r="DG136" s="228">
        <v>0.18</v>
      </c>
      <c r="DH136" s="228">
        <v>38.96</v>
      </c>
      <c r="DI136" s="228">
        <v>41.99</v>
      </c>
      <c r="DJ136" s="228">
        <v>-3.03</v>
      </c>
      <c r="DK136" s="228">
        <v>-3.03</v>
      </c>
      <c r="DL136" s="228">
        <v>41.37</v>
      </c>
      <c r="DM136" s="228">
        <v>42.09</v>
      </c>
      <c r="DN136" s="228">
        <v>-0.72</v>
      </c>
      <c r="DO136" s="228">
        <v>-0.72</v>
      </c>
      <c r="DP136" s="228">
        <v>0.67</v>
      </c>
      <c r="DQ136" s="228">
        <v>0.74</v>
      </c>
      <c r="DR136" s="228">
        <v>-7.0000000000000007E-2</v>
      </c>
      <c r="DS136" s="229">
        <v>-9.4600000000000004E-2</v>
      </c>
      <c r="DT136" s="228">
        <v>840</v>
      </c>
      <c r="DU136" s="228">
        <v>800</v>
      </c>
      <c r="DV136" s="228">
        <v>0.24</v>
      </c>
      <c r="DW136" s="228">
        <v>0.41</v>
      </c>
      <c r="DX136" s="228">
        <v>-0.17</v>
      </c>
      <c r="DY136" s="229">
        <v>-0.41460000000000002</v>
      </c>
      <c r="DZ136" s="229">
        <v>1.6799999999999999E-2</v>
      </c>
      <c r="EA136" s="230">
        <v>40300</v>
      </c>
      <c r="EB136" s="229">
        <v>4.4999999999999997E-3</v>
      </c>
      <c r="EC136" s="229">
        <v>1.6799999999999999E-2</v>
      </c>
      <c r="ED136" s="228">
        <v>7.21</v>
      </c>
      <c r="EE136" s="229">
        <v>8.6999999999999994E-3</v>
      </c>
      <c r="EF136" s="230">
        <v>1360288</v>
      </c>
      <c r="EG136" s="230">
        <v>1423958</v>
      </c>
      <c r="EH136" s="229">
        <v>-4.4699999999999997E-2</v>
      </c>
      <c r="EI136" s="229">
        <v>0.4279</v>
      </c>
      <c r="EJ136" s="231">
        <v>45856.1</v>
      </c>
      <c r="EK136" s="231">
        <v>10172.5</v>
      </c>
      <c r="EL136" s="231">
        <v>15288.81</v>
      </c>
      <c r="EM136" s="231">
        <v>3360</v>
      </c>
      <c r="EN136" s="231">
        <v>71317.41</v>
      </c>
      <c r="EO136" s="231">
        <v>133539.88</v>
      </c>
      <c r="EP136" s="231">
        <v>-62222.47</v>
      </c>
      <c r="EQ136" s="229">
        <v>-0.46589999999999998</v>
      </c>
      <c r="ER136" s="231">
        <v>17048</v>
      </c>
      <c r="ES136" s="231">
        <v>10411</v>
      </c>
      <c r="ET136" s="231">
        <v>23977</v>
      </c>
      <c r="EU136" s="231">
        <v>29196111</v>
      </c>
      <c r="EV136" s="231">
        <v>51436</v>
      </c>
      <c r="EW136" s="231">
        <v>47766</v>
      </c>
      <c r="EX136" s="231">
        <v>3670</v>
      </c>
      <c r="EY136" s="229">
        <v>7.6799999999999993E-2</v>
      </c>
      <c r="EZ136" s="229">
        <v>0.21390000000000001</v>
      </c>
      <c r="FA136" s="227" t="s">
        <v>555</v>
      </c>
      <c r="FB136" s="161">
        <f t="shared" si="2"/>
        <v>48050</v>
      </c>
    </row>
    <row r="137" spans="1:158" ht="17.25" thickBot="1" x14ac:dyDescent="0.3">
      <c r="A137" s="226">
        <v>46146</v>
      </c>
      <c r="B137" s="227" t="s">
        <v>221</v>
      </c>
      <c r="C137" s="227" t="s">
        <v>487</v>
      </c>
      <c r="D137" s="228">
        <v>275</v>
      </c>
      <c r="E137" s="231">
        <v>2284</v>
      </c>
      <c r="F137" s="231">
        <v>2288.8000000000002</v>
      </c>
      <c r="G137" s="228">
        <v>-4.8</v>
      </c>
      <c r="H137" s="229">
        <v>-2.0999999999999999E-3</v>
      </c>
      <c r="I137" s="231">
        <v>2276.6</v>
      </c>
      <c r="J137" s="231">
        <v>2276.6999999999998</v>
      </c>
      <c r="K137" s="228">
        <v>-0.1</v>
      </c>
      <c r="L137" s="229">
        <v>0</v>
      </c>
      <c r="M137" s="231">
        <v>2284</v>
      </c>
      <c r="N137" s="231">
        <v>2288.8000000000002</v>
      </c>
      <c r="O137" s="228">
        <v>-4.8</v>
      </c>
      <c r="P137" s="229">
        <v>-2.0999999999999999E-3</v>
      </c>
      <c r="Q137" s="231">
        <v>2295.6999999999998</v>
      </c>
      <c r="R137" s="231">
        <v>2302</v>
      </c>
      <c r="S137" s="228">
        <v>-6.3</v>
      </c>
      <c r="T137" s="229">
        <v>-2.7000000000000001E-3</v>
      </c>
      <c r="U137" s="231">
        <v>2282</v>
      </c>
      <c r="V137" s="231">
        <v>2316.6999999999998</v>
      </c>
      <c r="W137" s="228">
        <v>-34.700000000000003</v>
      </c>
      <c r="X137" s="229">
        <v>-1.4999999999999999E-2</v>
      </c>
      <c r="Y137" s="228">
        <v>7.4</v>
      </c>
      <c r="Z137" s="228">
        <v>12.1</v>
      </c>
      <c r="AA137" s="228">
        <v>-4.7</v>
      </c>
      <c r="AB137" s="229">
        <v>3.3E-3</v>
      </c>
      <c r="AC137" s="228">
        <v>7.4</v>
      </c>
      <c r="AD137" s="228">
        <v>12.1</v>
      </c>
      <c r="AE137" s="228">
        <v>-4.7</v>
      </c>
      <c r="AF137" s="229">
        <v>3.3E-3</v>
      </c>
      <c r="AG137" s="228">
        <v>19.100000000000001</v>
      </c>
      <c r="AH137" s="228">
        <v>25.3</v>
      </c>
      <c r="AI137" s="228">
        <v>-6.2</v>
      </c>
      <c r="AJ137" s="229">
        <v>8.3999999999999995E-3</v>
      </c>
      <c r="AK137" s="228">
        <v>5.4</v>
      </c>
      <c r="AL137" s="228">
        <v>40</v>
      </c>
      <c r="AM137" s="228">
        <v>-34.6</v>
      </c>
      <c r="AN137" s="229">
        <v>2.3999999999999998E-3</v>
      </c>
      <c r="AO137" s="231">
        <v>2286.64</v>
      </c>
      <c r="AP137" s="231">
        <v>2292.61</v>
      </c>
      <c r="AQ137" s="228">
        <v>0</v>
      </c>
      <c r="AR137" s="230">
        <v>742775</v>
      </c>
      <c r="AS137" s="230">
        <v>3126750</v>
      </c>
      <c r="AT137" s="230">
        <v>-2383975</v>
      </c>
      <c r="AU137" s="229">
        <v>-0.76239999999999997</v>
      </c>
      <c r="AV137" s="230">
        <v>731500</v>
      </c>
      <c r="AW137" s="230">
        <v>3081650</v>
      </c>
      <c r="AX137" s="230">
        <v>-2350150</v>
      </c>
      <c r="AY137" s="229">
        <v>-0.76259999999999994</v>
      </c>
      <c r="AZ137" s="230">
        <v>8800</v>
      </c>
      <c r="BA137" s="230">
        <v>41800</v>
      </c>
      <c r="BB137" s="230">
        <v>-33000</v>
      </c>
      <c r="BC137" s="229">
        <v>-0.78949999999999998</v>
      </c>
      <c r="BD137" s="230">
        <v>2475</v>
      </c>
      <c r="BE137" s="230">
        <v>3300</v>
      </c>
      <c r="BF137" s="228">
        <v>-825</v>
      </c>
      <c r="BG137" s="229">
        <v>-0.25</v>
      </c>
      <c r="BH137" s="230">
        <v>1350800</v>
      </c>
      <c r="BI137" s="230">
        <v>9769650</v>
      </c>
      <c r="BJ137" s="230">
        <v>-8418850</v>
      </c>
      <c r="BK137" s="229">
        <v>-0.86170000000000002</v>
      </c>
      <c r="BL137" s="230">
        <v>657250</v>
      </c>
      <c r="BM137" s="230">
        <v>4422000</v>
      </c>
      <c r="BN137" s="230">
        <v>-3764750</v>
      </c>
      <c r="BO137" s="229">
        <v>-0.85140000000000005</v>
      </c>
      <c r="BP137" s="230">
        <v>2750825</v>
      </c>
      <c r="BQ137" s="230">
        <v>17318400</v>
      </c>
      <c r="BR137" s="230">
        <v>-14567575</v>
      </c>
      <c r="BS137" s="229">
        <v>-0.84119999999999995</v>
      </c>
      <c r="BT137" s="230">
        <v>281591</v>
      </c>
      <c r="BU137" s="230">
        <v>2062239</v>
      </c>
      <c r="BV137" s="230">
        <v>-1780648</v>
      </c>
      <c r="BW137" s="229">
        <v>-0.86350000000000005</v>
      </c>
      <c r="BX137" s="230">
        <v>4777025</v>
      </c>
      <c r="BY137" s="230">
        <v>4810850</v>
      </c>
      <c r="BZ137" s="230">
        <v>-33825</v>
      </c>
      <c r="CA137" s="229">
        <v>-7.0000000000000001E-3</v>
      </c>
      <c r="CB137" s="230">
        <v>4741550</v>
      </c>
      <c r="CC137" s="230">
        <v>4775925</v>
      </c>
      <c r="CD137" s="230">
        <v>-34375</v>
      </c>
      <c r="CE137" s="229">
        <v>-7.1999999999999998E-3</v>
      </c>
      <c r="CF137" s="230">
        <v>31900</v>
      </c>
      <c r="CG137" s="230">
        <v>32725</v>
      </c>
      <c r="CH137" s="228">
        <v>-825</v>
      </c>
      <c r="CI137" s="229">
        <v>-2.52E-2</v>
      </c>
      <c r="CJ137" s="230">
        <v>3575</v>
      </c>
      <c r="CK137" s="230">
        <v>2200</v>
      </c>
      <c r="CL137" s="230">
        <v>1375</v>
      </c>
      <c r="CM137" s="229">
        <v>0.625</v>
      </c>
      <c r="CN137" s="230">
        <v>1411575</v>
      </c>
      <c r="CO137" s="230">
        <v>1511400</v>
      </c>
      <c r="CP137" s="230">
        <v>-99825</v>
      </c>
      <c r="CQ137" s="229">
        <v>-6.6000000000000003E-2</v>
      </c>
      <c r="CR137" s="230">
        <v>964700</v>
      </c>
      <c r="CS137" s="230">
        <v>1026850</v>
      </c>
      <c r="CT137" s="230">
        <v>-62150</v>
      </c>
      <c r="CU137" s="229">
        <v>-6.0499999999999998E-2</v>
      </c>
      <c r="CV137" s="230">
        <v>7153300</v>
      </c>
      <c r="CW137" s="230">
        <v>7349100</v>
      </c>
      <c r="CX137" s="230">
        <v>-195800</v>
      </c>
      <c r="CY137" s="229">
        <v>-2.6599999999999999E-2</v>
      </c>
      <c r="CZ137" s="228">
        <v>36.85</v>
      </c>
      <c r="DA137" s="228">
        <v>36.909999999999997</v>
      </c>
      <c r="DB137" s="228">
        <v>-0.06</v>
      </c>
      <c r="DC137" s="228">
        <v>-0.06</v>
      </c>
      <c r="DD137" s="228">
        <v>37.049999999999997</v>
      </c>
      <c r="DE137" s="228">
        <v>37.14</v>
      </c>
      <c r="DF137" s="228">
        <v>-0.2</v>
      </c>
      <c r="DG137" s="228">
        <v>-0.09</v>
      </c>
      <c r="DH137" s="228">
        <v>36.29</v>
      </c>
      <c r="DI137" s="228">
        <v>36.81</v>
      </c>
      <c r="DJ137" s="228">
        <v>-0.52</v>
      </c>
      <c r="DK137" s="228">
        <v>-0.52</v>
      </c>
      <c r="DL137" s="228">
        <v>37.99</v>
      </c>
      <c r="DM137" s="228">
        <v>37.14</v>
      </c>
      <c r="DN137" s="228">
        <v>0.85</v>
      </c>
      <c r="DO137" s="228">
        <v>0.85</v>
      </c>
      <c r="DP137" s="228">
        <v>0.68</v>
      </c>
      <c r="DQ137" s="228">
        <v>0.68</v>
      </c>
      <c r="DR137" s="228">
        <v>0</v>
      </c>
      <c r="DS137" s="229">
        <v>0</v>
      </c>
      <c r="DT137" s="231">
        <v>2280</v>
      </c>
      <c r="DU137" s="231">
        <v>2200</v>
      </c>
      <c r="DV137" s="228">
        <v>0.49</v>
      </c>
      <c r="DW137" s="228">
        <v>0.45</v>
      </c>
      <c r="DX137" s="228">
        <v>0.04</v>
      </c>
      <c r="DY137" s="229">
        <v>8.8900000000000007E-2</v>
      </c>
      <c r="DZ137" s="229">
        <v>7.4000000000000003E-3</v>
      </c>
      <c r="EA137" s="230">
        <v>34925</v>
      </c>
      <c r="EB137" s="229">
        <v>5.1000000000000004E-3</v>
      </c>
      <c r="EC137" s="229">
        <v>7.4000000000000003E-3</v>
      </c>
      <c r="ED137" s="228">
        <v>5.97</v>
      </c>
      <c r="EE137" s="229">
        <v>2.5999999999999999E-3</v>
      </c>
      <c r="EF137" s="230">
        <v>86685</v>
      </c>
      <c r="EG137" s="230">
        <v>749738</v>
      </c>
      <c r="EH137" s="229">
        <v>-0.88439999999999996</v>
      </c>
      <c r="EI137" s="229">
        <v>0.30780000000000002</v>
      </c>
      <c r="EJ137" s="231">
        <v>33068.04</v>
      </c>
      <c r="EK137" s="231">
        <v>14828.88</v>
      </c>
      <c r="EL137" s="231">
        <v>16985.38</v>
      </c>
      <c r="EM137" s="231">
        <v>10235</v>
      </c>
      <c r="EN137" s="231">
        <v>64882.3</v>
      </c>
      <c r="EO137" s="231">
        <v>411407.32</v>
      </c>
      <c r="EP137" s="231">
        <v>-346525.02</v>
      </c>
      <c r="EQ137" s="229">
        <v>-0.84230000000000005</v>
      </c>
      <c r="ER137" s="231">
        <v>33395</v>
      </c>
      <c r="ES137" s="231">
        <v>21179</v>
      </c>
      <c r="ET137" s="231">
        <v>109111</v>
      </c>
      <c r="EU137" s="231">
        <v>19838356</v>
      </c>
      <c r="EV137" s="231">
        <v>163685</v>
      </c>
      <c r="EW137" s="231">
        <v>168283</v>
      </c>
      <c r="EX137" s="231">
        <v>-4598</v>
      </c>
      <c r="EY137" s="229">
        <v>-2.7300000000000001E-2</v>
      </c>
      <c r="EZ137" s="229">
        <v>0.36059999999999998</v>
      </c>
      <c r="FA137" s="227" t="s">
        <v>567</v>
      </c>
      <c r="FB137" s="161">
        <f t="shared" si="2"/>
        <v>35475</v>
      </c>
    </row>
    <row r="138" spans="1:158" ht="17.25" thickBot="1" x14ac:dyDescent="0.3">
      <c r="A138" s="226">
        <v>46146</v>
      </c>
      <c r="B138" s="227" t="s">
        <v>175</v>
      </c>
      <c r="C138" s="227" t="s">
        <v>262</v>
      </c>
      <c r="D138" s="228">
        <v>275</v>
      </c>
      <c r="E138" s="231">
        <v>3503.9</v>
      </c>
      <c r="F138" s="231">
        <v>3444.4</v>
      </c>
      <c r="G138" s="228">
        <v>59.5</v>
      </c>
      <c r="H138" s="229">
        <v>1.7299999999999999E-2</v>
      </c>
      <c r="I138" s="231">
        <v>3487.7</v>
      </c>
      <c r="J138" s="231">
        <v>3424.2</v>
      </c>
      <c r="K138" s="228">
        <v>63.5</v>
      </c>
      <c r="L138" s="229">
        <v>1.8499999999999999E-2</v>
      </c>
      <c r="M138" s="231">
        <v>3503.9</v>
      </c>
      <c r="N138" s="231">
        <v>3444.4</v>
      </c>
      <c r="O138" s="228">
        <v>59.5</v>
      </c>
      <c r="P138" s="229">
        <v>1.7299999999999999E-2</v>
      </c>
      <c r="Q138" s="231">
        <v>3519.8</v>
      </c>
      <c r="R138" s="231">
        <v>3461.9</v>
      </c>
      <c r="S138" s="228">
        <v>57.9</v>
      </c>
      <c r="T138" s="229">
        <v>1.67E-2</v>
      </c>
      <c r="U138" s="231">
        <v>3545</v>
      </c>
      <c r="V138" s="231">
        <v>3475.9</v>
      </c>
      <c r="W138" s="228">
        <v>69.099999999999994</v>
      </c>
      <c r="X138" s="229">
        <v>1.9900000000000001E-2</v>
      </c>
      <c r="Y138" s="228">
        <v>16.2</v>
      </c>
      <c r="Z138" s="228">
        <v>20.2</v>
      </c>
      <c r="AA138" s="228">
        <v>-4</v>
      </c>
      <c r="AB138" s="229">
        <v>4.5999999999999999E-3</v>
      </c>
      <c r="AC138" s="228">
        <v>16.2</v>
      </c>
      <c r="AD138" s="228">
        <v>20.2</v>
      </c>
      <c r="AE138" s="228">
        <v>-4</v>
      </c>
      <c r="AF138" s="229">
        <v>4.5999999999999999E-3</v>
      </c>
      <c r="AG138" s="228">
        <v>32.1</v>
      </c>
      <c r="AH138" s="228">
        <v>37.700000000000003</v>
      </c>
      <c r="AI138" s="228">
        <v>-5.6</v>
      </c>
      <c r="AJ138" s="229">
        <v>9.1999999999999998E-3</v>
      </c>
      <c r="AK138" s="228">
        <v>57.3</v>
      </c>
      <c r="AL138" s="228">
        <v>51.7</v>
      </c>
      <c r="AM138" s="228">
        <v>5.6</v>
      </c>
      <c r="AN138" s="229">
        <v>1.6400000000000001E-2</v>
      </c>
      <c r="AO138" s="231">
        <v>3502.76</v>
      </c>
      <c r="AP138" s="231">
        <v>3519.55</v>
      </c>
      <c r="AQ138" s="228">
        <v>0</v>
      </c>
      <c r="AR138" s="230">
        <v>512875</v>
      </c>
      <c r="AS138" s="230">
        <v>547525</v>
      </c>
      <c r="AT138" s="230">
        <v>-34650</v>
      </c>
      <c r="AU138" s="229">
        <v>-6.3299999999999995E-2</v>
      </c>
      <c r="AV138" s="230">
        <v>502425</v>
      </c>
      <c r="AW138" s="230">
        <v>524975</v>
      </c>
      <c r="AX138" s="230">
        <v>-22550</v>
      </c>
      <c r="AY138" s="229">
        <v>-4.2999999999999997E-2</v>
      </c>
      <c r="AZ138" s="230">
        <v>8800</v>
      </c>
      <c r="BA138" s="230">
        <v>21450</v>
      </c>
      <c r="BB138" s="230">
        <v>-12650</v>
      </c>
      <c r="BC138" s="229">
        <v>-0.5897</v>
      </c>
      <c r="BD138" s="230">
        <v>1650</v>
      </c>
      <c r="BE138" s="230">
        <v>1100</v>
      </c>
      <c r="BF138" s="228">
        <v>550</v>
      </c>
      <c r="BG138" s="229">
        <v>0.5</v>
      </c>
      <c r="BH138" s="230">
        <v>1309000</v>
      </c>
      <c r="BI138" s="230">
        <v>514800</v>
      </c>
      <c r="BJ138" s="230">
        <v>794200</v>
      </c>
      <c r="BK138" s="229">
        <v>1.5427</v>
      </c>
      <c r="BL138" s="230">
        <v>402050</v>
      </c>
      <c r="BM138" s="230">
        <v>380325</v>
      </c>
      <c r="BN138" s="230">
        <v>21725</v>
      </c>
      <c r="BO138" s="229">
        <v>5.7099999999999998E-2</v>
      </c>
      <c r="BP138" s="230">
        <v>2223925</v>
      </c>
      <c r="BQ138" s="230">
        <v>1442650</v>
      </c>
      <c r="BR138" s="230">
        <v>781275</v>
      </c>
      <c r="BS138" s="229">
        <v>0.54159999999999997</v>
      </c>
      <c r="BT138" s="230">
        <v>406547</v>
      </c>
      <c r="BU138" s="230">
        <v>440178</v>
      </c>
      <c r="BV138" s="230">
        <v>-33631</v>
      </c>
      <c r="BW138" s="229">
        <v>-7.6399999999999996E-2</v>
      </c>
      <c r="BX138" s="230">
        <v>3728175</v>
      </c>
      <c r="BY138" s="230">
        <v>3751000</v>
      </c>
      <c r="BZ138" s="230">
        <v>-22825</v>
      </c>
      <c r="CA138" s="229">
        <v>-6.1000000000000004E-3</v>
      </c>
      <c r="CB138" s="230">
        <v>3668225</v>
      </c>
      <c r="CC138" s="230">
        <v>3693250</v>
      </c>
      <c r="CD138" s="230">
        <v>-25025</v>
      </c>
      <c r="CE138" s="229">
        <v>-6.7999999999999996E-3</v>
      </c>
      <c r="CF138" s="230">
        <v>58575</v>
      </c>
      <c r="CG138" s="230">
        <v>56650</v>
      </c>
      <c r="CH138" s="230">
        <v>1925</v>
      </c>
      <c r="CI138" s="229">
        <v>3.4000000000000002E-2</v>
      </c>
      <c r="CJ138" s="230">
        <v>1375</v>
      </c>
      <c r="CK138" s="230">
        <v>1100</v>
      </c>
      <c r="CL138" s="228">
        <v>275</v>
      </c>
      <c r="CM138" s="229">
        <v>0.25</v>
      </c>
      <c r="CN138" s="230">
        <v>994125</v>
      </c>
      <c r="CO138" s="230">
        <v>771100</v>
      </c>
      <c r="CP138" s="230">
        <v>223025</v>
      </c>
      <c r="CQ138" s="229">
        <v>0.28920000000000001</v>
      </c>
      <c r="CR138" s="230">
        <v>674300</v>
      </c>
      <c r="CS138" s="230">
        <v>592350</v>
      </c>
      <c r="CT138" s="230">
        <v>81950</v>
      </c>
      <c r="CU138" s="229">
        <v>0.13830000000000001</v>
      </c>
      <c r="CV138" s="230">
        <v>5396600</v>
      </c>
      <c r="CW138" s="230">
        <v>5114450</v>
      </c>
      <c r="CX138" s="230">
        <v>282150</v>
      </c>
      <c r="CY138" s="229">
        <v>5.5199999999999999E-2</v>
      </c>
      <c r="CZ138" s="228">
        <v>40.880000000000003</v>
      </c>
      <c r="DA138" s="228">
        <v>38.700000000000003</v>
      </c>
      <c r="DB138" s="228">
        <v>2.1800000000000002</v>
      </c>
      <c r="DC138" s="228">
        <v>2.1800000000000002</v>
      </c>
      <c r="DD138" s="228">
        <v>43.49</v>
      </c>
      <c r="DE138" s="228">
        <v>43.53</v>
      </c>
      <c r="DF138" s="228">
        <v>-2.61</v>
      </c>
      <c r="DG138" s="228">
        <v>-0.04</v>
      </c>
      <c r="DH138" s="228">
        <v>40.909999999999997</v>
      </c>
      <c r="DI138" s="228">
        <v>38.700000000000003</v>
      </c>
      <c r="DJ138" s="228">
        <v>2.21</v>
      </c>
      <c r="DK138" s="228">
        <v>2.21</v>
      </c>
      <c r="DL138" s="228">
        <v>40.770000000000003</v>
      </c>
      <c r="DM138" s="228">
        <v>38.69</v>
      </c>
      <c r="DN138" s="228">
        <v>2.08</v>
      </c>
      <c r="DO138" s="228">
        <v>2.08</v>
      </c>
      <c r="DP138" s="228">
        <v>0.68</v>
      </c>
      <c r="DQ138" s="228">
        <v>0.77</v>
      </c>
      <c r="DR138" s="228">
        <v>-0.09</v>
      </c>
      <c r="DS138" s="229">
        <v>-0.1169</v>
      </c>
      <c r="DT138" s="231">
        <v>4000</v>
      </c>
      <c r="DU138" s="231">
        <v>3500</v>
      </c>
      <c r="DV138" s="228">
        <v>0.31</v>
      </c>
      <c r="DW138" s="228">
        <v>0.74</v>
      </c>
      <c r="DX138" s="228">
        <v>-0.43</v>
      </c>
      <c r="DY138" s="229">
        <v>-0.58109999999999995</v>
      </c>
      <c r="DZ138" s="229">
        <v>1.61E-2</v>
      </c>
      <c r="EA138" s="230">
        <v>57750</v>
      </c>
      <c r="EB138" s="229">
        <v>4.4999999999999997E-3</v>
      </c>
      <c r="EC138" s="229">
        <v>1.61E-2</v>
      </c>
      <c r="ED138" s="228">
        <v>16.79</v>
      </c>
      <c r="EE138" s="229">
        <v>4.7999999999999996E-3</v>
      </c>
      <c r="EF138" s="230">
        <v>200086</v>
      </c>
      <c r="EG138" s="230">
        <v>210990</v>
      </c>
      <c r="EH138" s="229">
        <v>-5.1700000000000003E-2</v>
      </c>
      <c r="EI138" s="229">
        <v>0.49220000000000003</v>
      </c>
      <c r="EJ138" s="231">
        <v>49523.25</v>
      </c>
      <c r="EK138" s="231">
        <v>13803.3</v>
      </c>
      <c r="EL138" s="231">
        <v>17966.810000000001</v>
      </c>
      <c r="EM138" s="231">
        <v>5476</v>
      </c>
      <c r="EN138" s="231">
        <v>81293.36</v>
      </c>
      <c r="EO138" s="231">
        <v>51014.71</v>
      </c>
      <c r="EP138" s="231">
        <v>30278.65</v>
      </c>
      <c r="EQ138" s="229">
        <v>0.59350000000000003</v>
      </c>
      <c r="ER138" s="231">
        <v>36510</v>
      </c>
      <c r="ES138" s="231">
        <v>22783</v>
      </c>
      <c r="ET138" s="231">
        <v>130641</v>
      </c>
      <c r="EU138" s="231">
        <v>16050690</v>
      </c>
      <c r="EV138" s="231">
        <v>189935</v>
      </c>
      <c r="EW138" s="231">
        <v>177132</v>
      </c>
      <c r="EX138" s="231">
        <v>12803</v>
      </c>
      <c r="EY138" s="229">
        <v>7.2300000000000003E-2</v>
      </c>
      <c r="EZ138" s="229">
        <v>0.3362</v>
      </c>
      <c r="FA138" s="227" t="s">
        <v>691</v>
      </c>
      <c r="FB138" s="161">
        <f t="shared" si="2"/>
        <v>59950</v>
      </c>
    </row>
    <row r="139" spans="1:158" ht="17.25" thickBot="1" x14ac:dyDescent="0.3">
      <c r="A139" s="226">
        <v>46146</v>
      </c>
      <c r="B139" s="227" t="s">
        <v>175</v>
      </c>
      <c r="C139" s="227" t="s">
        <v>486</v>
      </c>
      <c r="D139" s="228">
        <v>625</v>
      </c>
      <c r="E139" s="231">
        <v>1021.6</v>
      </c>
      <c r="F139" s="231">
        <v>1014.05</v>
      </c>
      <c r="G139" s="228">
        <v>7.55</v>
      </c>
      <c r="H139" s="229">
        <v>7.4000000000000003E-3</v>
      </c>
      <c r="I139" s="231">
        <v>1019.3</v>
      </c>
      <c r="J139" s="231">
        <v>1009.95</v>
      </c>
      <c r="K139" s="228">
        <v>9.35</v>
      </c>
      <c r="L139" s="229">
        <v>9.2999999999999992E-3</v>
      </c>
      <c r="M139" s="231">
        <v>1021.6</v>
      </c>
      <c r="N139" s="231">
        <v>1014.05</v>
      </c>
      <c r="O139" s="228">
        <v>7.55</v>
      </c>
      <c r="P139" s="229">
        <v>7.4000000000000003E-3</v>
      </c>
      <c r="Q139" s="231">
        <v>1006.8</v>
      </c>
      <c r="R139" s="228">
        <v>995.6</v>
      </c>
      <c r="S139" s="228">
        <v>11.2</v>
      </c>
      <c r="T139" s="229">
        <v>1.12E-2</v>
      </c>
      <c r="U139" s="228">
        <v>995</v>
      </c>
      <c r="V139" s="228">
        <v>995</v>
      </c>
      <c r="W139" s="228">
        <v>0</v>
      </c>
      <c r="X139" s="229">
        <v>0</v>
      </c>
      <c r="Y139" s="228">
        <v>2.2999999999999998</v>
      </c>
      <c r="Z139" s="228">
        <v>4.0999999999999996</v>
      </c>
      <c r="AA139" s="228">
        <v>-1.8</v>
      </c>
      <c r="AB139" s="229">
        <v>2.3E-3</v>
      </c>
      <c r="AC139" s="228">
        <v>2.2999999999999998</v>
      </c>
      <c r="AD139" s="228">
        <v>4.0999999999999996</v>
      </c>
      <c r="AE139" s="228">
        <v>-1.8</v>
      </c>
      <c r="AF139" s="229">
        <v>2.3E-3</v>
      </c>
      <c r="AG139" s="228">
        <v>-12.5</v>
      </c>
      <c r="AH139" s="228">
        <v>-14.35</v>
      </c>
      <c r="AI139" s="228">
        <v>1.85</v>
      </c>
      <c r="AJ139" s="229">
        <v>-1.23E-2</v>
      </c>
      <c r="AK139" s="228">
        <v>-24.3</v>
      </c>
      <c r="AL139" s="228">
        <v>-14.95</v>
      </c>
      <c r="AM139" s="228">
        <v>-9.35</v>
      </c>
      <c r="AN139" s="229">
        <v>-2.3800000000000002E-2</v>
      </c>
      <c r="AO139" s="231">
        <v>1026.04</v>
      </c>
      <c r="AP139" s="231">
        <v>1008.24</v>
      </c>
      <c r="AQ139" s="228">
        <v>0</v>
      </c>
      <c r="AR139" s="230">
        <v>646250</v>
      </c>
      <c r="AS139" s="230">
        <v>872500</v>
      </c>
      <c r="AT139" s="230">
        <v>-226250</v>
      </c>
      <c r="AU139" s="229">
        <v>-0.25929999999999997</v>
      </c>
      <c r="AV139" s="230">
        <v>629375</v>
      </c>
      <c r="AW139" s="230">
        <v>856250</v>
      </c>
      <c r="AX139" s="230">
        <v>-226875</v>
      </c>
      <c r="AY139" s="229">
        <v>-0.26500000000000001</v>
      </c>
      <c r="AZ139" s="230">
        <v>16875</v>
      </c>
      <c r="BA139" s="230">
        <v>15625</v>
      </c>
      <c r="BB139" s="230">
        <v>1250</v>
      </c>
      <c r="BC139" s="229">
        <v>0.08</v>
      </c>
      <c r="BD139" s="228">
        <v>0</v>
      </c>
      <c r="BE139" s="228">
        <v>625</v>
      </c>
      <c r="BF139" s="228">
        <v>-625</v>
      </c>
      <c r="BG139" s="229">
        <v>-1</v>
      </c>
      <c r="BH139" s="230">
        <v>844375</v>
      </c>
      <c r="BI139" s="230">
        <v>1746875</v>
      </c>
      <c r="BJ139" s="230">
        <v>-902500</v>
      </c>
      <c r="BK139" s="229">
        <v>-0.51659999999999995</v>
      </c>
      <c r="BL139" s="230">
        <v>201875</v>
      </c>
      <c r="BM139" s="230">
        <v>723125</v>
      </c>
      <c r="BN139" s="230">
        <v>-521250</v>
      </c>
      <c r="BO139" s="229">
        <v>-0.7208</v>
      </c>
      <c r="BP139" s="230">
        <v>1692500</v>
      </c>
      <c r="BQ139" s="230">
        <v>3342500</v>
      </c>
      <c r="BR139" s="230">
        <v>-1650000</v>
      </c>
      <c r="BS139" s="229">
        <v>-0.49359999999999998</v>
      </c>
      <c r="BT139" s="230">
        <v>887839</v>
      </c>
      <c r="BU139" s="230">
        <v>2028794</v>
      </c>
      <c r="BV139" s="230">
        <v>-1140955</v>
      </c>
      <c r="BW139" s="229">
        <v>-0.56240000000000001</v>
      </c>
      <c r="BX139" s="230">
        <v>3342500</v>
      </c>
      <c r="BY139" s="230">
        <v>3470000</v>
      </c>
      <c r="BZ139" s="230">
        <v>-127500</v>
      </c>
      <c r="CA139" s="229">
        <v>-3.6700000000000003E-2</v>
      </c>
      <c r="CB139" s="230">
        <v>3294375</v>
      </c>
      <c r="CC139" s="230">
        <v>3421875</v>
      </c>
      <c r="CD139" s="230">
        <v>-127500</v>
      </c>
      <c r="CE139" s="229">
        <v>-3.73E-2</v>
      </c>
      <c r="CF139" s="230">
        <v>46875</v>
      </c>
      <c r="CG139" s="230">
        <v>46875</v>
      </c>
      <c r="CH139" s="228">
        <v>0</v>
      </c>
      <c r="CI139" s="229">
        <v>0</v>
      </c>
      <c r="CJ139" s="230">
        <v>1250</v>
      </c>
      <c r="CK139" s="230">
        <v>1250</v>
      </c>
      <c r="CL139" s="228">
        <v>0</v>
      </c>
      <c r="CM139" s="229">
        <v>0</v>
      </c>
      <c r="CN139" s="230">
        <v>1216250</v>
      </c>
      <c r="CO139" s="230">
        <v>990625</v>
      </c>
      <c r="CP139" s="230">
        <v>225625</v>
      </c>
      <c r="CQ139" s="229">
        <v>0.2278</v>
      </c>
      <c r="CR139" s="230">
        <v>550625</v>
      </c>
      <c r="CS139" s="230">
        <v>540000</v>
      </c>
      <c r="CT139" s="230">
        <v>10625</v>
      </c>
      <c r="CU139" s="229">
        <v>1.9699999999999999E-2</v>
      </c>
      <c r="CV139" s="230">
        <v>5109375</v>
      </c>
      <c r="CW139" s="230">
        <v>5000625</v>
      </c>
      <c r="CX139" s="230">
        <v>108750</v>
      </c>
      <c r="CY139" s="229">
        <v>2.1700000000000001E-2</v>
      </c>
      <c r="CZ139" s="228">
        <v>42.06</v>
      </c>
      <c r="DA139" s="228">
        <v>42.75</v>
      </c>
      <c r="DB139" s="228">
        <v>-0.69</v>
      </c>
      <c r="DC139" s="228">
        <v>-0.69</v>
      </c>
      <c r="DD139" s="228">
        <v>50.17</v>
      </c>
      <c r="DE139" s="228">
        <v>50.28</v>
      </c>
      <c r="DF139" s="228">
        <v>-8.11</v>
      </c>
      <c r="DG139" s="228">
        <v>-0.11</v>
      </c>
      <c r="DH139" s="228">
        <v>41.81</v>
      </c>
      <c r="DI139" s="228">
        <v>42.49</v>
      </c>
      <c r="DJ139" s="228">
        <v>-0.68</v>
      </c>
      <c r="DK139" s="228">
        <v>-0.68</v>
      </c>
      <c r="DL139" s="228">
        <v>43.1</v>
      </c>
      <c r="DM139" s="228">
        <v>43.36</v>
      </c>
      <c r="DN139" s="228">
        <v>-0.26</v>
      </c>
      <c r="DO139" s="228">
        <v>-0.26</v>
      </c>
      <c r="DP139" s="228">
        <v>0.45</v>
      </c>
      <c r="DQ139" s="228">
        <v>0.55000000000000004</v>
      </c>
      <c r="DR139" s="228">
        <v>-0.1</v>
      </c>
      <c r="DS139" s="229">
        <v>-0.18179999999999999</v>
      </c>
      <c r="DT139" s="231">
        <v>1200</v>
      </c>
      <c r="DU139" s="228">
        <v>900</v>
      </c>
      <c r="DV139" s="228">
        <v>0.24</v>
      </c>
      <c r="DW139" s="228">
        <v>0.41</v>
      </c>
      <c r="DX139" s="228">
        <v>-0.17</v>
      </c>
      <c r="DY139" s="229">
        <v>-0.41460000000000002</v>
      </c>
      <c r="DZ139" s="229">
        <v>1.44E-2</v>
      </c>
      <c r="EA139" s="230">
        <v>48125</v>
      </c>
      <c r="EB139" s="229">
        <v>-1.4500000000000001E-2</v>
      </c>
      <c r="EC139" s="229">
        <v>1.44E-2</v>
      </c>
      <c r="ED139" s="228">
        <v>-17.8</v>
      </c>
      <c r="EE139" s="229">
        <v>-1.7299999999999999E-2</v>
      </c>
      <c r="EF139" s="230">
        <v>359121</v>
      </c>
      <c r="EG139" s="230">
        <v>1076138</v>
      </c>
      <c r="EH139" s="229">
        <v>-0.6663</v>
      </c>
      <c r="EI139" s="229">
        <v>0.40450000000000003</v>
      </c>
      <c r="EJ139" s="231">
        <v>9556.49</v>
      </c>
      <c r="EK139" s="231">
        <v>1957.89</v>
      </c>
      <c r="EL139" s="231">
        <v>6627.77</v>
      </c>
      <c r="EM139" s="231">
        <v>3578</v>
      </c>
      <c r="EN139" s="231">
        <v>18142.150000000001</v>
      </c>
      <c r="EO139" s="231">
        <v>35490.870000000003</v>
      </c>
      <c r="EP139" s="231">
        <v>-17348.72</v>
      </c>
      <c r="EQ139" s="229">
        <v>-0.48880000000000001</v>
      </c>
      <c r="ER139" s="231">
        <v>13441</v>
      </c>
      <c r="ES139" s="231">
        <v>5274</v>
      </c>
      <c r="ET139" s="231">
        <v>34140</v>
      </c>
      <c r="EU139" s="231">
        <v>26709548</v>
      </c>
      <c r="EV139" s="231">
        <v>52855</v>
      </c>
      <c r="EW139" s="231">
        <v>51177</v>
      </c>
      <c r="EX139" s="231">
        <v>1678</v>
      </c>
      <c r="EY139" s="229">
        <v>3.2800000000000003E-2</v>
      </c>
      <c r="EZ139" s="229">
        <v>0.1913</v>
      </c>
      <c r="FA139" s="227" t="s">
        <v>691</v>
      </c>
      <c r="FB139" s="161">
        <f>BX139-CB139</f>
        <v>48125</v>
      </c>
    </row>
    <row r="140" spans="1:158" ht="17.25" thickBot="1" x14ac:dyDescent="0.3">
      <c r="A140" s="226">
        <v>46146</v>
      </c>
      <c r="B140" s="227" t="s">
        <v>227</v>
      </c>
      <c r="C140" s="227" t="s">
        <v>263</v>
      </c>
      <c r="D140" s="228">
        <v>1875</v>
      </c>
      <c r="E140" s="228">
        <v>408.85</v>
      </c>
      <c r="F140" s="228">
        <v>398.45</v>
      </c>
      <c r="G140" s="228">
        <v>10.4</v>
      </c>
      <c r="H140" s="229">
        <v>2.6100000000000002E-2</v>
      </c>
      <c r="I140" s="228">
        <v>407.8</v>
      </c>
      <c r="J140" s="228">
        <v>399.3</v>
      </c>
      <c r="K140" s="228">
        <v>8.5</v>
      </c>
      <c r="L140" s="229">
        <v>2.1299999999999999E-2</v>
      </c>
      <c r="M140" s="228">
        <v>408.85</v>
      </c>
      <c r="N140" s="228">
        <v>398.45</v>
      </c>
      <c r="O140" s="228">
        <v>10.4</v>
      </c>
      <c r="P140" s="229">
        <v>2.6100000000000002E-2</v>
      </c>
      <c r="Q140" s="228">
        <v>410.9</v>
      </c>
      <c r="R140" s="228">
        <v>400.75</v>
      </c>
      <c r="S140" s="228">
        <v>10.15</v>
      </c>
      <c r="T140" s="229">
        <v>2.53E-2</v>
      </c>
      <c r="U140" s="228">
        <v>411.75</v>
      </c>
      <c r="V140" s="228">
        <v>401.65</v>
      </c>
      <c r="W140" s="228">
        <v>10.1</v>
      </c>
      <c r="X140" s="229">
        <v>2.5100000000000001E-2</v>
      </c>
      <c r="Y140" s="228">
        <v>1.05</v>
      </c>
      <c r="Z140" s="228">
        <v>-0.85</v>
      </c>
      <c r="AA140" s="228">
        <v>1.9</v>
      </c>
      <c r="AB140" s="229">
        <v>2.5999999999999999E-3</v>
      </c>
      <c r="AC140" s="228">
        <v>1.05</v>
      </c>
      <c r="AD140" s="228">
        <v>-0.85</v>
      </c>
      <c r="AE140" s="228">
        <v>1.9</v>
      </c>
      <c r="AF140" s="229">
        <v>2.5999999999999999E-3</v>
      </c>
      <c r="AG140" s="228">
        <v>3.1</v>
      </c>
      <c r="AH140" s="228">
        <v>1.45</v>
      </c>
      <c r="AI140" s="228">
        <v>1.65</v>
      </c>
      <c r="AJ140" s="229">
        <v>7.6E-3</v>
      </c>
      <c r="AK140" s="228">
        <v>3.95</v>
      </c>
      <c r="AL140" s="228">
        <v>2.35</v>
      </c>
      <c r="AM140" s="228">
        <v>1.6</v>
      </c>
      <c r="AN140" s="229">
        <v>9.7000000000000003E-3</v>
      </c>
      <c r="AO140" s="228">
        <v>404.25</v>
      </c>
      <c r="AP140" s="228">
        <v>403.47</v>
      </c>
      <c r="AQ140" s="228">
        <v>0</v>
      </c>
      <c r="AR140" s="230">
        <v>21896250</v>
      </c>
      <c r="AS140" s="230">
        <v>30435000</v>
      </c>
      <c r="AT140" s="230">
        <v>-8538750</v>
      </c>
      <c r="AU140" s="229">
        <v>-0.28060000000000002</v>
      </c>
      <c r="AV140" s="230">
        <v>21275625</v>
      </c>
      <c r="AW140" s="230">
        <v>29120625</v>
      </c>
      <c r="AX140" s="230">
        <v>-7845000</v>
      </c>
      <c r="AY140" s="229">
        <v>-0.26939999999999997</v>
      </c>
      <c r="AZ140" s="230">
        <v>532500</v>
      </c>
      <c r="BA140" s="230">
        <v>1170000</v>
      </c>
      <c r="BB140" s="230">
        <v>-637500</v>
      </c>
      <c r="BC140" s="229">
        <v>-0.54490000000000005</v>
      </c>
      <c r="BD140" s="230">
        <v>88125</v>
      </c>
      <c r="BE140" s="230">
        <v>144375</v>
      </c>
      <c r="BF140" s="230">
        <v>-56250</v>
      </c>
      <c r="BG140" s="229">
        <v>-0.3896</v>
      </c>
      <c r="BH140" s="230">
        <v>53182500</v>
      </c>
      <c r="BI140" s="230">
        <v>53885625</v>
      </c>
      <c r="BJ140" s="230">
        <v>-703125</v>
      </c>
      <c r="BK140" s="229">
        <v>-1.2999999999999999E-2</v>
      </c>
      <c r="BL140" s="230">
        <v>23960625</v>
      </c>
      <c r="BM140" s="230">
        <v>40556250</v>
      </c>
      <c r="BN140" s="230">
        <v>-16595625</v>
      </c>
      <c r="BO140" s="229">
        <v>-0.40920000000000001</v>
      </c>
      <c r="BP140" s="230">
        <v>99039375</v>
      </c>
      <c r="BQ140" s="230">
        <v>124876875</v>
      </c>
      <c r="BR140" s="230">
        <v>-25837500</v>
      </c>
      <c r="BS140" s="229">
        <v>-0.2069</v>
      </c>
      <c r="BT140" s="230">
        <v>15397935</v>
      </c>
      <c r="BU140" s="230">
        <v>18094680</v>
      </c>
      <c r="BV140" s="230">
        <v>-2696745</v>
      </c>
      <c r="BW140" s="229">
        <v>-0.14899999999999999</v>
      </c>
      <c r="BX140" s="230">
        <v>51298125</v>
      </c>
      <c r="BY140" s="230">
        <v>50188125</v>
      </c>
      <c r="BZ140" s="230">
        <v>1110000</v>
      </c>
      <c r="CA140" s="229">
        <v>2.2100000000000002E-2</v>
      </c>
      <c r="CB140" s="230">
        <v>50071875</v>
      </c>
      <c r="CC140" s="230">
        <v>49016250</v>
      </c>
      <c r="CD140" s="230">
        <v>1055625</v>
      </c>
      <c r="CE140" s="229">
        <v>2.1499999999999998E-2</v>
      </c>
      <c r="CF140" s="230">
        <v>1104375</v>
      </c>
      <c r="CG140" s="230">
        <v>1057500</v>
      </c>
      <c r="CH140" s="230">
        <v>46875</v>
      </c>
      <c r="CI140" s="229">
        <v>4.4299999999999999E-2</v>
      </c>
      <c r="CJ140" s="230">
        <v>121875</v>
      </c>
      <c r="CK140" s="230">
        <v>114375</v>
      </c>
      <c r="CL140" s="230">
        <v>7500</v>
      </c>
      <c r="CM140" s="229">
        <v>6.5600000000000006E-2</v>
      </c>
      <c r="CN140" s="230">
        <v>28505625</v>
      </c>
      <c r="CO140" s="230">
        <v>26113125</v>
      </c>
      <c r="CP140" s="230">
        <v>2392500</v>
      </c>
      <c r="CQ140" s="229">
        <v>9.1600000000000001E-2</v>
      </c>
      <c r="CR140" s="230">
        <v>15856875</v>
      </c>
      <c r="CS140" s="230">
        <v>15063750</v>
      </c>
      <c r="CT140" s="230">
        <v>793125</v>
      </c>
      <c r="CU140" s="229">
        <v>5.2699999999999997E-2</v>
      </c>
      <c r="CV140" s="230">
        <v>95660625</v>
      </c>
      <c r="CW140" s="230">
        <v>91365000</v>
      </c>
      <c r="CX140" s="230">
        <v>4295625</v>
      </c>
      <c r="CY140" s="229">
        <v>4.7E-2</v>
      </c>
      <c r="CZ140" s="228">
        <v>39.06</v>
      </c>
      <c r="DA140" s="228">
        <v>41.63</v>
      </c>
      <c r="DB140" s="228">
        <v>-2.57</v>
      </c>
      <c r="DC140" s="228">
        <v>-2.57</v>
      </c>
      <c r="DD140" s="228">
        <v>52.06</v>
      </c>
      <c r="DE140" s="228">
        <v>52.11</v>
      </c>
      <c r="DF140" s="228">
        <v>-13</v>
      </c>
      <c r="DG140" s="228">
        <v>-0.05</v>
      </c>
      <c r="DH140" s="228">
        <v>38.869999999999997</v>
      </c>
      <c r="DI140" s="228">
        <v>42.02</v>
      </c>
      <c r="DJ140" s="228">
        <v>-3.15</v>
      </c>
      <c r="DK140" s="228">
        <v>-3.15</v>
      </c>
      <c r="DL140" s="228">
        <v>39.479999999999997</v>
      </c>
      <c r="DM140" s="228">
        <v>41.11</v>
      </c>
      <c r="DN140" s="228">
        <v>-1.63</v>
      </c>
      <c r="DO140" s="228">
        <v>-1.63</v>
      </c>
      <c r="DP140" s="228">
        <v>0.56000000000000005</v>
      </c>
      <c r="DQ140" s="228">
        <v>0.57999999999999996</v>
      </c>
      <c r="DR140" s="228">
        <v>-0.02</v>
      </c>
      <c r="DS140" s="229">
        <v>-3.4500000000000003E-2</v>
      </c>
      <c r="DT140" s="228">
        <v>450</v>
      </c>
      <c r="DU140" s="228">
        <v>400</v>
      </c>
      <c r="DV140" s="228">
        <v>0.45</v>
      </c>
      <c r="DW140" s="228">
        <v>0.75</v>
      </c>
      <c r="DX140" s="228">
        <v>-0.3</v>
      </c>
      <c r="DY140" s="229">
        <v>-0.4</v>
      </c>
      <c r="DZ140" s="229">
        <v>2.3900000000000001E-2</v>
      </c>
      <c r="EA140" s="230">
        <v>1171875</v>
      </c>
      <c r="EB140" s="229">
        <v>5.0000000000000001E-3</v>
      </c>
      <c r="EC140" s="229">
        <v>2.3900000000000001E-2</v>
      </c>
      <c r="ED140" s="228">
        <v>-0.78</v>
      </c>
      <c r="EE140" s="229">
        <v>-1.9E-3</v>
      </c>
      <c r="EF140" s="230">
        <v>6440549</v>
      </c>
      <c r="EG140" s="230">
        <v>6580459</v>
      </c>
      <c r="EH140" s="229">
        <v>-2.1299999999999999E-2</v>
      </c>
      <c r="EI140" s="229">
        <v>0.41830000000000001</v>
      </c>
      <c r="EJ140" s="231">
        <v>232431.35</v>
      </c>
      <c r="EK140" s="231">
        <v>95775.19</v>
      </c>
      <c r="EL140" s="231">
        <v>88515.14</v>
      </c>
      <c r="EM140" s="231">
        <v>10748</v>
      </c>
      <c r="EN140" s="231">
        <v>416721.68</v>
      </c>
      <c r="EO140" s="231">
        <v>535739.55000000005</v>
      </c>
      <c r="EP140" s="231">
        <v>-119017.87</v>
      </c>
      <c r="EQ140" s="229">
        <v>-0.22220000000000001</v>
      </c>
      <c r="ER140" s="231">
        <v>127019</v>
      </c>
      <c r="ES140" s="231">
        <v>64206</v>
      </c>
      <c r="ET140" s="231">
        <v>209759</v>
      </c>
      <c r="EU140" s="231">
        <v>134225816</v>
      </c>
      <c r="EV140" s="231">
        <v>400983</v>
      </c>
      <c r="EW140" s="231">
        <v>378273</v>
      </c>
      <c r="EX140" s="231">
        <v>22710</v>
      </c>
      <c r="EY140" s="229">
        <v>0.06</v>
      </c>
      <c r="EZ140" s="229">
        <v>0.7127</v>
      </c>
      <c r="FA140" s="227" t="s">
        <v>555</v>
      </c>
      <c r="FB140" s="161">
        <f>BX140-CB140</f>
        <v>1226250</v>
      </c>
    </row>
    <row r="141" spans="1:158" ht="17.25" thickBot="1" x14ac:dyDescent="0.3">
      <c r="A141" s="226">
        <v>46146</v>
      </c>
      <c r="B141" s="227" t="s">
        <v>614</v>
      </c>
      <c r="C141" s="227" t="s">
        <v>264</v>
      </c>
      <c r="D141" s="228">
        <v>375</v>
      </c>
      <c r="E141" s="228">
        <v>982.25</v>
      </c>
      <c r="F141" s="228">
        <v>978.2</v>
      </c>
      <c r="G141" s="228">
        <v>4.05</v>
      </c>
      <c r="H141" s="229">
        <v>4.1000000000000003E-3</v>
      </c>
      <c r="I141" s="228">
        <v>976.65</v>
      </c>
      <c r="J141" s="228">
        <v>972.85</v>
      </c>
      <c r="K141" s="228">
        <v>3.8</v>
      </c>
      <c r="L141" s="229">
        <v>3.8999999999999998E-3</v>
      </c>
      <c r="M141" s="228">
        <v>982.25</v>
      </c>
      <c r="N141" s="228">
        <v>978.2</v>
      </c>
      <c r="O141" s="228">
        <v>4.05</v>
      </c>
      <c r="P141" s="229">
        <v>4.1000000000000003E-3</v>
      </c>
      <c r="Q141" s="228">
        <v>987.15</v>
      </c>
      <c r="R141" s="228">
        <v>981.3</v>
      </c>
      <c r="S141" s="228">
        <v>5.85</v>
      </c>
      <c r="T141" s="229">
        <v>6.0000000000000001E-3</v>
      </c>
      <c r="U141" s="228">
        <v>993</v>
      </c>
      <c r="V141" s="228">
        <v>982</v>
      </c>
      <c r="W141" s="228">
        <v>11</v>
      </c>
      <c r="X141" s="229">
        <v>1.12E-2</v>
      </c>
      <c r="Y141" s="228">
        <v>5.6</v>
      </c>
      <c r="Z141" s="228">
        <v>5.35</v>
      </c>
      <c r="AA141" s="228">
        <v>0.25</v>
      </c>
      <c r="AB141" s="229">
        <v>5.7000000000000002E-3</v>
      </c>
      <c r="AC141" s="228">
        <v>5.6</v>
      </c>
      <c r="AD141" s="228">
        <v>5.35</v>
      </c>
      <c r="AE141" s="228">
        <v>0.25</v>
      </c>
      <c r="AF141" s="229">
        <v>5.7000000000000002E-3</v>
      </c>
      <c r="AG141" s="228">
        <v>10.5</v>
      </c>
      <c r="AH141" s="228">
        <v>8.4499999999999993</v>
      </c>
      <c r="AI141" s="228">
        <v>2.0499999999999998</v>
      </c>
      <c r="AJ141" s="229">
        <v>1.0800000000000001E-2</v>
      </c>
      <c r="AK141" s="228">
        <v>16.350000000000001</v>
      </c>
      <c r="AL141" s="228">
        <v>9.15</v>
      </c>
      <c r="AM141" s="228">
        <v>7.2</v>
      </c>
      <c r="AN141" s="229">
        <v>1.67E-2</v>
      </c>
      <c r="AO141" s="228">
        <v>985.79</v>
      </c>
      <c r="AP141" s="228">
        <v>988.97</v>
      </c>
      <c r="AQ141" s="228">
        <v>0</v>
      </c>
      <c r="AR141" s="230">
        <v>997500</v>
      </c>
      <c r="AS141" s="230">
        <v>1481250</v>
      </c>
      <c r="AT141" s="230">
        <v>-483750</v>
      </c>
      <c r="AU141" s="229">
        <v>-0.3266</v>
      </c>
      <c r="AV141" s="230">
        <v>980250</v>
      </c>
      <c r="AW141" s="230">
        <v>1445250</v>
      </c>
      <c r="AX141" s="230">
        <v>-465000</v>
      </c>
      <c r="AY141" s="229">
        <v>-0.32169999999999999</v>
      </c>
      <c r="AZ141" s="230">
        <v>16500</v>
      </c>
      <c r="BA141" s="230">
        <v>35250</v>
      </c>
      <c r="BB141" s="230">
        <v>-18750</v>
      </c>
      <c r="BC141" s="229">
        <v>-0.53190000000000004</v>
      </c>
      <c r="BD141" s="228">
        <v>750</v>
      </c>
      <c r="BE141" s="228">
        <v>750</v>
      </c>
      <c r="BF141" s="228">
        <v>0</v>
      </c>
      <c r="BG141" s="229">
        <v>0</v>
      </c>
      <c r="BH141" s="230">
        <v>1220625</v>
      </c>
      <c r="BI141" s="230">
        <v>1680000</v>
      </c>
      <c r="BJ141" s="230">
        <v>-459375</v>
      </c>
      <c r="BK141" s="229">
        <v>-0.27339999999999998</v>
      </c>
      <c r="BL141" s="230">
        <v>302250</v>
      </c>
      <c r="BM141" s="230">
        <v>897750</v>
      </c>
      <c r="BN141" s="230">
        <v>-595500</v>
      </c>
      <c r="BO141" s="229">
        <v>-0.6633</v>
      </c>
      <c r="BP141" s="230">
        <v>2520375</v>
      </c>
      <c r="BQ141" s="230">
        <v>4059000</v>
      </c>
      <c r="BR141" s="230">
        <v>-1538625</v>
      </c>
      <c r="BS141" s="229">
        <v>-0.37909999999999999</v>
      </c>
      <c r="BT141" s="230">
        <v>751537</v>
      </c>
      <c r="BU141" s="230">
        <v>1471221</v>
      </c>
      <c r="BV141" s="230">
        <v>-719684</v>
      </c>
      <c r="BW141" s="229">
        <v>-0.48920000000000002</v>
      </c>
      <c r="BX141" s="230">
        <v>10358825</v>
      </c>
      <c r="BY141" s="230">
        <v>10304075</v>
      </c>
      <c r="BZ141" s="230">
        <v>54750</v>
      </c>
      <c r="CA141" s="229">
        <v>5.3E-3</v>
      </c>
      <c r="CB141" s="230">
        <v>10234500</v>
      </c>
      <c r="CC141" s="230">
        <v>10181250</v>
      </c>
      <c r="CD141" s="230">
        <v>53250</v>
      </c>
      <c r="CE141" s="229">
        <v>5.1999999999999998E-3</v>
      </c>
      <c r="CF141" s="230">
        <v>116625</v>
      </c>
      <c r="CG141" s="230">
        <v>115125</v>
      </c>
      <c r="CH141" s="230">
        <v>1500</v>
      </c>
      <c r="CI141" s="229">
        <v>1.2999999999999999E-2</v>
      </c>
      <c r="CJ141" s="230">
        <v>7700</v>
      </c>
      <c r="CK141" s="230">
        <v>7700</v>
      </c>
      <c r="CL141" s="228">
        <v>0</v>
      </c>
      <c r="CM141" s="229">
        <v>0</v>
      </c>
      <c r="CN141" s="230">
        <v>2186625</v>
      </c>
      <c r="CO141" s="230">
        <v>2109750</v>
      </c>
      <c r="CP141" s="230">
        <v>76875</v>
      </c>
      <c r="CQ141" s="229">
        <v>3.6400000000000002E-2</v>
      </c>
      <c r="CR141" s="230">
        <v>957000</v>
      </c>
      <c r="CS141" s="230">
        <v>978375</v>
      </c>
      <c r="CT141" s="230">
        <v>-21375</v>
      </c>
      <c r="CU141" s="229">
        <v>-2.18E-2</v>
      </c>
      <c r="CV141" s="230">
        <v>13502450</v>
      </c>
      <c r="CW141" s="230">
        <v>13392200</v>
      </c>
      <c r="CX141" s="230">
        <v>110250</v>
      </c>
      <c r="CY141" s="229">
        <v>8.2000000000000007E-3</v>
      </c>
      <c r="CZ141" s="228">
        <v>35.549999999999997</v>
      </c>
      <c r="DA141" s="228">
        <v>35.619999999999997</v>
      </c>
      <c r="DB141" s="228">
        <v>-7.0000000000000007E-2</v>
      </c>
      <c r="DC141" s="228">
        <v>-7.0000000000000007E-2</v>
      </c>
      <c r="DD141" s="228">
        <v>36.6</v>
      </c>
      <c r="DE141" s="228">
        <v>36.69</v>
      </c>
      <c r="DF141" s="228">
        <v>-1.05</v>
      </c>
      <c r="DG141" s="228">
        <v>-0.09</v>
      </c>
      <c r="DH141" s="228">
        <v>35.29</v>
      </c>
      <c r="DI141" s="228">
        <v>35.270000000000003</v>
      </c>
      <c r="DJ141" s="228">
        <v>0.02</v>
      </c>
      <c r="DK141" s="228">
        <v>0.02</v>
      </c>
      <c r="DL141" s="228">
        <v>36.619999999999997</v>
      </c>
      <c r="DM141" s="228">
        <v>36.26</v>
      </c>
      <c r="DN141" s="228">
        <v>0.36</v>
      </c>
      <c r="DO141" s="228">
        <v>0.36</v>
      </c>
      <c r="DP141" s="228">
        <v>0.44</v>
      </c>
      <c r="DQ141" s="228">
        <v>0.46</v>
      </c>
      <c r="DR141" s="228">
        <v>-0.02</v>
      </c>
      <c r="DS141" s="229">
        <v>-4.3499999999999997E-2</v>
      </c>
      <c r="DT141" s="231">
        <v>1000</v>
      </c>
      <c r="DU141" s="228">
        <v>900</v>
      </c>
      <c r="DV141" s="228">
        <v>0.25</v>
      </c>
      <c r="DW141" s="228">
        <v>0.53</v>
      </c>
      <c r="DX141" s="228">
        <v>-0.28000000000000003</v>
      </c>
      <c r="DY141" s="229">
        <v>-0.52829999999999999</v>
      </c>
      <c r="DZ141" s="229">
        <v>1.2E-2</v>
      </c>
      <c r="EA141" s="230">
        <v>122825</v>
      </c>
      <c r="EB141" s="229">
        <v>5.0000000000000001E-3</v>
      </c>
      <c r="EC141" s="229">
        <v>1.2E-2</v>
      </c>
      <c r="ED141" s="228">
        <v>3.18</v>
      </c>
      <c r="EE141" s="229">
        <v>3.2000000000000002E-3</v>
      </c>
      <c r="EF141" s="230">
        <v>340564</v>
      </c>
      <c r="EG141" s="230">
        <v>942617</v>
      </c>
      <c r="EH141" s="229">
        <v>-0.63870000000000005</v>
      </c>
      <c r="EI141" s="229">
        <v>0.45319999999999999</v>
      </c>
      <c r="EJ141" s="231">
        <v>12988.85</v>
      </c>
      <c r="EK141" s="231">
        <v>2949.63</v>
      </c>
      <c r="EL141" s="231">
        <v>9837.2999999999993</v>
      </c>
      <c r="EM141" s="231">
        <v>8043</v>
      </c>
      <c r="EN141" s="231">
        <v>25775.78</v>
      </c>
      <c r="EO141" s="231">
        <v>40860.93</v>
      </c>
      <c r="EP141" s="231">
        <v>-15085.15</v>
      </c>
      <c r="EQ141" s="229">
        <v>-0.36919999999999997</v>
      </c>
      <c r="ER141" s="231">
        <v>22962</v>
      </c>
      <c r="ES141" s="231">
        <v>9261</v>
      </c>
      <c r="ET141" s="231">
        <v>101756</v>
      </c>
      <c r="EU141" s="231">
        <v>60562281</v>
      </c>
      <c r="EV141" s="231">
        <v>133979</v>
      </c>
      <c r="EW141" s="231">
        <v>132405</v>
      </c>
      <c r="EX141" s="231">
        <v>1574</v>
      </c>
      <c r="EY141" s="229">
        <v>1.1900000000000001E-2</v>
      </c>
      <c r="EZ141" s="229">
        <v>0.223</v>
      </c>
      <c r="FA141" s="227" t="s">
        <v>555</v>
      </c>
      <c r="FB141" s="161">
        <f>BX216-CB216</f>
        <v>262800</v>
      </c>
    </row>
    <row r="142" spans="1:158" ht="17.25" thickBot="1" x14ac:dyDescent="0.3">
      <c r="A142" s="226">
        <v>46146</v>
      </c>
      <c r="B142" s="227" t="s">
        <v>206</v>
      </c>
      <c r="C142" s="227" t="s">
        <v>550</v>
      </c>
      <c r="D142" s="228">
        <v>6500</v>
      </c>
      <c r="E142" s="228">
        <v>93.17</v>
      </c>
      <c r="F142" s="228">
        <v>92.22</v>
      </c>
      <c r="G142" s="228">
        <v>0.95</v>
      </c>
      <c r="H142" s="229">
        <v>1.03E-2</v>
      </c>
      <c r="I142" s="228">
        <v>92.52</v>
      </c>
      <c r="J142" s="228">
        <v>91.65</v>
      </c>
      <c r="K142" s="228">
        <v>0.87</v>
      </c>
      <c r="L142" s="229">
        <v>9.4999999999999998E-3</v>
      </c>
      <c r="M142" s="228">
        <v>93.17</v>
      </c>
      <c r="N142" s="228">
        <v>92.22</v>
      </c>
      <c r="O142" s="228">
        <v>0.95</v>
      </c>
      <c r="P142" s="229">
        <v>1.03E-2</v>
      </c>
      <c r="Q142" s="228">
        <v>93.88</v>
      </c>
      <c r="R142" s="228">
        <v>92.76</v>
      </c>
      <c r="S142" s="228">
        <v>1.1200000000000001</v>
      </c>
      <c r="T142" s="229">
        <v>1.21E-2</v>
      </c>
      <c r="U142" s="228">
        <v>95</v>
      </c>
      <c r="V142" s="228">
        <v>93.6</v>
      </c>
      <c r="W142" s="228">
        <v>1.4</v>
      </c>
      <c r="X142" s="229">
        <v>1.4999999999999999E-2</v>
      </c>
      <c r="Y142" s="228">
        <v>0.65</v>
      </c>
      <c r="Z142" s="228">
        <v>0.56999999999999995</v>
      </c>
      <c r="AA142" s="228">
        <v>0.08</v>
      </c>
      <c r="AB142" s="229">
        <v>7.0000000000000001E-3</v>
      </c>
      <c r="AC142" s="228">
        <v>0.65</v>
      </c>
      <c r="AD142" s="228">
        <v>0.56999999999999995</v>
      </c>
      <c r="AE142" s="228">
        <v>0.08</v>
      </c>
      <c r="AF142" s="229">
        <v>7.0000000000000001E-3</v>
      </c>
      <c r="AG142" s="228">
        <v>1.36</v>
      </c>
      <c r="AH142" s="228">
        <v>1.1100000000000001</v>
      </c>
      <c r="AI142" s="228">
        <v>0.25</v>
      </c>
      <c r="AJ142" s="229">
        <v>1.47E-2</v>
      </c>
      <c r="AK142" s="228">
        <v>2.48</v>
      </c>
      <c r="AL142" s="228">
        <v>1.95</v>
      </c>
      <c r="AM142" s="228">
        <v>0.53</v>
      </c>
      <c r="AN142" s="229">
        <v>2.6800000000000001E-2</v>
      </c>
      <c r="AO142" s="228">
        <v>93.26</v>
      </c>
      <c r="AP142" s="228">
        <v>93.59</v>
      </c>
      <c r="AQ142" s="228">
        <v>0</v>
      </c>
      <c r="AR142" s="230">
        <v>6233500</v>
      </c>
      <c r="AS142" s="230">
        <v>9392500</v>
      </c>
      <c r="AT142" s="230">
        <v>-3159000</v>
      </c>
      <c r="AU142" s="229">
        <v>-0.33629999999999999</v>
      </c>
      <c r="AV142" s="230">
        <v>5967000</v>
      </c>
      <c r="AW142" s="230">
        <v>8879000</v>
      </c>
      <c r="AX142" s="230">
        <v>-2912000</v>
      </c>
      <c r="AY142" s="229">
        <v>-0.32800000000000001</v>
      </c>
      <c r="AZ142" s="230">
        <v>260000</v>
      </c>
      <c r="BA142" s="230">
        <v>442000</v>
      </c>
      <c r="BB142" s="230">
        <v>-182000</v>
      </c>
      <c r="BC142" s="229">
        <v>-0.4118</v>
      </c>
      <c r="BD142" s="230">
        <v>6500</v>
      </c>
      <c r="BE142" s="230">
        <v>71500</v>
      </c>
      <c r="BF142" s="230">
        <v>-65000</v>
      </c>
      <c r="BG142" s="229">
        <v>-0.90910000000000002</v>
      </c>
      <c r="BH142" s="230">
        <v>8775000</v>
      </c>
      <c r="BI142" s="230">
        <v>10400000</v>
      </c>
      <c r="BJ142" s="230">
        <v>-1625000</v>
      </c>
      <c r="BK142" s="229">
        <v>-0.15629999999999999</v>
      </c>
      <c r="BL142" s="230">
        <v>5057000</v>
      </c>
      <c r="BM142" s="230">
        <v>6389500</v>
      </c>
      <c r="BN142" s="230">
        <v>-1332500</v>
      </c>
      <c r="BO142" s="229">
        <v>-0.20849999999999999</v>
      </c>
      <c r="BP142" s="230">
        <v>20065500</v>
      </c>
      <c r="BQ142" s="230">
        <v>26182000</v>
      </c>
      <c r="BR142" s="230">
        <v>-6116500</v>
      </c>
      <c r="BS142" s="229">
        <v>-0.2336</v>
      </c>
      <c r="BT142" s="230">
        <v>7101640</v>
      </c>
      <c r="BU142" s="230">
        <v>9754327</v>
      </c>
      <c r="BV142" s="230">
        <v>-2652687</v>
      </c>
      <c r="BW142" s="229">
        <v>-0.27189999999999998</v>
      </c>
      <c r="BX142" s="230">
        <v>73827000</v>
      </c>
      <c r="BY142" s="230">
        <v>73346000</v>
      </c>
      <c r="BZ142" s="230">
        <v>481000</v>
      </c>
      <c r="CA142" s="229">
        <v>6.6E-3</v>
      </c>
      <c r="CB142" s="230">
        <v>72143500</v>
      </c>
      <c r="CC142" s="230">
        <v>71688500</v>
      </c>
      <c r="CD142" s="230">
        <v>455000</v>
      </c>
      <c r="CE142" s="229">
        <v>6.3E-3</v>
      </c>
      <c r="CF142" s="230">
        <v>1625000</v>
      </c>
      <c r="CG142" s="230">
        <v>1605500</v>
      </c>
      <c r="CH142" s="230">
        <v>19500</v>
      </c>
      <c r="CI142" s="229">
        <v>1.21E-2</v>
      </c>
      <c r="CJ142" s="230">
        <v>58500</v>
      </c>
      <c r="CK142" s="230">
        <v>52000</v>
      </c>
      <c r="CL142" s="230">
        <v>6500</v>
      </c>
      <c r="CM142" s="229">
        <v>0.125</v>
      </c>
      <c r="CN142" s="230">
        <v>14625000</v>
      </c>
      <c r="CO142" s="230">
        <v>12551500</v>
      </c>
      <c r="CP142" s="230">
        <v>2073500</v>
      </c>
      <c r="CQ142" s="229">
        <v>0.16520000000000001</v>
      </c>
      <c r="CR142" s="230">
        <v>11713000</v>
      </c>
      <c r="CS142" s="230">
        <v>9886500</v>
      </c>
      <c r="CT142" s="230">
        <v>1826500</v>
      </c>
      <c r="CU142" s="229">
        <v>0.1847</v>
      </c>
      <c r="CV142" s="230">
        <v>100165000</v>
      </c>
      <c r="CW142" s="230">
        <v>95784000</v>
      </c>
      <c r="CX142" s="230">
        <v>4381000</v>
      </c>
      <c r="CY142" s="229">
        <v>4.5699999999999998E-2</v>
      </c>
      <c r="CZ142" s="228">
        <v>41.02</v>
      </c>
      <c r="DA142" s="228">
        <v>42.71</v>
      </c>
      <c r="DB142" s="228">
        <v>-1.69</v>
      </c>
      <c r="DC142" s="228">
        <v>-1.69</v>
      </c>
      <c r="DD142" s="228">
        <v>50.83</v>
      </c>
      <c r="DE142" s="228">
        <v>50.94</v>
      </c>
      <c r="DF142" s="228">
        <v>-9.81</v>
      </c>
      <c r="DG142" s="228">
        <v>-0.11</v>
      </c>
      <c r="DH142" s="228">
        <v>40.659999999999997</v>
      </c>
      <c r="DI142" s="228">
        <v>42.79</v>
      </c>
      <c r="DJ142" s="228">
        <v>-2.13</v>
      </c>
      <c r="DK142" s="228">
        <v>-2.13</v>
      </c>
      <c r="DL142" s="228">
        <v>41.65</v>
      </c>
      <c r="DM142" s="228">
        <v>42.58</v>
      </c>
      <c r="DN142" s="228">
        <v>-0.93</v>
      </c>
      <c r="DO142" s="228">
        <v>-0.93</v>
      </c>
      <c r="DP142" s="228">
        <v>0.8</v>
      </c>
      <c r="DQ142" s="228">
        <v>0.79</v>
      </c>
      <c r="DR142" s="228">
        <v>0.01</v>
      </c>
      <c r="DS142" s="229">
        <v>1.2699999999999999E-2</v>
      </c>
      <c r="DT142" s="228">
        <v>100</v>
      </c>
      <c r="DU142" s="228">
        <v>90</v>
      </c>
      <c r="DV142" s="228">
        <v>0.57999999999999996</v>
      </c>
      <c r="DW142" s="228">
        <v>0.61</v>
      </c>
      <c r="DX142" s="228">
        <v>-0.03</v>
      </c>
      <c r="DY142" s="229">
        <v>-4.9200000000000001E-2</v>
      </c>
      <c r="DZ142" s="229">
        <v>2.2800000000000001E-2</v>
      </c>
      <c r="EA142" s="230">
        <v>1657500</v>
      </c>
      <c r="EB142" s="229">
        <v>7.6E-3</v>
      </c>
      <c r="EC142" s="229">
        <v>2.2800000000000001E-2</v>
      </c>
      <c r="ED142" s="228">
        <v>0.33</v>
      </c>
      <c r="EE142" s="229">
        <v>3.5000000000000001E-3</v>
      </c>
      <c r="EF142" s="230">
        <v>2395622</v>
      </c>
      <c r="EG142" s="230">
        <v>3388252</v>
      </c>
      <c r="EH142" s="229">
        <v>-0.29299999999999998</v>
      </c>
      <c r="EI142" s="229">
        <v>0.33729999999999999</v>
      </c>
      <c r="EJ142" s="231">
        <v>8746.09</v>
      </c>
      <c r="EK142" s="231">
        <v>4583.58</v>
      </c>
      <c r="EL142" s="231">
        <v>5814.43</v>
      </c>
      <c r="EM142" s="231">
        <v>3765</v>
      </c>
      <c r="EN142" s="231">
        <v>19144.099999999999</v>
      </c>
      <c r="EO142" s="231">
        <v>24763.360000000001</v>
      </c>
      <c r="EP142" s="231">
        <v>-5619.26</v>
      </c>
      <c r="EQ142" s="229">
        <v>-0.22689999999999999</v>
      </c>
      <c r="ER142" s="231">
        <v>14311</v>
      </c>
      <c r="ES142" s="231">
        <v>10782</v>
      </c>
      <c r="ET142" s="231">
        <v>68797</v>
      </c>
      <c r="EU142" s="231">
        <v>154894704</v>
      </c>
      <c r="EV142" s="231">
        <v>93891</v>
      </c>
      <c r="EW142" s="231">
        <v>89082</v>
      </c>
      <c r="EX142" s="231">
        <v>4809</v>
      </c>
      <c r="EY142" s="229">
        <v>5.3999999999999999E-2</v>
      </c>
      <c r="EZ142" s="229">
        <v>0.64670000000000005</v>
      </c>
      <c r="FA142" s="227" t="s">
        <v>555</v>
      </c>
      <c r="FB142" s="161">
        <f t="shared" ref="FB142:FB161" si="3">BX217-CB217</f>
        <v>0</v>
      </c>
    </row>
    <row r="143" spans="1:158" ht="17.25" thickBot="1" x14ac:dyDescent="0.3">
      <c r="A143" s="226">
        <v>46146</v>
      </c>
      <c r="B143" s="227" t="s">
        <v>168</v>
      </c>
      <c r="C143" s="227" t="s">
        <v>265</v>
      </c>
      <c r="D143" s="228">
        <v>500</v>
      </c>
      <c r="E143" s="231">
        <v>1460.1</v>
      </c>
      <c r="F143" s="231">
        <v>1462.1</v>
      </c>
      <c r="G143" s="228">
        <v>-2</v>
      </c>
      <c r="H143" s="229">
        <v>-1.4E-3</v>
      </c>
      <c r="I143" s="231">
        <v>1457.1</v>
      </c>
      <c r="J143" s="231">
        <v>1458.6</v>
      </c>
      <c r="K143" s="228">
        <v>-1.5</v>
      </c>
      <c r="L143" s="229">
        <v>-1E-3</v>
      </c>
      <c r="M143" s="231">
        <v>1460.1</v>
      </c>
      <c r="N143" s="231">
        <v>1462.1</v>
      </c>
      <c r="O143" s="228">
        <v>-2</v>
      </c>
      <c r="P143" s="229">
        <v>-1.4E-3</v>
      </c>
      <c r="Q143" s="231">
        <v>1469.9</v>
      </c>
      <c r="R143" s="231">
        <v>1471.2</v>
      </c>
      <c r="S143" s="228">
        <v>-1.3</v>
      </c>
      <c r="T143" s="229">
        <v>-8.9999999999999998E-4</v>
      </c>
      <c r="U143" s="231">
        <v>1475</v>
      </c>
      <c r="V143" s="231">
        <v>1475.3</v>
      </c>
      <c r="W143" s="228">
        <v>-0.3</v>
      </c>
      <c r="X143" s="229">
        <v>-2.0000000000000001E-4</v>
      </c>
      <c r="Y143" s="228">
        <v>3</v>
      </c>
      <c r="Z143" s="228">
        <v>3.5</v>
      </c>
      <c r="AA143" s="228">
        <v>-0.5</v>
      </c>
      <c r="AB143" s="229">
        <v>2.0999999999999999E-3</v>
      </c>
      <c r="AC143" s="228">
        <v>3</v>
      </c>
      <c r="AD143" s="228">
        <v>3.5</v>
      </c>
      <c r="AE143" s="228">
        <v>-0.5</v>
      </c>
      <c r="AF143" s="229">
        <v>2.0999999999999999E-3</v>
      </c>
      <c r="AG143" s="228">
        <v>12.8</v>
      </c>
      <c r="AH143" s="228">
        <v>12.6</v>
      </c>
      <c r="AI143" s="228">
        <v>0.2</v>
      </c>
      <c r="AJ143" s="229">
        <v>8.8000000000000005E-3</v>
      </c>
      <c r="AK143" s="228">
        <v>17.899999999999999</v>
      </c>
      <c r="AL143" s="228">
        <v>16.7</v>
      </c>
      <c r="AM143" s="228">
        <v>1.2</v>
      </c>
      <c r="AN143" s="229">
        <v>1.23E-2</v>
      </c>
      <c r="AO143" s="231">
        <v>1463.33</v>
      </c>
      <c r="AP143" s="231">
        <v>1473.14</v>
      </c>
      <c r="AQ143" s="228">
        <v>0</v>
      </c>
      <c r="AR143" s="230">
        <v>1570500</v>
      </c>
      <c r="AS143" s="230">
        <v>1935500</v>
      </c>
      <c r="AT143" s="230">
        <v>-365000</v>
      </c>
      <c r="AU143" s="229">
        <v>-0.18859999999999999</v>
      </c>
      <c r="AV143" s="230">
        <v>1462000</v>
      </c>
      <c r="AW143" s="230">
        <v>1858000</v>
      </c>
      <c r="AX143" s="230">
        <v>-396000</v>
      </c>
      <c r="AY143" s="229">
        <v>-0.21310000000000001</v>
      </c>
      <c r="AZ143" s="230">
        <v>104500</v>
      </c>
      <c r="BA143" s="230">
        <v>68500</v>
      </c>
      <c r="BB143" s="230">
        <v>36000</v>
      </c>
      <c r="BC143" s="229">
        <v>0.52549999999999997</v>
      </c>
      <c r="BD143" s="230">
        <v>4000</v>
      </c>
      <c r="BE143" s="230">
        <v>9000</v>
      </c>
      <c r="BF143" s="230">
        <v>-5000</v>
      </c>
      <c r="BG143" s="229">
        <v>-0.55559999999999998</v>
      </c>
      <c r="BH143" s="230">
        <v>3599500</v>
      </c>
      <c r="BI143" s="230">
        <v>4818000</v>
      </c>
      <c r="BJ143" s="230">
        <v>-1218500</v>
      </c>
      <c r="BK143" s="229">
        <v>-0.25290000000000001</v>
      </c>
      <c r="BL143" s="230">
        <v>2154500</v>
      </c>
      <c r="BM143" s="230">
        <v>3980000</v>
      </c>
      <c r="BN143" s="230">
        <v>-1825500</v>
      </c>
      <c r="BO143" s="229">
        <v>-0.4587</v>
      </c>
      <c r="BP143" s="230">
        <v>7324500</v>
      </c>
      <c r="BQ143" s="230">
        <v>10733500</v>
      </c>
      <c r="BR143" s="230">
        <v>-3409000</v>
      </c>
      <c r="BS143" s="229">
        <v>-0.31759999999999999</v>
      </c>
      <c r="BT143" s="230">
        <v>1779525</v>
      </c>
      <c r="BU143" s="230">
        <v>2499206</v>
      </c>
      <c r="BV143" s="230">
        <v>-719681</v>
      </c>
      <c r="BW143" s="229">
        <v>-0.28799999999999998</v>
      </c>
      <c r="BX143" s="230">
        <v>14609000</v>
      </c>
      <c r="BY143" s="230">
        <v>14812500</v>
      </c>
      <c r="BZ143" s="230">
        <v>-203500</v>
      </c>
      <c r="CA143" s="229">
        <v>-1.37E-2</v>
      </c>
      <c r="CB143" s="230">
        <v>13542000</v>
      </c>
      <c r="CC143" s="230">
        <v>13765500</v>
      </c>
      <c r="CD143" s="230">
        <v>-223500</v>
      </c>
      <c r="CE143" s="229">
        <v>-1.6199999999999999E-2</v>
      </c>
      <c r="CF143" s="230">
        <v>1055000</v>
      </c>
      <c r="CG143" s="230">
        <v>1035000</v>
      </c>
      <c r="CH143" s="230">
        <v>20000</v>
      </c>
      <c r="CI143" s="229">
        <v>1.9300000000000001E-2</v>
      </c>
      <c r="CJ143" s="230">
        <v>12000</v>
      </c>
      <c r="CK143" s="230">
        <v>12000</v>
      </c>
      <c r="CL143" s="228">
        <v>0</v>
      </c>
      <c r="CM143" s="229">
        <v>0</v>
      </c>
      <c r="CN143" s="230">
        <v>3640500</v>
      </c>
      <c r="CO143" s="230">
        <v>3407500</v>
      </c>
      <c r="CP143" s="230">
        <v>233000</v>
      </c>
      <c r="CQ143" s="229">
        <v>6.8400000000000002E-2</v>
      </c>
      <c r="CR143" s="230">
        <v>3171000</v>
      </c>
      <c r="CS143" s="230">
        <v>3076500</v>
      </c>
      <c r="CT143" s="230">
        <v>94500</v>
      </c>
      <c r="CU143" s="229">
        <v>3.0700000000000002E-2</v>
      </c>
      <c r="CV143" s="230">
        <v>21420500</v>
      </c>
      <c r="CW143" s="230">
        <v>21296500</v>
      </c>
      <c r="CX143" s="230">
        <v>124000</v>
      </c>
      <c r="CY143" s="229">
        <v>5.7999999999999996E-3</v>
      </c>
      <c r="CZ143" s="228">
        <v>22.56</v>
      </c>
      <c r="DA143" s="228">
        <v>22.55</v>
      </c>
      <c r="DB143" s="228">
        <v>0.01</v>
      </c>
      <c r="DC143" s="228">
        <v>0.01</v>
      </c>
      <c r="DD143" s="228">
        <v>25.12</v>
      </c>
      <c r="DE143" s="228">
        <v>25.18</v>
      </c>
      <c r="DF143" s="228">
        <v>-2.56</v>
      </c>
      <c r="DG143" s="228">
        <v>-0.06</v>
      </c>
      <c r="DH143" s="228">
        <v>21.99</v>
      </c>
      <c r="DI143" s="228">
        <v>21.76</v>
      </c>
      <c r="DJ143" s="228">
        <v>0.23</v>
      </c>
      <c r="DK143" s="228">
        <v>0.23</v>
      </c>
      <c r="DL143" s="228">
        <v>23.5</v>
      </c>
      <c r="DM143" s="228">
        <v>23.49</v>
      </c>
      <c r="DN143" s="228">
        <v>0.01</v>
      </c>
      <c r="DO143" s="228">
        <v>0.01</v>
      </c>
      <c r="DP143" s="228">
        <v>0.87</v>
      </c>
      <c r="DQ143" s="228">
        <v>0.9</v>
      </c>
      <c r="DR143" s="228">
        <v>-0.03</v>
      </c>
      <c r="DS143" s="229">
        <v>-3.3300000000000003E-2</v>
      </c>
      <c r="DT143" s="231">
        <v>1480</v>
      </c>
      <c r="DU143" s="231">
        <v>1400</v>
      </c>
      <c r="DV143" s="228">
        <v>0.6</v>
      </c>
      <c r="DW143" s="228">
        <v>0.83</v>
      </c>
      <c r="DX143" s="228">
        <v>-0.23</v>
      </c>
      <c r="DY143" s="229">
        <v>-0.27710000000000001</v>
      </c>
      <c r="DZ143" s="229">
        <v>7.2999999999999995E-2</v>
      </c>
      <c r="EA143" s="230">
        <v>1047000</v>
      </c>
      <c r="EB143" s="229">
        <v>6.7000000000000002E-3</v>
      </c>
      <c r="EC143" s="229">
        <v>7.2999999999999995E-2</v>
      </c>
      <c r="ED143" s="228">
        <v>9.81</v>
      </c>
      <c r="EE143" s="229">
        <v>6.7000000000000002E-3</v>
      </c>
      <c r="EF143" s="230">
        <v>1131711</v>
      </c>
      <c r="EG143" s="230">
        <v>1787005</v>
      </c>
      <c r="EH143" s="229">
        <v>-0.36670000000000003</v>
      </c>
      <c r="EI143" s="229">
        <v>0.63600000000000001</v>
      </c>
      <c r="EJ143" s="231">
        <v>54731.09</v>
      </c>
      <c r="EK143" s="231">
        <v>31124.07</v>
      </c>
      <c r="EL143" s="231">
        <v>22992.45</v>
      </c>
      <c r="EM143" s="231">
        <v>9402</v>
      </c>
      <c r="EN143" s="231">
        <v>108847.61</v>
      </c>
      <c r="EO143" s="231">
        <v>158220.49</v>
      </c>
      <c r="EP143" s="231">
        <v>-49372.88</v>
      </c>
      <c r="EQ143" s="229">
        <v>-0.31209999999999999</v>
      </c>
      <c r="ER143" s="231">
        <v>53462</v>
      </c>
      <c r="ES143" s="231">
        <v>44031</v>
      </c>
      <c r="ET143" s="231">
        <v>213411</v>
      </c>
      <c r="EU143" s="231">
        <v>71801274</v>
      </c>
      <c r="EV143" s="231">
        <v>310904</v>
      </c>
      <c r="EW143" s="231">
        <v>309189</v>
      </c>
      <c r="EX143" s="231">
        <v>1715</v>
      </c>
      <c r="EY143" s="229">
        <v>5.4999999999999997E-3</v>
      </c>
      <c r="EZ143" s="229">
        <v>0.29830000000000001</v>
      </c>
      <c r="FA143" s="227" t="s">
        <v>567</v>
      </c>
      <c r="FB143" s="161">
        <f t="shared" si="3"/>
        <v>0</v>
      </c>
    </row>
    <row r="144" spans="1:158" ht="17.25" thickBot="1" x14ac:dyDescent="0.3">
      <c r="A144" s="226">
        <v>46146</v>
      </c>
      <c r="B144" s="227" t="s">
        <v>161</v>
      </c>
      <c r="C144" s="227" t="s">
        <v>584</v>
      </c>
      <c r="D144" s="228">
        <v>6400</v>
      </c>
      <c r="E144" s="228">
        <v>82.68</v>
      </c>
      <c r="F144" s="228">
        <v>82.43</v>
      </c>
      <c r="G144" s="228">
        <v>0.25</v>
      </c>
      <c r="H144" s="229">
        <v>3.0000000000000001E-3</v>
      </c>
      <c r="I144" s="228">
        <v>83.28</v>
      </c>
      <c r="J144" s="228">
        <v>83.2</v>
      </c>
      <c r="K144" s="228">
        <v>0.08</v>
      </c>
      <c r="L144" s="229">
        <v>1E-3</v>
      </c>
      <c r="M144" s="228">
        <v>82.68</v>
      </c>
      <c r="N144" s="228">
        <v>82.43</v>
      </c>
      <c r="O144" s="228">
        <v>0.25</v>
      </c>
      <c r="P144" s="229">
        <v>3.0000000000000001E-3</v>
      </c>
      <c r="Q144" s="228">
        <v>82.32</v>
      </c>
      <c r="R144" s="228">
        <v>82.21</v>
      </c>
      <c r="S144" s="228">
        <v>0.11</v>
      </c>
      <c r="T144" s="229">
        <v>1.2999999999999999E-3</v>
      </c>
      <c r="U144" s="228">
        <v>81.98</v>
      </c>
      <c r="V144" s="228">
        <v>81.98</v>
      </c>
      <c r="W144" s="228">
        <v>0</v>
      </c>
      <c r="X144" s="229">
        <v>0</v>
      </c>
      <c r="Y144" s="228">
        <v>-0.6</v>
      </c>
      <c r="Z144" s="228">
        <v>-0.77</v>
      </c>
      <c r="AA144" s="228">
        <v>0.17</v>
      </c>
      <c r="AB144" s="229">
        <v>-7.1999999999999998E-3</v>
      </c>
      <c r="AC144" s="228">
        <v>-0.6</v>
      </c>
      <c r="AD144" s="228">
        <v>-0.77</v>
      </c>
      <c r="AE144" s="228">
        <v>0.17</v>
      </c>
      <c r="AF144" s="229">
        <v>-7.1999999999999998E-3</v>
      </c>
      <c r="AG144" s="228">
        <v>-0.96</v>
      </c>
      <c r="AH144" s="228">
        <v>-0.99</v>
      </c>
      <c r="AI144" s="228">
        <v>0.03</v>
      </c>
      <c r="AJ144" s="229">
        <v>-1.15E-2</v>
      </c>
      <c r="AK144" s="228">
        <v>-1.3</v>
      </c>
      <c r="AL144" s="228">
        <v>-1.22</v>
      </c>
      <c r="AM144" s="228">
        <v>-0.08</v>
      </c>
      <c r="AN144" s="229">
        <v>-1.5599999999999999E-2</v>
      </c>
      <c r="AO144" s="228">
        <v>82.91</v>
      </c>
      <c r="AP144" s="228">
        <v>82.43</v>
      </c>
      <c r="AQ144" s="228">
        <v>0</v>
      </c>
      <c r="AR144" s="230">
        <v>12403200</v>
      </c>
      <c r="AS144" s="230">
        <v>12857600</v>
      </c>
      <c r="AT144" s="230">
        <v>-454400</v>
      </c>
      <c r="AU144" s="229">
        <v>-3.5299999999999998E-2</v>
      </c>
      <c r="AV144" s="230">
        <v>11404800</v>
      </c>
      <c r="AW144" s="230">
        <v>11468800</v>
      </c>
      <c r="AX144" s="230">
        <v>-64000</v>
      </c>
      <c r="AY144" s="229">
        <v>-5.5999999999999999E-3</v>
      </c>
      <c r="AZ144" s="230">
        <v>940800</v>
      </c>
      <c r="BA144" s="230">
        <v>1337600</v>
      </c>
      <c r="BB144" s="230">
        <v>-396800</v>
      </c>
      <c r="BC144" s="229">
        <v>-0.29670000000000002</v>
      </c>
      <c r="BD144" s="230">
        <v>57600</v>
      </c>
      <c r="BE144" s="230">
        <v>51200</v>
      </c>
      <c r="BF144" s="230">
        <v>6400</v>
      </c>
      <c r="BG144" s="229">
        <v>0.125</v>
      </c>
      <c r="BH144" s="230">
        <v>30060800</v>
      </c>
      <c r="BI144" s="230">
        <v>32460800</v>
      </c>
      <c r="BJ144" s="230">
        <v>-2400000</v>
      </c>
      <c r="BK144" s="229">
        <v>-7.3899999999999993E-2</v>
      </c>
      <c r="BL144" s="230">
        <v>11142400</v>
      </c>
      <c r="BM144" s="230">
        <v>13593600</v>
      </c>
      <c r="BN144" s="230">
        <v>-2451200</v>
      </c>
      <c r="BO144" s="229">
        <v>-0.18029999999999999</v>
      </c>
      <c r="BP144" s="230">
        <v>53606400</v>
      </c>
      <c r="BQ144" s="230">
        <v>58912000</v>
      </c>
      <c r="BR144" s="230">
        <v>-5305600</v>
      </c>
      <c r="BS144" s="229">
        <v>-9.01E-2</v>
      </c>
      <c r="BT144" s="230">
        <v>10592525</v>
      </c>
      <c r="BU144" s="230">
        <v>15866856</v>
      </c>
      <c r="BV144" s="230">
        <v>-5274331</v>
      </c>
      <c r="BW144" s="229">
        <v>-0.33239999999999997</v>
      </c>
      <c r="BX144" s="230">
        <v>99169350</v>
      </c>
      <c r="BY144" s="230">
        <v>98140950</v>
      </c>
      <c r="BZ144" s="230">
        <v>1028400</v>
      </c>
      <c r="CA144" s="229">
        <v>1.0500000000000001E-2</v>
      </c>
      <c r="CB144" s="230">
        <v>95481600</v>
      </c>
      <c r="CC144" s="230">
        <v>94656000</v>
      </c>
      <c r="CD144" s="230">
        <v>825600</v>
      </c>
      <c r="CE144" s="229">
        <v>8.6999999999999994E-3</v>
      </c>
      <c r="CF144" s="230">
        <v>3347200</v>
      </c>
      <c r="CG144" s="230">
        <v>3200000</v>
      </c>
      <c r="CH144" s="230">
        <v>147200</v>
      </c>
      <c r="CI144" s="229">
        <v>4.5999999999999999E-2</v>
      </c>
      <c r="CJ144" s="230">
        <v>340550</v>
      </c>
      <c r="CK144" s="230">
        <v>284950</v>
      </c>
      <c r="CL144" s="230">
        <v>55600</v>
      </c>
      <c r="CM144" s="229">
        <v>0.1951</v>
      </c>
      <c r="CN144" s="230">
        <v>37696000</v>
      </c>
      <c r="CO144" s="230">
        <v>33619200</v>
      </c>
      <c r="CP144" s="230">
        <v>4076800</v>
      </c>
      <c r="CQ144" s="229">
        <v>0.12130000000000001</v>
      </c>
      <c r="CR144" s="230">
        <v>21068800</v>
      </c>
      <c r="CS144" s="230">
        <v>19097600</v>
      </c>
      <c r="CT144" s="230">
        <v>1971200</v>
      </c>
      <c r="CU144" s="229">
        <v>0.1032</v>
      </c>
      <c r="CV144" s="230">
        <v>157934150</v>
      </c>
      <c r="CW144" s="230">
        <v>150857750</v>
      </c>
      <c r="CX144" s="230">
        <v>7076400</v>
      </c>
      <c r="CY144" s="229">
        <v>4.6899999999999997E-2</v>
      </c>
      <c r="CZ144" s="228">
        <v>33.26</v>
      </c>
      <c r="DA144" s="228">
        <v>34.83</v>
      </c>
      <c r="DB144" s="228">
        <v>-1.57</v>
      </c>
      <c r="DC144" s="228">
        <v>-1.57</v>
      </c>
      <c r="DD144" s="228">
        <v>34.869999999999997</v>
      </c>
      <c r="DE144" s="228">
        <v>34.96</v>
      </c>
      <c r="DF144" s="228">
        <v>-1.61</v>
      </c>
      <c r="DG144" s="228">
        <v>-0.09</v>
      </c>
      <c r="DH144" s="228">
        <v>33.76</v>
      </c>
      <c r="DI144" s="228">
        <v>35.299999999999997</v>
      </c>
      <c r="DJ144" s="228">
        <v>-1.54</v>
      </c>
      <c r="DK144" s="228">
        <v>-1.54</v>
      </c>
      <c r="DL144" s="228">
        <v>31.91</v>
      </c>
      <c r="DM144" s="228">
        <v>33.72</v>
      </c>
      <c r="DN144" s="228">
        <v>-1.81</v>
      </c>
      <c r="DO144" s="228">
        <v>-1.81</v>
      </c>
      <c r="DP144" s="228">
        <v>0.56000000000000005</v>
      </c>
      <c r="DQ144" s="228">
        <v>0.56999999999999995</v>
      </c>
      <c r="DR144" s="228">
        <v>-0.01</v>
      </c>
      <c r="DS144" s="229">
        <v>-1.7500000000000002E-2</v>
      </c>
      <c r="DT144" s="228">
        <v>90</v>
      </c>
      <c r="DU144" s="228">
        <v>80</v>
      </c>
      <c r="DV144" s="228">
        <v>0.37</v>
      </c>
      <c r="DW144" s="228">
        <v>0.42</v>
      </c>
      <c r="DX144" s="228">
        <v>-0.05</v>
      </c>
      <c r="DY144" s="229">
        <v>-0.11899999999999999</v>
      </c>
      <c r="DZ144" s="229">
        <v>3.7199999999999997E-2</v>
      </c>
      <c r="EA144" s="230">
        <v>3484950</v>
      </c>
      <c r="EB144" s="229">
        <v>-4.4000000000000003E-3</v>
      </c>
      <c r="EC144" s="229">
        <v>3.7199999999999997E-2</v>
      </c>
      <c r="ED144" s="228">
        <v>-0.48</v>
      </c>
      <c r="EE144" s="229">
        <v>-5.7999999999999996E-3</v>
      </c>
      <c r="EF144" s="230">
        <v>5347212</v>
      </c>
      <c r="EG144" s="230">
        <v>6715297</v>
      </c>
      <c r="EH144" s="229">
        <v>-0.20369999999999999</v>
      </c>
      <c r="EI144" s="229">
        <v>0.50480000000000003</v>
      </c>
      <c r="EJ144" s="231">
        <v>26730.720000000001</v>
      </c>
      <c r="EK144" s="231">
        <v>9114.43</v>
      </c>
      <c r="EL144" s="231">
        <v>10283.23</v>
      </c>
      <c r="EM144" s="231">
        <v>5349</v>
      </c>
      <c r="EN144" s="231">
        <v>46128.38</v>
      </c>
      <c r="EO144" s="231">
        <v>50486.37</v>
      </c>
      <c r="EP144" s="231">
        <v>-4357.99</v>
      </c>
      <c r="EQ144" s="229">
        <v>-8.6300000000000002E-2</v>
      </c>
      <c r="ER144" s="231">
        <v>33118</v>
      </c>
      <c r="ES144" s="231">
        <v>16780</v>
      </c>
      <c r="ET144" s="231">
        <v>81979</v>
      </c>
      <c r="EU144" s="231">
        <v>491233252</v>
      </c>
      <c r="EV144" s="231">
        <v>131876</v>
      </c>
      <c r="EW144" s="231">
        <v>125598</v>
      </c>
      <c r="EX144" s="231">
        <v>6278</v>
      </c>
      <c r="EY144" s="229">
        <v>0.05</v>
      </c>
      <c r="EZ144" s="229">
        <v>0.32150000000000001</v>
      </c>
      <c r="FA144" s="227" t="s">
        <v>555</v>
      </c>
      <c r="FB144" s="161">
        <f t="shared" si="3"/>
        <v>0</v>
      </c>
    </row>
    <row r="145" spans="1:158" ht="17.25" thickBot="1" x14ac:dyDescent="0.3">
      <c r="A145" s="226">
        <v>46146</v>
      </c>
      <c r="B145" s="227" t="s">
        <v>181</v>
      </c>
      <c r="C145" s="227" t="s">
        <v>266</v>
      </c>
      <c r="D145" s="228">
        <v>65</v>
      </c>
      <c r="E145" s="231">
        <v>24206</v>
      </c>
      <c r="F145" s="231">
        <v>24098.2</v>
      </c>
      <c r="G145" s="228">
        <v>107.8</v>
      </c>
      <c r="H145" s="229">
        <v>4.4999999999999997E-3</v>
      </c>
      <c r="I145" s="231">
        <v>24119.3</v>
      </c>
      <c r="J145" s="231">
        <v>23997.55</v>
      </c>
      <c r="K145" s="228">
        <v>121.75</v>
      </c>
      <c r="L145" s="229">
        <v>5.1000000000000004E-3</v>
      </c>
      <c r="M145" s="231">
        <v>24206</v>
      </c>
      <c r="N145" s="231">
        <v>24098.2</v>
      </c>
      <c r="O145" s="228">
        <v>107.8</v>
      </c>
      <c r="P145" s="229">
        <v>4.4999999999999997E-3</v>
      </c>
      <c r="Q145" s="231">
        <v>24312.799999999999</v>
      </c>
      <c r="R145" s="231">
        <v>24210.6</v>
      </c>
      <c r="S145" s="228">
        <v>102.2</v>
      </c>
      <c r="T145" s="229">
        <v>4.1999999999999997E-3</v>
      </c>
      <c r="U145" s="231">
        <v>24449.7</v>
      </c>
      <c r="V145" s="231">
        <v>24340</v>
      </c>
      <c r="W145" s="228">
        <v>109.7</v>
      </c>
      <c r="X145" s="229">
        <v>4.4999999999999997E-3</v>
      </c>
      <c r="Y145" s="228">
        <v>86.7</v>
      </c>
      <c r="Z145" s="228">
        <v>100.65</v>
      </c>
      <c r="AA145" s="228">
        <v>-13.95</v>
      </c>
      <c r="AB145" s="229">
        <v>3.5999999999999999E-3</v>
      </c>
      <c r="AC145" s="228">
        <v>86.7</v>
      </c>
      <c r="AD145" s="228">
        <v>100.65</v>
      </c>
      <c r="AE145" s="228">
        <v>-13.95</v>
      </c>
      <c r="AF145" s="229">
        <v>3.5999999999999999E-3</v>
      </c>
      <c r="AG145" s="228">
        <v>193.5</v>
      </c>
      <c r="AH145" s="228">
        <v>213.05</v>
      </c>
      <c r="AI145" s="228">
        <v>-19.55</v>
      </c>
      <c r="AJ145" s="229">
        <v>8.0000000000000002E-3</v>
      </c>
      <c r="AK145" s="228">
        <v>330.4</v>
      </c>
      <c r="AL145" s="228">
        <v>342.45</v>
      </c>
      <c r="AM145" s="228">
        <v>-12.05</v>
      </c>
      <c r="AN145" s="229">
        <v>1.37E-2</v>
      </c>
      <c r="AO145" s="231">
        <v>24244.11</v>
      </c>
      <c r="AP145" s="231">
        <v>24359.4</v>
      </c>
      <c r="AQ145" s="228">
        <v>0</v>
      </c>
      <c r="AR145" s="230">
        <v>5312580</v>
      </c>
      <c r="AS145" s="230">
        <v>6882070</v>
      </c>
      <c r="AT145" s="230">
        <v>-1569490</v>
      </c>
      <c r="AU145" s="229">
        <v>-0.2281</v>
      </c>
      <c r="AV145" s="230">
        <v>4780815</v>
      </c>
      <c r="AW145" s="230">
        <v>6198725</v>
      </c>
      <c r="AX145" s="230">
        <v>-1417910</v>
      </c>
      <c r="AY145" s="229">
        <v>-0.22869999999999999</v>
      </c>
      <c r="AZ145" s="230">
        <v>412295</v>
      </c>
      <c r="BA145" s="230">
        <v>452725</v>
      </c>
      <c r="BB145" s="230">
        <v>-40430</v>
      </c>
      <c r="BC145" s="229">
        <v>-8.9300000000000004E-2</v>
      </c>
      <c r="BD145" s="230">
        <v>119470</v>
      </c>
      <c r="BE145" s="230">
        <v>230620</v>
      </c>
      <c r="BF145" s="230">
        <v>-111150</v>
      </c>
      <c r="BG145" s="229">
        <v>-0.48199999999999998</v>
      </c>
      <c r="BH145" s="230">
        <v>5386809415</v>
      </c>
      <c r="BI145" s="230">
        <v>1703982605</v>
      </c>
      <c r="BJ145" s="230">
        <v>3682826810</v>
      </c>
      <c r="BK145" s="229">
        <v>2.1613000000000002</v>
      </c>
      <c r="BL145" s="230">
        <v>5911405695</v>
      </c>
      <c r="BM145" s="230">
        <v>1562574780</v>
      </c>
      <c r="BN145" s="230">
        <v>4348830915</v>
      </c>
      <c r="BO145" s="229">
        <v>2.7831000000000001</v>
      </c>
      <c r="BP145" s="230">
        <v>11303527690</v>
      </c>
      <c r="BQ145" s="230">
        <v>3273439455</v>
      </c>
      <c r="BR145" s="230">
        <v>8030088235</v>
      </c>
      <c r="BS145" s="229">
        <v>2.4531000000000001</v>
      </c>
      <c r="BT145" s="228">
        <v>0</v>
      </c>
      <c r="BU145" s="228">
        <v>0</v>
      </c>
      <c r="BV145" s="228">
        <v>0</v>
      </c>
      <c r="BW145" s="229">
        <v>0</v>
      </c>
      <c r="BX145" s="230">
        <v>17341155</v>
      </c>
      <c r="BY145" s="230">
        <v>16707535</v>
      </c>
      <c r="BZ145" s="230">
        <v>633620</v>
      </c>
      <c r="CA145" s="229">
        <v>3.7900000000000003E-2</v>
      </c>
      <c r="CB145" s="230">
        <v>15691520</v>
      </c>
      <c r="CC145" s="230">
        <v>15229760</v>
      </c>
      <c r="CD145" s="230">
        <v>461760</v>
      </c>
      <c r="CE145" s="229">
        <v>3.0300000000000001E-2</v>
      </c>
      <c r="CF145" s="230">
        <v>1465165</v>
      </c>
      <c r="CG145" s="230">
        <v>1306175</v>
      </c>
      <c r="CH145" s="230">
        <v>158990</v>
      </c>
      <c r="CI145" s="229">
        <v>0.1217</v>
      </c>
      <c r="CJ145" s="230">
        <v>184470</v>
      </c>
      <c r="CK145" s="230">
        <v>171600</v>
      </c>
      <c r="CL145" s="230">
        <v>12870</v>
      </c>
      <c r="CM145" s="229">
        <v>7.4999999999999997E-2</v>
      </c>
      <c r="CN145" s="230">
        <v>301435305</v>
      </c>
      <c r="CO145" s="230">
        <v>202792520</v>
      </c>
      <c r="CP145" s="230">
        <v>98642785</v>
      </c>
      <c r="CQ145" s="229">
        <v>0.4864</v>
      </c>
      <c r="CR145" s="230">
        <v>241488940</v>
      </c>
      <c r="CS145" s="230">
        <v>199342045</v>
      </c>
      <c r="CT145" s="230">
        <v>42146895</v>
      </c>
      <c r="CU145" s="229">
        <v>0.2114</v>
      </c>
      <c r="CV145" s="230">
        <v>560265400</v>
      </c>
      <c r="CW145" s="230">
        <v>418842100</v>
      </c>
      <c r="CX145" s="230">
        <v>141423300</v>
      </c>
      <c r="CY145" s="229">
        <v>0.3377</v>
      </c>
      <c r="CZ145" s="228">
        <v>18.62</v>
      </c>
      <c r="DA145" s="228">
        <v>17.940000000000001</v>
      </c>
      <c r="DB145" s="228">
        <v>0.68</v>
      </c>
      <c r="DC145" s="228">
        <v>0.68</v>
      </c>
      <c r="DD145" s="228">
        <v>17.559999999999999</v>
      </c>
      <c r="DE145" s="228">
        <v>17.59</v>
      </c>
      <c r="DF145" s="228">
        <v>1.06</v>
      </c>
      <c r="DG145" s="228">
        <v>-0.03</v>
      </c>
      <c r="DH145" s="228">
        <v>17.690000000000001</v>
      </c>
      <c r="DI145" s="228">
        <v>16.649999999999999</v>
      </c>
      <c r="DJ145" s="228">
        <v>1.04</v>
      </c>
      <c r="DK145" s="228">
        <v>1.04</v>
      </c>
      <c r="DL145" s="228">
        <v>19.68</v>
      </c>
      <c r="DM145" s="228">
        <v>19.329999999999998</v>
      </c>
      <c r="DN145" s="228">
        <v>0.35</v>
      </c>
      <c r="DO145" s="228">
        <v>0.35</v>
      </c>
      <c r="DP145" s="228">
        <v>0.8</v>
      </c>
      <c r="DQ145" s="228">
        <v>0.98</v>
      </c>
      <c r="DR145" s="228">
        <v>-0.18</v>
      </c>
      <c r="DS145" s="229">
        <v>-0.1837</v>
      </c>
      <c r="DT145" s="231">
        <v>25000</v>
      </c>
      <c r="DU145" s="231">
        <v>23500</v>
      </c>
      <c r="DV145" s="228">
        <v>1.1000000000000001</v>
      </c>
      <c r="DW145" s="228">
        <v>0.92</v>
      </c>
      <c r="DX145" s="228">
        <v>0.18</v>
      </c>
      <c r="DY145" s="229">
        <v>0.19570000000000001</v>
      </c>
      <c r="DZ145" s="229">
        <v>9.5100000000000004E-2</v>
      </c>
      <c r="EA145" s="230">
        <v>1477775</v>
      </c>
      <c r="EB145" s="229">
        <v>4.4000000000000003E-3</v>
      </c>
      <c r="EC145" s="229">
        <v>9.5100000000000004E-2</v>
      </c>
      <c r="ED145" s="228">
        <v>115.29</v>
      </c>
      <c r="EE145" s="229">
        <v>4.7999999999999996E-3</v>
      </c>
      <c r="EF145" s="228">
        <v>0</v>
      </c>
      <c r="EG145" s="228">
        <v>0</v>
      </c>
      <c r="EH145" s="229">
        <v>0</v>
      </c>
      <c r="EI145" s="229">
        <v>0</v>
      </c>
      <c r="EJ145" s="231">
        <v>1322911269.3</v>
      </c>
      <c r="EK145" s="231">
        <v>1411264067.8599999</v>
      </c>
      <c r="EL145" s="231">
        <v>1288758.42</v>
      </c>
      <c r="EM145" s="231">
        <v>138576</v>
      </c>
      <c r="EN145" s="231">
        <v>2735464095.5799999</v>
      </c>
      <c r="EO145" s="231">
        <v>788628456.38999999</v>
      </c>
      <c r="EP145" s="231">
        <v>1946835639.1900001</v>
      </c>
      <c r="EQ145" s="229">
        <v>2.4685999999999999</v>
      </c>
      <c r="ER145" s="231">
        <v>75167810</v>
      </c>
      <c r="ES145" s="231">
        <v>56669575</v>
      </c>
      <c r="ET145" s="231">
        <v>4199614</v>
      </c>
      <c r="EU145" s="228">
        <v>0</v>
      </c>
      <c r="EV145" s="231">
        <v>136036999</v>
      </c>
      <c r="EW145" s="231">
        <v>101327457</v>
      </c>
      <c r="EX145" s="231">
        <v>34709542</v>
      </c>
      <c r="EY145" s="229">
        <v>0.34250000000000003</v>
      </c>
      <c r="EZ145" s="229">
        <v>0</v>
      </c>
      <c r="FA145" s="227" t="s">
        <v>555</v>
      </c>
      <c r="FB145" s="161">
        <f t="shared" si="3"/>
        <v>0</v>
      </c>
    </row>
    <row r="146" spans="1:158" ht="17.25" thickBot="1" x14ac:dyDescent="0.3">
      <c r="A146" s="226">
        <v>46146</v>
      </c>
      <c r="B146" s="227" t="s">
        <v>181</v>
      </c>
      <c r="C146" s="227" t="s">
        <v>565</v>
      </c>
      <c r="D146" s="228">
        <v>25</v>
      </c>
      <c r="E146" s="231">
        <v>70524.800000000003</v>
      </c>
      <c r="F146" s="231">
        <v>70084.2</v>
      </c>
      <c r="G146" s="228">
        <v>440.6</v>
      </c>
      <c r="H146" s="229">
        <v>6.3E-3</v>
      </c>
      <c r="I146" s="231">
        <v>70283.850000000006</v>
      </c>
      <c r="J146" s="231">
        <v>69643.899999999994</v>
      </c>
      <c r="K146" s="228">
        <v>639.95000000000005</v>
      </c>
      <c r="L146" s="229">
        <v>9.1999999999999998E-3</v>
      </c>
      <c r="M146" s="231">
        <v>70524.800000000003</v>
      </c>
      <c r="N146" s="231">
        <v>70084.2</v>
      </c>
      <c r="O146" s="228">
        <v>440.6</v>
      </c>
      <c r="P146" s="229">
        <v>6.3E-3</v>
      </c>
      <c r="Q146" s="231">
        <v>70717.8</v>
      </c>
      <c r="R146" s="231">
        <v>70434.2</v>
      </c>
      <c r="S146" s="228">
        <v>283.60000000000002</v>
      </c>
      <c r="T146" s="229">
        <v>4.0000000000000001E-3</v>
      </c>
      <c r="U146" s="228">
        <v>0</v>
      </c>
      <c r="V146" s="228">
        <v>0</v>
      </c>
      <c r="W146" s="228">
        <v>0</v>
      </c>
      <c r="X146" s="229">
        <v>0</v>
      </c>
      <c r="Y146" s="228">
        <v>240.95</v>
      </c>
      <c r="Z146" s="228">
        <v>440.3</v>
      </c>
      <c r="AA146" s="228">
        <v>-199.35</v>
      </c>
      <c r="AB146" s="229">
        <v>3.3999999999999998E-3</v>
      </c>
      <c r="AC146" s="228">
        <v>240.95</v>
      </c>
      <c r="AD146" s="228">
        <v>440.3</v>
      </c>
      <c r="AE146" s="228">
        <v>-199.35</v>
      </c>
      <c r="AF146" s="229">
        <v>3.3999999999999998E-3</v>
      </c>
      <c r="AG146" s="228">
        <v>433.95</v>
      </c>
      <c r="AH146" s="228">
        <v>790.3</v>
      </c>
      <c r="AI146" s="228">
        <v>-356.35</v>
      </c>
      <c r="AJ146" s="229">
        <v>6.1999999999999998E-3</v>
      </c>
      <c r="AK146" s="228">
        <v>0</v>
      </c>
      <c r="AL146" s="228">
        <v>0</v>
      </c>
      <c r="AM146" s="228">
        <v>0</v>
      </c>
      <c r="AN146" s="229">
        <v>0</v>
      </c>
      <c r="AO146" s="231">
        <v>70689.89</v>
      </c>
      <c r="AP146" s="231">
        <v>70930</v>
      </c>
      <c r="AQ146" s="228">
        <v>0</v>
      </c>
      <c r="AR146" s="230">
        <v>5150</v>
      </c>
      <c r="AS146" s="230">
        <v>5975</v>
      </c>
      <c r="AT146" s="228">
        <v>-825</v>
      </c>
      <c r="AU146" s="229">
        <v>-0.1381</v>
      </c>
      <c r="AV146" s="230">
        <v>4750</v>
      </c>
      <c r="AW146" s="230">
        <v>5525</v>
      </c>
      <c r="AX146" s="228">
        <v>-775</v>
      </c>
      <c r="AY146" s="229">
        <v>-0.14030000000000001</v>
      </c>
      <c r="AZ146" s="228">
        <v>400</v>
      </c>
      <c r="BA146" s="228">
        <v>450</v>
      </c>
      <c r="BB146" s="228">
        <v>-50</v>
      </c>
      <c r="BC146" s="229">
        <v>-0.1111</v>
      </c>
      <c r="BD146" s="228">
        <v>0</v>
      </c>
      <c r="BE146" s="228">
        <v>0</v>
      </c>
      <c r="BF146" s="228">
        <v>0</v>
      </c>
      <c r="BG146" s="229">
        <v>0</v>
      </c>
      <c r="BH146" s="230">
        <v>3550</v>
      </c>
      <c r="BI146" s="228">
        <v>425</v>
      </c>
      <c r="BJ146" s="230">
        <v>3125</v>
      </c>
      <c r="BK146" s="229">
        <v>7.3529</v>
      </c>
      <c r="BL146" s="228">
        <v>150</v>
      </c>
      <c r="BM146" s="228">
        <v>200</v>
      </c>
      <c r="BN146" s="228">
        <v>-50</v>
      </c>
      <c r="BO146" s="229">
        <v>-0.25</v>
      </c>
      <c r="BP146" s="230">
        <v>8850</v>
      </c>
      <c r="BQ146" s="230">
        <v>6600</v>
      </c>
      <c r="BR146" s="230">
        <v>2250</v>
      </c>
      <c r="BS146" s="229">
        <v>0.34089999999999998</v>
      </c>
      <c r="BT146" s="228">
        <v>0</v>
      </c>
      <c r="BU146" s="228">
        <v>0</v>
      </c>
      <c r="BV146" s="228">
        <v>0</v>
      </c>
      <c r="BW146" s="229">
        <v>0</v>
      </c>
      <c r="BX146" s="230">
        <v>19275</v>
      </c>
      <c r="BY146" s="230">
        <v>18775</v>
      </c>
      <c r="BZ146" s="228">
        <v>500</v>
      </c>
      <c r="CA146" s="229">
        <v>2.6599999999999999E-2</v>
      </c>
      <c r="CB146" s="230">
        <v>18525</v>
      </c>
      <c r="CC146" s="230">
        <v>18100</v>
      </c>
      <c r="CD146" s="228">
        <v>425</v>
      </c>
      <c r="CE146" s="229">
        <v>2.35E-2</v>
      </c>
      <c r="CF146" s="228">
        <v>750</v>
      </c>
      <c r="CG146" s="228">
        <v>675</v>
      </c>
      <c r="CH146" s="228">
        <v>75</v>
      </c>
      <c r="CI146" s="229">
        <v>0.1111</v>
      </c>
      <c r="CJ146" s="228">
        <v>0</v>
      </c>
      <c r="CK146" s="228">
        <v>0</v>
      </c>
      <c r="CL146" s="228">
        <v>0</v>
      </c>
      <c r="CM146" s="229">
        <v>0</v>
      </c>
      <c r="CN146" s="228">
        <v>825</v>
      </c>
      <c r="CO146" s="228">
        <v>325</v>
      </c>
      <c r="CP146" s="228">
        <v>500</v>
      </c>
      <c r="CQ146" s="229">
        <v>1.5385</v>
      </c>
      <c r="CR146" s="228">
        <v>125</v>
      </c>
      <c r="CS146" s="228">
        <v>75</v>
      </c>
      <c r="CT146" s="228">
        <v>50</v>
      </c>
      <c r="CU146" s="229">
        <v>0.66669999999999996</v>
      </c>
      <c r="CV146" s="230">
        <v>20225</v>
      </c>
      <c r="CW146" s="230">
        <v>19175</v>
      </c>
      <c r="CX146" s="230">
        <v>1050</v>
      </c>
      <c r="CY146" s="229">
        <v>5.4800000000000001E-2</v>
      </c>
      <c r="CZ146" s="228">
        <v>18.059999999999999</v>
      </c>
      <c r="DA146" s="228">
        <v>17.309999999999999</v>
      </c>
      <c r="DB146" s="228">
        <v>0.75</v>
      </c>
      <c r="DC146" s="228">
        <v>0.75</v>
      </c>
      <c r="DD146" s="228">
        <v>23.01</v>
      </c>
      <c r="DE146" s="228">
        <v>23.03</v>
      </c>
      <c r="DF146" s="228">
        <v>-4.95</v>
      </c>
      <c r="DG146" s="228">
        <v>-0.02</v>
      </c>
      <c r="DH146" s="228">
        <v>18.03</v>
      </c>
      <c r="DI146" s="228">
        <v>16.68</v>
      </c>
      <c r="DJ146" s="228">
        <v>1.35</v>
      </c>
      <c r="DK146" s="228">
        <v>1.35</v>
      </c>
      <c r="DL146" s="228">
        <v>18.91</v>
      </c>
      <c r="DM146" s="228">
        <v>18.64</v>
      </c>
      <c r="DN146" s="228">
        <v>0.27</v>
      </c>
      <c r="DO146" s="228">
        <v>0.27</v>
      </c>
      <c r="DP146" s="228">
        <v>0.15</v>
      </c>
      <c r="DQ146" s="228">
        <v>0.23</v>
      </c>
      <c r="DR146" s="228">
        <v>-0.08</v>
      </c>
      <c r="DS146" s="229">
        <v>-0.3478</v>
      </c>
      <c r="DT146" s="231">
        <v>71500</v>
      </c>
      <c r="DU146" s="231">
        <v>69000</v>
      </c>
      <c r="DV146" s="228">
        <v>0.04</v>
      </c>
      <c r="DW146" s="228">
        <v>0.47</v>
      </c>
      <c r="DX146" s="228">
        <v>-0.43</v>
      </c>
      <c r="DY146" s="229">
        <v>-0.91490000000000005</v>
      </c>
      <c r="DZ146" s="229">
        <v>3.8899999999999997E-2</v>
      </c>
      <c r="EA146" s="228">
        <v>675</v>
      </c>
      <c r="EB146" s="229">
        <v>2.7000000000000001E-3</v>
      </c>
      <c r="EC146" s="229">
        <v>3.8899999999999997E-2</v>
      </c>
      <c r="ED146" s="228">
        <v>240.11</v>
      </c>
      <c r="EE146" s="229">
        <v>3.3999999999999998E-3</v>
      </c>
      <c r="EF146" s="228">
        <v>0</v>
      </c>
      <c r="EG146" s="228">
        <v>0</v>
      </c>
      <c r="EH146" s="229">
        <v>0</v>
      </c>
      <c r="EI146" s="229">
        <v>0</v>
      </c>
      <c r="EJ146" s="231">
        <v>2564.8200000000002</v>
      </c>
      <c r="EK146" s="228">
        <v>104.57</v>
      </c>
      <c r="EL146" s="231">
        <v>3641.49</v>
      </c>
      <c r="EM146" s="228">
        <v>0</v>
      </c>
      <c r="EN146" s="231">
        <v>6310.88</v>
      </c>
      <c r="EO146" s="231">
        <v>4620.87</v>
      </c>
      <c r="EP146" s="231">
        <v>1690.01</v>
      </c>
      <c r="EQ146" s="229">
        <v>0.36570000000000003</v>
      </c>
      <c r="ER146" s="228">
        <v>587</v>
      </c>
      <c r="ES146" s="228">
        <v>86</v>
      </c>
      <c r="ET146" s="231">
        <v>13595</v>
      </c>
      <c r="EU146" s="228">
        <v>0</v>
      </c>
      <c r="EV146" s="231">
        <v>14268</v>
      </c>
      <c r="EW146" s="231">
        <v>13445</v>
      </c>
      <c r="EX146" s="228">
        <v>823</v>
      </c>
      <c r="EY146" s="229">
        <v>6.1199999999999997E-2</v>
      </c>
      <c r="EZ146" s="229">
        <v>0</v>
      </c>
      <c r="FA146" s="227" t="s">
        <v>555</v>
      </c>
      <c r="FB146" s="161">
        <f t="shared" si="3"/>
        <v>0</v>
      </c>
    </row>
    <row r="147" spans="1:158" ht="17.25" thickBot="1" x14ac:dyDescent="0.3">
      <c r="A147" s="226">
        <v>46146</v>
      </c>
      <c r="B147" s="227" t="s">
        <v>227</v>
      </c>
      <c r="C147" s="227" t="s">
        <v>267</v>
      </c>
      <c r="D147" s="228">
        <v>6750</v>
      </c>
      <c r="E147" s="228">
        <v>89.69</v>
      </c>
      <c r="F147" s="228">
        <v>90.89</v>
      </c>
      <c r="G147" s="228">
        <v>-1.2</v>
      </c>
      <c r="H147" s="229">
        <v>-1.32E-2</v>
      </c>
      <c r="I147" s="228">
        <v>89.09</v>
      </c>
      <c r="J147" s="228">
        <v>90.37</v>
      </c>
      <c r="K147" s="228">
        <v>-1.28</v>
      </c>
      <c r="L147" s="229">
        <v>-1.4200000000000001E-2</v>
      </c>
      <c r="M147" s="228">
        <v>89.69</v>
      </c>
      <c r="N147" s="228">
        <v>90.89</v>
      </c>
      <c r="O147" s="228">
        <v>-1.2</v>
      </c>
      <c r="P147" s="229">
        <v>-1.32E-2</v>
      </c>
      <c r="Q147" s="228">
        <v>90.31</v>
      </c>
      <c r="R147" s="228">
        <v>91.39</v>
      </c>
      <c r="S147" s="228">
        <v>-1.08</v>
      </c>
      <c r="T147" s="229">
        <v>-1.18E-2</v>
      </c>
      <c r="U147" s="228">
        <v>90.68</v>
      </c>
      <c r="V147" s="228">
        <v>91.78</v>
      </c>
      <c r="W147" s="228">
        <v>-1.1000000000000001</v>
      </c>
      <c r="X147" s="229">
        <v>-1.2E-2</v>
      </c>
      <c r="Y147" s="228">
        <v>0.6</v>
      </c>
      <c r="Z147" s="228">
        <v>0.52</v>
      </c>
      <c r="AA147" s="228">
        <v>0.08</v>
      </c>
      <c r="AB147" s="229">
        <v>6.7000000000000002E-3</v>
      </c>
      <c r="AC147" s="228">
        <v>0.6</v>
      </c>
      <c r="AD147" s="228">
        <v>0.52</v>
      </c>
      <c r="AE147" s="228">
        <v>0.08</v>
      </c>
      <c r="AF147" s="229">
        <v>6.7000000000000002E-3</v>
      </c>
      <c r="AG147" s="228">
        <v>1.22</v>
      </c>
      <c r="AH147" s="228">
        <v>1.02</v>
      </c>
      <c r="AI147" s="228">
        <v>0.2</v>
      </c>
      <c r="AJ147" s="229">
        <v>1.37E-2</v>
      </c>
      <c r="AK147" s="228">
        <v>1.59</v>
      </c>
      <c r="AL147" s="228">
        <v>1.41</v>
      </c>
      <c r="AM147" s="228">
        <v>0.18</v>
      </c>
      <c r="AN147" s="229">
        <v>1.78E-2</v>
      </c>
      <c r="AO147" s="228">
        <v>89.85</v>
      </c>
      <c r="AP147" s="228">
        <v>90.37</v>
      </c>
      <c r="AQ147" s="228">
        <v>0</v>
      </c>
      <c r="AR147" s="230">
        <v>23206500</v>
      </c>
      <c r="AS147" s="230">
        <v>20007000</v>
      </c>
      <c r="AT147" s="230">
        <v>3199500</v>
      </c>
      <c r="AU147" s="229">
        <v>0.15989999999999999</v>
      </c>
      <c r="AV147" s="230">
        <v>21667500</v>
      </c>
      <c r="AW147" s="230">
        <v>19291500</v>
      </c>
      <c r="AX147" s="230">
        <v>2376000</v>
      </c>
      <c r="AY147" s="229">
        <v>0.1232</v>
      </c>
      <c r="AZ147" s="230">
        <v>1424250</v>
      </c>
      <c r="BA147" s="230">
        <v>594000</v>
      </c>
      <c r="BB147" s="230">
        <v>830250</v>
      </c>
      <c r="BC147" s="229">
        <v>1.3976999999999999</v>
      </c>
      <c r="BD147" s="230">
        <v>114750</v>
      </c>
      <c r="BE147" s="230">
        <v>121500</v>
      </c>
      <c r="BF147" s="230">
        <v>-6750</v>
      </c>
      <c r="BG147" s="229">
        <v>-5.5599999999999997E-2</v>
      </c>
      <c r="BH147" s="230">
        <v>50496750</v>
      </c>
      <c r="BI147" s="230">
        <v>44219250</v>
      </c>
      <c r="BJ147" s="230">
        <v>6277500</v>
      </c>
      <c r="BK147" s="229">
        <v>0.14199999999999999</v>
      </c>
      <c r="BL147" s="230">
        <v>19210500</v>
      </c>
      <c r="BM147" s="230">
        <v>19534500</v>
      </c>
      <c r="BN147" s="230">
        <v>-324000</v>
      </c>
      <c r="BO147" s="229">
        <v>-1.66E-2</v>
      </c>
      <c r="BP147" s="230">
        <v>92913750</v>
      </c>
      <c r="BQ147" s="230">
        <v>83760750</v>
      </c>
      <c r="BR147" s="230">
        <v>9153000</v>
      </c>
      <c r="BS147" s="229">
        <v>0.10929999999999999</v>
      </c>
      <c r="BT147" s="230">
        <v>20304048</v>
      </c>
      <c r="BU147" s="230">
        <v>25090141</v>
      </c>
      <c r="BV147" s="230">
        <v>-4786093</v>
      </c>
      <c r="BW147" s="229">
        <v>-0.1908</v>
      </c>
      <c r="BX147" s="230">
        <v>320780250</v>
      </c>
      <c r="BY147" s="230">
        <v>318991500</v>
      </c>
      <c r="BZ147" s="230">
        <v>1788750</v>
      </c>
      <c r="CA147" s="229">
        <v>5.5999999999999999E-3</v>
      </c>
      <c r="CB147" s="230">
        <v>312477750</v>
      </c>
      <c r="CC147" s="230">
        <v>310844250</v>
      </c>
      <c r="CD147" s="230">
        <v>1633500</v>
      </c>
      <c r="CE147" s="229">
        <v>5.3E-3</v>
      </c>
      <c r="CF147" s="230">
        <v>8127000</v>
      </c>
      <c r="CG147" s="230">
        <v>8025750</v>
      </c>
      <c r="CH147" s="230">
        <v>101250</v>
      </c>
      <c r="CI147" s="229">
        <v>1.26E-2</v>
      </c>
      <c r="CJ147" s="230">
        <v>175500</v>
      </c>
      <c r="CK147" s="230">
        <v>121500</v>
      </c>
      <c r="CL147" s="230">
        <v>54000</v>
      </c>
      <c r="CM147" s="229">
        <v>0.44440000000000002</v>
      </c>
      <c r="CN147" s="230">
        <v>66116250</v>
      </c>
      <c r="CO147" s="230">
        <v>59784750</v>
      </c>
      <c r="CP147" s="230">
        <v>6331500</v>
      </c>
      <c r="CQ147" s="229">
        <v>0.10589999999999999</v>
      </c>
      <c r="CR147" s="230">
        <v>32541750</v>
      </c>
      <c r="CS147" s="230">
        <v>30732750</v>
      </c>
      <c r="CT147" s="230">
        <v>1809000</v>
      </c>
      <c r="CU147" s="229">
        <v>5.8900000000000001E-2</v>
      </c>
      <c r="CV147" s="230">
        <v>419438250</v>
      </c>
      <c r="CW147" s="230">
        <v>409509000</v>
      </c>
      <c r="CX147" s="230">
        <v>9929250</v>
      </c>
      <c r="CY147" s="229">
        <v>2.4199999999999999E-2</v>
      </c>
      <c r="CZ147" s="228">
        <v>35.82</v>
      </c>
      <c r="DA147" s="228">
        <v>33.9</v>
      </c>
      <c r="DB147" s="228">
        <v>1.92</v>
      </c>
      <c r="DC147" s="228">
        <v>1.92</v>
      </c>
      <c r="DD147" s="228">
        <v>38.479999999999997</v>
      </c>
      <c r="DE147" s="228">
        <v>38.53</v>
      </c>
      <c r="DF147" s="228">
        <v>-2.66</v>
      </c>
      <c r="DG147" s="228">
        <v>-0.05</v>
      </c>
      <c r="DH147" s="228">
        <v>35.840000000000003</v>
      </c>
      <c r="DI147" s="228">
        <v>33.76</v>
      </c>
      <c r="DJ147" s="228">
        <v>2.08</v>
      </c>
      <c r="DK147" s="228">
        <v>2.08</v>
      </c>
      <c r="DL147" s="228">
        <v>35.770000000000003</v>
      </c>
      <c r="DM147" s="228">
        <v>34.229999999999997</v>
      </c>
      <c r="DN147" s="228">
        <v>1.54</v>
      </c>
      <c r="DO147" s="228">
        <v>1.54</v>
      </c>
      <c r="DP147" s="228">
        <v>0.49</v>
      </c>
      <c r="DQ147" s="228">
        <v>0.51</v>
      </c>
      <c r="DR147" s="228">
        <v>-0.02</v>
      </c>
      <c r="DS147" s="229">
        <v>-3.9199999999999999E-2</v>
      </c>
      <c r="DT147" s="228">
        <v>90</v>
      </c>
      <c r="DU147" s="228">
        <v>80</v>
      </c>
      <c r="DV147" s="228">
        <v>0.38</v>
      </c>
      <c r="DW147" s="228">
        <v>0.44</v>
      </c>
      <c r="DX147" s="228">
        <v>-0.06</v>
      </c>
      <c r="DY147" s="229">
        <v>-0.13639999999999999</v>
      </c>
      <c r="DZ147" s="229">
        <v>2.5899999999999999E-2</v>
      </c>
      <c r="EA147" s="230">
        <v>8147250</v>
      </c>
      <c r="EB147" s="229">
        <v>6.8999999999999999E-3</v>
      </c>
      <c r="EC147" s="229">
        <v>2.5899999999999999E-2</v>
      </c>
      <c r="ED147" s="228">
        <v>0.52</v>
      </c>
      <c r="EE147" s="229">
        <v>5.7999999999999996E-3</v>
      </c>
      <c r="EF147" s="230">
        <v>8460840</v>
      </c>
      <c r="EG147" s="230">
        <v>12556997</v>
      </c>
      <c r="EH147" s="229">
        <v>-0.32619999999999999</v>
      </c>
      <c r="EI147" s="229">
        <v>0.41670000000000001</v>
      </c>
      <c r="EJ147" s="231">
        <v>48073.24</v>
      </c>
      <c r="EK147" s="231">
        <v>17067.46</v>
      </c>
      <c r="EL147" s="231">
        <v>20859.45</v>
      </c>
      <c r="EM147" s="231">
        <v>14872</v>
      </c>
      <c r="EN147" s="231">
        <v>86000.15</v>
      </c>
      <c r="EO147" s="231">
        <v>77978.570000000007</v>
      </c>
      <c r="EP147" s="231">
        <v>8021.58</v>
      </c>
      <c r="EQ147" s="229">
        <v>0.10290000000000001</v>
      </c>
      <c r="ER147" s="231">
        <v>61425</v>
      </c>
      <c r="ES147" s="231">
        <v>27945</v>
      </c>
      <c r="ET147" s="231">
        <v>287760</v>
      </c>
      <c r="EU147" s="231">
        <v>517037525</v>
      </c>
      <c r="EV147" s="231">
        <v>377130</v>
      </c>
      <c r="EW147" s="231">
        <v>371859</v>
      </c>
      <c r="EX147" s="231">
        <v>5271</v>
      </c>
      <c r="EY147" s="229">
        <v>1.4200000000000001E-2</v>
      </c>
      <c r="EZ147" s="229">
        <v>0.81120000000000003</v>
      </c>
      <c r="FA147" s="227" t="s">
        <v>566</v>
      </c>
      <c r="FB147" s="161">
        <f t="shared" si="3"/>
        <v>0</v>
      </c>
    </row>
    <row r="148" spans="1:158" ht="17.25" thickBot="1" x14ac:dyDescent="0.3">
      <c r="A148" s="226">
        <v>46146</v>
      </c>
      <c r="B148" s="227" t="s">
        <v>161</v>
      </c>
      <c r="C148" s="227" t="s">
        <v>268</v>
      </c>
      <c r="D148" s="228">
        <v>1500</v>
      </c>
      <c r="E148" s="228">
        <v>402.2</v>
      </c>
      <c r="F148" s="228">
        <v>400.5</v>
      </c>
      <c r="G148" s="228">
        <v>1.7</v>
      </c>
      <c r="H148" s="229">
        <v>4.1999999999999997E-3</v>
      </c>
      <c r="I148" s="228">
        <v>400.05</v>
      </c>
      <c r="J148" s="228">
        <v>399.15</v>
      </c>
      <c r="K148" s="228">
        <v>0.9</v>
      </c>
      <c r="L148" s="229">
        <v>2.3E-3</v>
      </c>
      <c r="M148" s="228">
        <v>402.2</v>
      </c>
      <c r="N148" s="228">
        <v>400.5</v>
      </c>
      <c r="O148" s="228">
        <v>1.7</v>
      </c>
      <c r="P148" s="229">
        <v>4.1999999999999997E-3</v>
      </c>
      <c r="Q148" s="228">
        <v>404.85</v>
      </c>
      <c r="R148" s="228">
        <v>403.3</v>
      </c>
      <c r="S148" s="228">
        <v>1.55</v>
      </c>
      <c r="T148" s="229">
        <v>3.8E-3</v>
      </c>
      <c r="U148" s="228">
        <v>407.65</v>
      </c>
      <c r="V148" s="228">
        <v>405.65</v>
      </c>
      <c r="W148" s="228">
        <v>2</v>
      </c>
      <c r="X148" s="229">
        <v>4.8999999999999998E-3</v>
      </c>
      <c r="Y148" s="228">
        <v>2.15</v>
      </c>
      <c r="Z148" s="228">
        <v>1.35</v>
      </c>
      <c r="AA148" s="228">
        <v>0.8</v>
      </c>
      <c r="AB148" s="229">
        <v>5.4000000000000003E-3</v>
      </c>
      <c r="AC148" s="228">
        <v>2.15</v>
      </c>
      <c r="AD148" s="228">
        <v>1.35</v>
      </c>
      <c r="AE148" s="228">
        <v>0.8</v>
      </c>
      <c r="AF148" s="229">
        <v>5.4000000000000003E-3</v>
      </c>
      <c r="AG148" s="228">
        <v>4.8</v>
      </c>
      <c r="AH148" s="228">
        <v>4.1500000000000004</v>
      </c>
      <c r="AI148" s="228">
        <v>0.65</v>
      </c>
      <c r="AJ148" s="229">
        <v>1.2E-2</v>
      </c>
      <c r="AK148" s="228">
        <v>7.6</v>
      </c>
      <c r="AL148" s="228">
        <v>6.5</v>
      </c>
      <c r="AM148" s="228">
        <v>1.1000000000000001</v>
      </c>
      <c r="AN148" s="229">
        <v>1.9E-2</v>
      </c>
      <c r="AO148" s="228">
        <v>402.59</v>
      </c>
      <c r="AP148" s="228">
        <v>404.79</v>
      </c>
      <c r="AQ148" s="228">
        <v>0</v>
      </c>
      <c r="AR148" s="230">
        <v>6999000</v>
      </c>
      <c r="AS148" s="230">
        <v>7290000</v>
      </c>
      <c r="AT148" s="230">
        <v>-291000</v>
      </c>
      <c r="AU148" s="229">
        <v>-3.9899999999999998E-2</v>
      </c>
      <c r="AV148" s="230">
        <v>6103500</v>
      </c>
      <c r="AW148" s="230">
        <v>6861000</v>
      </c>
      <c r="AX148" s="230">
        <v>-757500</v>
      </c>
      <c r="AY148" s="229">
        <v>-0.1104</v>
      </c>
      <c r="AZ148" s="230">
        <v>834000</v>
      </c>
      <c r="BA148" s="230">
        <v>354000</v>
      </c>
      <c r="BB148" s="230">
        <v>480000</v>
      </c>
      <c r="BC148" s="229">
        <v>1.3559000000000001</v>
      </c>
      <c r="BD148" s="230">
        <v>61500</v>
      </c>
      <c r="BE148" s="230">
        <v>75000</v>
      </c>
      <c r="BF148" s="230">
        <v>-13500</v>
      </c>
      <c r="BG148" s="229">
        <v>-0.18</v>
      </c>
      <c r="BH148" s="230">
        <v>25140000</v>
      </c>
      <c r="BI148" s="230">
        <v>42181500</v>
      </c>
      <c r="BJ148" s="230">
        <v>-17041500</v>
      </c>
      <c r="BK148" s="229">
        <v>-0.40400000000000003</v>
      </c>
      <c r="BL148" s="230">
        <v>9753000</v>
      </c>
      <c r="BM148" s="230">
        <v>12096000</v>
      </c>
      <c r="BN148" s="230">
        <v>-2343000</v>
      </c>
      <c r="BO148" s="229">
        <v>-0.19370000000000001</v>
      </c>
      <c r="BP148" s="230">
        <v>41892000</v>
      </c>
      <c r="BQ148" s="230">
        <v>61567500</v>
      </c>
      <c r="BR148" s="230">
        <v>-19675500</v>
      </c>
      <c r="BS148" s="229">
        <v>-0.3196</v>
      </c>
      <c r="BT148" s="230">
        <v>6735146</v>
      </c>
      <c r="BU148" s="230">
        <v>8206773</v>
      </c>
      <c r="BV148" s="230">
        <v>-1471627</v>
      </c>
      <c r="BW148" s="229">
        <v>-0.17929999999999999</v>
      </c>
      <c r="BX148" s="230">
        <v>111685500</v>
      </c>
      <c r="BY148" s="230">
        <v>110689500</v>
      </c>
      <c r="BZ148" s="230">
        <v>996000</v>
      </c>
      <c r="CA148" s="229">
        <v>8.9999999999999993E-3</v>
      </c>
      <c r="CB148" s="230">
        <v>101590500</v>
      </c>
      <c r="CC148" s="230">
        <v>101217000</v>
      </c>
      <c r="CD148" s="230">
        <v>373500</v>
      </c>
      <c r="CE148" s="229">
        <v>3.7000000000000002E-3</v>
      </c>
      <c r="CF148" s="230">
        <v>9978000</v>
      </c>
      <c r="CG148" s="230">
        <v>9393000</v>
      </c>
      <c r="CH148" s="230">
        <v>585000</v>
      </c>
      <c r="CI148" s="229">
        <v>6.2300000000000001E-2</v>
      </c>
      <c r="CJ148" s="230">
        <v>117000</v>
      </c>
      <c r="CK148" s="230">
        <v>79500</v>
      </c>
      <c r="CL148" s="230">
        <v>37500</v>
      </c>
      <c r="CM148" s="229">
        <v>0.47170000000000001</v>
      </c>
      <c r="CN148" s="230">
        <v>31764000</v>
      </c>
      <c r="CO148" s="230">
        <v>29782500</v>
      </c>
      <c r="CP148" s="230">
        <v>1981500</v>
      </c>
      <c r="CQ148" s="229">
        <v>6.6500000000000004E-2</v>
      </c>
      <c r="CR148" s="230">
        <v>13584000</v>
      </c>
      <c r="CS148" s="230">
        <v>12984000</v>
      </c>
      <c r="CT148" s="230">
        <v>600000</v>
      </c>
      <c r="CU148" s="229">
        <v>4.6199999999999998E-2</v>
      </c>
      <c r="CV148" s="230">
        <v>157033500</v>
      </c>
      <c r="CW148" s="230">
        <v>153456000</v>
      </c>
      <c r="CX148" s="230">
        <v>3577500</v>
      </c>
      <c r="CY148" s="229">
        <v>2.3300000000000001E-2</v>
      </c>
      <c r="CZ148" s="228">
        <v>24.4</v>
      </c>
      <c r="DA148" s="228">
        <v>24.47</v>
      </c>
      <c r="DB148" s="228">
        <v>-7.0000000000000007E-2</v>
      </c>
      <c r="DC148" s="228">
        <v>-7.0000000000000007E-2</v>
      </c>
      <c r="DD148" s="228">
        <v>27.22</v>
      </c>
      <c r="DE148" s="228">
        <v>27.29</v>
      </c>
      <c r="DF148" s="228">
        <v>-2.82</v>
      </c>
      <c r="DG148" s="228">
        <v>-7.0000000000000007E-2</v>
      </c>
      <c r="DH148" s="228">
        <v>24.5</v>
      </c>
      <c r="DI148" s="228">
        <v>24.37</v>
      </c>
      <c r="DJ148" s="228">
        <v>0.13</v>
      </c>
      <c r="DK148" s="228">
        <v>0.13</v>
      </c>
      <c r="DL148" s="228">
        <v>24.14</v>
      </c>
      <c r="DM148" s="228">
        <v>24.86</v>
      </c>
      <c r="DN148" s="228">
        <v>-0.72</v>
      </c>
      <c r="DO148" s="228">
        <v>-0.72</v>
      </c>
      <c r="DP148" s="228">
        <v>0.43</v>
      </c>
      <c r="DQ148" s="228">
        <v>0.44</v>
      </c>
      <c r="DR148" s="228">
        <v>-0.01</v>
      </c>
      <c r="DS148" s="229">
        <v>-2.2700000000000001E-2</v>
      </c>
      <c r="DT148" s="228">
        <v>410</v>
      </c>
      <c r="DU148" s="228">
        <v>400</v>
      </c>
      <c r="DV148" s="228">
        <v>0.39</v>
      </c>
      <c r="DW148" s="228">
        <v>0.28999999999999998</v>
      </c>
      <c r="DX148" s="228">
        <v>0.1</v>
      </c>
      <c r="DY148" s="229">
        <v>0.3448</v>
      </c>
      <c r="DZ148" s="229">
        <v>9.0399999999999994E-2</v>
      </c>
      <c r="EA148" s="230">
        <v>9472500</v>
      </c>
      <c r="EB148" s="229">
        <v>6.6E-3</v>
      </c>
      <c r="EC148" s="229">
        <v>9.0399999999999994E-2</v>
      </c>
      <c r="ED148" s="228">
        <v>2.2000000000000002</v>
      </c>
      <c r="EE148" s="229">
        <v>5.4999999999999997E-3</v>
      </c>
      <c r="EF148" s="230">
        <v>4107738</v>
      </c>
      <c r="EG148" s="230">
        <v>4958143</v>
      </c>
      <c r="EH148" s="229">
        <v>-0.17150000000000001</v>
      </c>
      <c r="EI148" s="229">
        <v>0.6099</v>
      </c>
      <c r="EJ148" s="231">
        <v>106489.2</v>
      </c>
      <c r="EK148" s="231">
        <v>39176.28</v>
      </c>
      <c r="EL148" s="231">
        <v>28198.66</v>
      </c>
      <c r="EM148" s="231">
        <v>22070</v>
      </c>
      <c r="EN148" s="231">
        <v>173864.14</v>
      </c>
      <c r="EO148" s="231">
        <v>255067.59</v>
      </c>
      <c r="EP148" s="231">
        <v>-81203.45</v>
      </c>
      <c r="EQ148" s="229">
        <v>-0.31840000000000002</v>
      </c>
      <c r="ER148" s="231">
        <v>133930</v>
      </c>
      <c r="ES148" s="231">
        <v>53280</v>
      </c>
      <c r="ET148" s="231">
        <v>449470</v>
      </c>
      <c r="EU148" s="231">
        <v>550512361</v>
      </c>
      <c r="EV148" s="231">
        <v>636680</v>
      </c>
      <c r="EW148" s="231">
        <v>620080</v>
      </c>
      <c r="EX148" s="231">
        <v>16600</v>
      </c>
      <c r="EY148" s="229">
        <v>2.6800000000000001E-2</v>
      </c>
      <c r="EZ148" s="229">
        <v>0.28520000000000001</v>
      </c>
      <c r="FA148" s="227" t="s">
        <v>555</v>
      </c>
      <c r="FB148" s="161">
        <f t="shared" si="3"/>
        <v>0</v>
      </c>
    </row>
    <row r="149" spans="1:158" ht="17.25" thickBot="1" x14ac:dyDescent="0.3">
      <c r="A149" s="226">
        <v>46146</v>
      </c>
      <c r="B149" s="227" t="s">
        <v>175</v>
      </c>
      <c r="C149" s="227" t="s">
        <v>681</v>
      </c>
      <c r="D149" s="228">
        <v>500</v>
      </c>
      <c r="E149" s="231">
        <v>1338.3</v>
      </c>
      <c r="F149" s="231">
        <v>1323.5</v>
      </c>
      <c r="G149" s="228">
        <v>14.8</v>
      </c>
      <c r="H149" s="229">
        <v>1.12E-2</v>
      </c>
      <c r="I149" s="231">
        <v>1329.3</v>
      </c>
      <c r="J149" s="231">
        <v>1326.5</v>
      </c>
      <c r="K149" s="228">
        <v>2.8</v>
      </c>
      <c r="L149" s="229">
        <v>2.0999999999999999E-3</v>
      </c>
      <c r="M149" s="231">
        <v>1338.3</v>
      </c>
      <c r="N149" s="231">
        <v>1323.5</v>
      </c>
      <c r="O149" s="228">
        <v>14.8</v>
      </c>
      <c r="P149" s="229">
        <v>1.12E-2</v>
      </c>
      <c r="Q149" s="231">
        <v>1321.1</v>
      </c>
      <c r="R149" s="231">
        <v>1310.9</v>
      </c>
      <c r="S149" s="228">
        <v>10.199999999999999</v>
      </c>
      <c r="T149" s="229">
        <v>7.7999999999999996E-3</v>
      </c>
      <c r="U149" s="231">
        <v>1310</v>
      </c>
      <c r="V149" s="231">
        <v>1320</v>
      </c>
      <c r="W149" s="228">
        <v>-10</v>
      </c>
      <c r="X149" s="229">
        <v>-7.6E-3</v>
      </c>
      <c r="Y149" s="228">
        <v>9</v>
      </c>
      <c r="Z149" s="228">
        <v>-3</v>
      </c>
      <c r="AA149" s="228">
        <v>12</v>
      </c>
      <c r="AB149" s="229">
        <v>6.7999999999999996E-3</v>
      </c>
      <c r="AC149" s="228">
        <v>9</v>
      </c>
      <c r="AD149" s="228">
        <v>-3</v>
      </c>
      <c r="AE149" s="228">
        <v>12</v>
      </c>
      <c r="AF149" s="229">
        <v>6.7999999999999996E-3</v>
      </c>
      <c r="AG149" s="228">
        <v>-8.1999999999999993</v>
      </c>
      <c r="AH149" s="228">
        <v>-15.6</v>
      </c>
      <c r="AI149" s="228">
        <v>7.4</v>
      </c>
      <c r="AJ149" s="229">
        <v>-6.1999999999999998E-3</v>
      </c>
      <c r="AK149" s="228">
        <v>-19.3</v>
      </c>
      <c r="AL149" s="228">
        <v>-6.5</v>
      </c>
      <c r="AM149" s="228">
        <v>-12.8</v>
      </c>
      <c r="AN149" s="229">
        <v>-1.4500000000000001E-2</v>
      </c>
      <c r="AO149" s="231">
        <v>1331.26</v>
      </c>
      <c r="AP149" s="231">
        <v>1314.36</v>
      </c>
      <c r="AQ149" s="228">
        <v>0</v>
      </c>
      <c r="AR149" s="230">
        <v>619500</v>
      </c>
      <c r="AS149" s="230">
        <v>587500</v>
      </c>
      <c r="AT149" s="230">
        <v>32000</v>
      </c>
      <c r="AU149" s="229">
        <v>5.45E-2</v>
      </c>
      <c r="AV149" s="230">
        <v>607000</v>
      </c>
      <c r="AW149" s="230">
        <v>551500</v>
      </c>
      <c r="AX149" s="230">
        <v>55500</v>
      </c>
      <c r="AY149" s="229">
        <v>0.10059999999999999</v>
      </c>
      <c r="AZ149" s="230">
        <v>11000</v>
      </c>
      <c r="BA149" s="230">
        <v>34000</v>
      </c>
      <c r="BB149" s="230">
        <v>-23000</v>
      </c>
      <c r="BC149" s="229">
        <v>-0.67649999999999999</v>
      </c>
      <c r="BD149" s="230">
        <v>1500</v>
      </c>
      <c r="BE149" s="230">
        <v>2000</v>
      </c>
      <c r="BF149" s="228">
        <v>-500</v>
      </c>
      <c r="BG149" s="229">
        <v>-0.25</v>
      </c>
      <c r="BH149" s="230">
        <v>525000</v>
      </c>
      <c r="BI149" s="230">
        <v>269500</v>
      </c>
      <c r="BJ149" s="230">
        <v>255500</v>
      </c>
      <c r="BK149" s="229">
        <v>0.94810000000000005</v>
      </c>
      <c r="BL149" s="230">
        <v>122500</v>
      </c>
      <c r="BM149" s="230">
        <v>189500</v>
      </c>
      <c r="BN149" s="230">
        <v>-67000</v>
      </c>
      <c r="BO149" s="229">
        <v>-0.35360000000000003</v>
      </c>
      <c r="BP149" s="230">
        <v>1267000</v>
      </c>
      <c r="BQ149" s="230">
        <v>1046500</v>
      </c>
      <c r="BR149" s="230">
        <v>220500</v>
      </c>
      <c r="BS149" s="229">
        <v>0.2107</v>
      </c>
      <c r="BT149" s="230">
        <v>368865</v>
      </c>
      <c r="BU149" s="230">
        <v>368097</v>
      </c>
      <c r="BV149" s="228">
        <v>768</v>
      </c>
      <c r="BW149" s="229">
        <v>2.0999999999999999E-3</v>
      </c>
      <c r="BX149" s="230">
        <v>1273500</v>
      </c>
      <c r="BY149" s="230">
        <v>1322000</v>
      </c>
      <c r="BZ149" s="230">
        <v>-48500</v>
      </c>
      <c r="CA149" s="229">
        <v>-3.6700000000000003E-2</v>
      </c>
      <c r="CB149" s="230">
        <v>1211000</v>
      </c>
      <c r="CC149" s="230">
        <v>1265000</v>
      </c>
      <c r="CD149" s="230">
        <v>-54000</v>
      </c>
      <c r="CE149" s="229">
        <v>-4.2700000000000002E-2</v>
      </c>
      <c r="CF149" s="230">
        <v>59500</v>
      </c>
      <c r="CG149" s="230">
        <v>55000</v>
      </c>
      <c r="CH149" s="230">
        <v>4500</v>
      </c>
      <c r="CI149" s="229">
        <v>8.1799999999999998E-2</v>
      </c>
      <c r="CJ149" s="230">
        <v>3000</v>
      </c>
      <c r="CK149" s="230">
        <v>2000</v>
      </c>
      <c r="CL149" s="230">
        <v>1000</v>
      </c>
      <c r="CM149" s="229">
        <v>0.5</v>
      </c>
      <c r="CN149" s="230">
        <v>548000</v>
      </c>
      <c r="CO149" s="230">
        <v>436500</v>
      </c>
      <c r="CP149" s="230">
        <v>111500</v>
      </c>
      <c r="CQ149" s="229">
        <v>0.25540000000000002</v>
      </c>
      <c r="CR149" s="230">
        <v>283000</v>
      </c>
      <c r="CS149" s="230">
        <v>251500</v>
      </c>
      <c r="CT149" s="230">
        <v>31500</v>
      </c>
      <c r="CU149" s="229">
        <v>0.12520000000000001</v>
      </c>
      <c r="CV149" s="230">
        <v>2104500</v>
      </c>
      <c r="CW149" s="230">
        <v>2010000</v>
      </c>
      <c r="CX149" s="230">
        <v>94500</v>
      </c>
      <c r="CY149" s="229">
        <v>4.7E-2</v>
      </c>
      <c r="CZ149" s="228">
        <v>39.54</v>
      </c>
      <c r="DA149" s="228">
        <v>43.21</v>
      </c>
      <c r="DB149" s="228">
        <v>-3.67</v>
      </c>
      <c r="DC149" s="228">
        <v>-3.67</v>
      </c>
      <c r="DD149" s="228">
        <v>50.23</v>
      </c>
      <c r="DE149" s="228">
        <v>50.33</v>
      </c>
      <c r="DF149" s="228">
        <v>-10.69</v>
      </c>
      <c r="DG149" s="228">
        <v>-0.1</v>
      </c>
      <c r="DH149" s="228">
        <v>38.46</v>
      </c>
      <c r="DI149" s="228">
        <v>40.33</v>
      </c>
      <c r="DJ149" s="228">
        <v>-1.87</v>
      </c>
      <c r="DK149" s="228">
        <v>-1.87</v>
      </c>
      <c r="DL149" s="228">
        <v>44.14</v>
      </c>
      <c r="DM149" s="228">
        <v>47.32</v>
      </c>
      <c r="DN149" s="228">
        <v>-3.18</v>
      </c>
      <c r="DO149" s="228">
        <v>-3.18</v>
      </c>
      <c r="DP149" s="228">
        <v>0.52</v>
      </c>
      <c r="DQ149" s="228">
        <v>0.57999999999999996</v>
      </c>
      <c r="DR149" s="228">
        <v>-0.06</v>
      </c>
      <c r="DS149" s="229">
        <v>-0.10340000000000001</v>
      </c>
      <c r="DT149" s="231">
        <v>1500</v>
      </c>
      <c r="DU149" s="231">
        <v>1300</v>
      </c>
      <c r="DV149" s="228">
        <v>0.23</v>
      </c>
      <c r="DW149" s="228">
        <v>0.7</v>
      </c>
      <c r="DX149" s="228">
        <v>-0.47</v>
      </c>
      <c r="DY149" s="229">
        <v>-0.6714</v>
      </c>
      <c r="DZ149" s="229">
        <v>4.9099999999999998E-2</v>
      </c>
      <c r="EA149" s="230">
        <v>57000</v>
      </c>
      <c r="EB149" s="229">
        <v>-1.29E-2</v>
      </c>
      <c r="EC149" s="229">
        <v>4.9099999999999998E-2</v>
      </c>
      <c r="ED149" s="228">
        <v>-16.899999999999999</v>
      </c>
      <c r="EE149" s="229">
        <v>-1.2699999999999999E-2</v>
      </c>
      <c r="EF149" s="230">
        <v>203274</v>
      </c>
      <c r="EG149" s="230">
        <v>177226</v>
      </c>
      <c r="EH149" s="229">
        <v>0.14699999999999999</v>
      </c>
      <c r="EI149" s="229">
        <v>0.55110000000000003</v>
      </c>
      <c r="EJ149" s="231">
        <v>7710.88</v>
      </c>
      <c r="EK149" s="231">
        <v>1631.55</v>
      </c>
      <c r="EL149" s="231">
        <v>8244.9500000000007</v>
      </c>
      <c r="EM149" s="231">
        <v>2076</v>
      </c>
      <c r="EN149" s="231">
        <v>17587.38</v>
      </c>
      <c r="EO149" s="231">
        <v>14028.21</v>
      </c>
      <c r="EP149" s="231">
        <v>3559.17</v>
      </c>
      <c r="EQ149" s="229">
        <v>0.25369999999999998</v>
      </c>
      <c r="ER149" s="231">
        <v>7821</v>
      </c>
      <c r="ES149" s="231">
        <v>3607</v>
      </c>
      <c r="ET149" s="231">
        <v>17032</v>
      </c>
      <c r="EU149" s="231">
        <v>12490416</v>
      </c>
      <c r="EV149" s="231">
        <v>28460</v>
      </c>
      <c r="EW149" s="231">
        <v>26931</v>
      </c>
      <c r="EX149" s="231">
        <v>1529</v>
      </c>
      <c r="EY149" s="229">
        <v>5.6800000000000003E-2</v>
      </c>
      <c r="EZ149" s="229">
        <v>0.16850000000000001</v>
      </c>
      <c r="FA149" s="227" t="s">
        <v>691</v>
      </c>
      <c r="FB149" s="161">
        <f t="shared" si="3"/>
        <v>0</v>
      </c>
    </row>
    <row r="150" spans="1:158" ht="17.25" thickBot="1" x14ac:dyDescent="0.3">
      <c r="A150" s="226">
        <v>46146</v>
      </c>
      <c r="B150" s="227" t="s">
        <v>614</v>
      </c>
      <c r="C150" s="227" t="s">
        <v>612</v>
      </c>
      <c r="D150" s="228">
        <v>3125</v>
      </c>
      <c r="E150" s="228">
        <v>266.35000000000002</v>
      </c>
      <c r="F150" s="228">
        <v>266.33999999999997</v>
      </c>
      <c r="G150" s="228">
        <v>0.01</v>
      </c>
      <c r="H150" s="229">
        <v>0</v>
      </c>
      <c r="I150" s="228">
        <v>264.85000000000002</v>
      </c>
      <c r="J150" s="228">
        <v>264.76</v>
      </c>
      <c r="K150" s="228">
        <v>0.09</v>
      </c>
      <c r="L150" s="229">
        <v>2.9999999999999997E-4</v>
      </c>
      <c r="M150" s="228">
        <v>266.35000000000002</v>
      </c>
      <c r="N150" s="228">
        <v>266.33999999999997</v>
      </c>
      <c r="O150" s="228">
        <v>0.01</v>
      </c>
      <c r="P150" s="229">
        <v>0</v>
      </c>
      <c r="Q150" s="228">
        <v>267.3</v>
      </c>
      <c r="R150" s="228">
        <v>267.86</v>
      </c>
      <c r="S150" s="228">
        <v>-0.56000000000000005</v>
      </c>
      <c r="T150" s="229">
        <v>-2.0999999999999999E-3</v>
      </c>
      <c r="U150" s="228">
        <v>267</v>
      </c>
      <c r="V150" s="228">
        <v>0</v>
      </c>
      <c r="W150" s="228">
        <v>267</v>
      </c>
      <c r="X150" s="229">
        <v>0</v>
      </c>
      <c r="Y150" s="228">
        <v>1.5</v>
      </c>
      <c r="Z150" s="228">
        <v>1.58</v>
      </c>
      <c r="AA150" s="228">
        <v>-0.08</v>
      </c>
      <c r="AB150" s="229">
        <v>5.7000000000000002E-3</v>
      </c>
      <c r="AC150" s="228">
        <v>1.5</v>
      </c>
      <c r="AD150" s="228">
        <v>1.58</v>
      </c>
      <c r="AE150" s="228">
        <v>-0.08</v>
      </c>
      <c r="AF150" s="229">
        <v>5.7000000000000002E-3</v>
      </c>
      <c r="AG150" s="228">
        <v>2.4500000000000002</v>
      </c>
      <c r="AH150" s="228">
        <v>3.1</v>
      </c>
      <c r="AI150" s="228">
        <v>-0.65</v>
      </c>
      <c r="AJ150" s="229">
        <v>9.2999999999999992E-3</v>
      </c>
      <c r="AK150" s="228">
        <v>2.15</v>
      </c>
      <c r="AL150" s="228">
        <v>0</v>
      </c>
      <c r="AM150" s="228">
        <v>2.15</v>
      </c>
      <c r="AN150" s="229">
        <v>8.0999999999999996E-3</v>
      </c>
      <c r="AO150" s="228">
        <v>266.70999999999998</v>
      </c>
      <c r="AP150" s="228">
        <v>267.35000000000002</v>
      </c>
      <c r="AQ150" s="228">
        <v>0</v>
      </c>
      <c r="AR150" s="230">
        <v>2934375</v>
      </c>
      <c r="AS150" s="230">
        <v>3209375</v>
      </c>
      <c r="AT150" s="230">
        <v>-275000</v>
      </c>
      <c r="AU150" s="229">
        <v>-8.5699999999999998E-2</v>
      </c>
      <c r="AV150" s="230">
        <v>2850000</v>
      </c>
      <c r="AW150" s="230">
        <v>3121875</v>
      </c>
      <c r="AX150" s="230">
        <v>-271875</v>
      </c>
      <c r="AY150" s="229">
        <v>-8.7099999999999997E-2</v>
      </c>
      <c r="AZ150" s="230">
        <v>71875</v>
      </c>
      <c r="BA150" s="230">
        <v>87500</v>
      </c>
      <c r="BB150" s="230">
        <v>-15625</v>
      </c>
      <c r="BC150" s="229">
        <v>-0.17860000000000001</v>
      </c>
      <c r="BD150" s="230">
        <v>12500</v>
      </c>
      <c r="BE150" s="228">
        <v>0</v>
      </c>
      <c r="BF150" s="230">
        <v>12500</v>
      </c>
      <c r="BG150" s="229">
        <v>0</v>
      </c>
      <c r="BH150" s="230">
        <v>3465625</v>
      </c>
      <c r="BI150" s="230">
        <v>2012500</v>
      </c>
      <c r="BJ150" s="230">
        <v>1453125</v>
      </c>
      <c r="BK150" s="229">
        <v>0.72199999999999998</v>
      </c>
      <c r="BL150" s="230">
        <v>1087500</v>
      </c>
      <c r="BM150" s="230">
        <v>2225000</v>
      </c>
      <c r="BN150" s="230">
        <v>-1137500</v>
      </c>
      <c r="BO150" s="229">
        <v>-0.51119999999999999</v>
      </c>
      <c r="BP150" s="230">
        <v>7487500</v>
      </c>
      <c r="BQ150" s="230">
        <v>7446875</v>
      </c>
      <c r="BR150" s="230">
        <v>40625</v>
      </c>
      <c r="BS150" s="229">
        <v>5.4999999999999997E-3</v>
      </c>
      <c r="BT150" s="230">
        <v>2774228</v>
      </c>
      <c r="BU150" s="230">
        <v>2206137</v>
      </c>
      <c r="BV150" s="230">
        <v>568091</v>
      </c>
      <c r="BW150" s="229">
        <v>0.25750000000000001</v>
      </c>
      <c r="BX150" s="230">
        <v>47225000</v>
      </c>
      <c r="BY150" s="230">
        <v>46328125</v>
      </c>
      <c r="BZ150" s="230">
        <v>896875</v>
      </c>
      <c r="CA150" s="229">
        <v>1.9400000000000001E-2</v>
      </c>
      <c r="CB150" s="230">
        <v>47053125</v>
      </c>
      <c r="CC150" s="230">
        <v>46175000</v>
      </c>
      <c r="CD150" s="230">
        <v>878125</v>
      </c>
      <c r="CE150" s="229">
        <v>1.9E-2</v>
      </c>
      <c r="CF150" s="230">
        <v>159375</v>
      </c>
      <c r="CG150" s="230">
        <v>153125</v>
      </c>
      <c r="CH150" s="230">
        <v>6250</v>
      </c>
      <c r="CI150" s="229">
        <v>4.0800000000000003E-2</v>
      </c>
      <c r="CJ150" s="230">
        <v>12500</v>
      </c>
      <c r="CK150" s="228">
        <v>0</v>
      </c>
      <c r="CL150" s="230">
        <v>12500</v>
      </c>
      <c r="CM150" s="229">
        <v>0</v>
      </c>
      <c r="CN150" s="230">
        <v>4765625</v>
      </c>
      <c r="CO150" s="230">
        <v>4000000</v>
      </c>
      <c r="CP150" s="230">
        <v>765625</v>
      </c>
      <c r="CQ150" s="229">
        <v>0.19139999999999999</v>
      </c>
      <c r="CR150" s="230">
        <v>3240625</v>
      </c>
      <c r="CS150" s="230">
        <v>3287500</v>
      </c>
      <c r="CT150" s="230">
        <v>-46875</v>
      </c>
      <c r="CU150" s="229">
        <v>-1.43E-2</v>
      </c>
      <c r="CV150" s="230">
        <v>55231250</v>
      </c>
      <c r="CW150" s="230">
        <v>53615625</v>
      </c>
      <c r="CX150" s="230">
        <v>1615625</v>
      </c>
      <c r="CY150" s="229">
        <v>3.0099999999999998E-2</v>
      </c>
      <c r="CZ150" s="228">
        <v>34.15</v>
      </c>
      <c r="DA150" s="228">
        <v>32.630000000000003</v>
      </c>
      <c r="DB150" s="228">
        <v>1.52</v>
      </c>
      <c r="DC150" s="228">
        <v>1.52</v>
      </c>
      <c r="DD150" s="228">
        <v>35.53</v>
      </c>
      <c r="DE150" s="228">
        <v>35.619999999999997</v>
      </c>
      <c r="DF150" s="228">
        <v>-1.38</v>
      </c>
      <c r="DG150" s="228">
        <v>-0.09</v>
      </c>
      <c r="DH150" s="228">
        <v>34.19</v>
      </c>
      <c r="DI150" s="228">
        <v>32.69</v>
      </c>
      <c r="DJ150" s="228">
        <v>1.5</v>
      </c>
      <c r="DK150" s="228">
        <v>1.5</v>
      </c>
      <c r="DL150" s="228">
        <v>34.04</v>
      </c>
      <c r="DM150" s="228">
        <v>32.58</v>
      </c>
      <c r="DN150" s="228">
        <v>1.46</v>
      </c>
      <c r="DO150" s="228">
        <v>1.46</v>
      </c>
      <c r="DP150" s="228">
        <v>0.68</v>
      </c>
      <c r="DQ150" s="228">
        <v>0.82</v>
      </c>
      <c r="DR150" s="228">
        <v>-0.14000000000000001</v>
      </c>
      <c r="DS150" s="229">
        <v>-0.17069999999999999</v>
      </c>
      <c r="DT150" s="228">
        <v>270</v>
      </c>
      <c r="DU150" s="228">
        <v>260</v>
      </c>
      <c r="DV150" s="228">
        <v>0.31</v>
      </c>
      <c r="DW150" s="228">
        <v>1.1100000000000001</v>
      </c>
      <c r="DX150" s="228">
        <v>-0.8</v>
      </c>
      <c r="DY150" s="229">
        <v>-0.72070000000000001</v>
      </c>
      <c r="DZ150" s="229">
        <v>3.5999999999999999E-3</v>
      </c>
      <c r="EA150" s="230">
        <v>153125</v>
      </c>
      <c r="EB150" s="229">
        <v>3.5999999999999999E-3</v>
      </c>
      <c r="EC150" s="229">
        <v>3.5999999999999999E-3</v>
      </c>
      <c r="ED150" s="228">
        <v>0.64</v>
      </c>
      <c r="EE150" s="229">
        <v>2.3999999999999998E-3</v>
      </c>
      <c r="EF150" s="230">
        <v>1236604</v>
      </c>
      <c r="EG150" s="230">
        <v>1100726</v>
      </c>
      <c r="EH150" s="229">
        <v>0.1234</v>
      </c>
      <c r="EI150" s="229">
        <v>0.44569999999999999</v>
      </c>
      <c r="EJ150" s="231">
        <v>9842.61</v>
      </c>
      <c r="EK150" s="231">
        <v>2883.29</v>
      </c>
      <c r="EL150" s="231">
        <v>7826.59</v>
      </c>
      <c r="EM150" s="231">
        <v>4402</v>
      </c>
      <c r="EN150" s="231">
        <v>20552.490000000002</v>
      </c>
      <c r="EO150" s="231">
        <v>20102.560000000001</v>
      </c>
      <c r="EP150" s="228">
        <v>449.93</v>
      </c>
      <c r="EQ150" s="229">
        <v>2.24E-2</v>
      </c>
      <c r="ER150" s="231">
        <v>13336</v>
      </c>
      <c r="ES150" s="231">
        <v>8364</v>
      </c>
      <c r="ET150" s="231">
        <v>125785</v>
      </c>
      <c r="EU150" s="231">
        <v>205669742</v>
      </c>
      <c r="EV150" s="231">
        <v>147485</v>
      </c>
      <c r="EW150" s="231">
        <v>143067</v>
      </c>
      <c r="EX150" s="231">
        <v>4418</v>
      </c>
      <c r="EY150" s="229">
        <v>3.09E-2</v>
      </c>
      <c r="EZ150" s="229">
        <v>0.26850000000000002</v>
      </c>
      <c r="FA150" s="227" t="s">
        <v>237</v>
      </c>
      <c r="FB150" s="161">
        <f t="shared" si="3"/>
        <v>0</v>
      </c>
    </row>
    <row r="151" spans="1:158" ht="17.25" thickBot="1" x14ac:dyDescent="0.3">
      <c r="A151" s="226">
        <v>46146</v>
      </c>
      <c r="B151" s="227" t="s">
        <v>206</v>
      </c>
      <c r="C151" s="227" t="s">
        <v>528</v>
      </c>
      <c r="D151" s="228">
        <v>350</v>
      </c>
      <c r="E151" s="231">
        <v>1701.9</v>
      </c>
      <c r="F151" s="231">
        <v>1678</v>
      </c>
      <c r="G151" s="228">
        <v>23.9</v>
      </c>
      <c r="H151" s="229">
        <v>1.4200000000000001E-2</v>
      </c>
      <c r="I151" s="231">
        <v>1693.7</v>
      </c>
      <c r="J151" s="231">
        <v>1669.6</v>
      </c>
      <c r="K151" s="228">
        <v>24.1</v>
      </c>
      <c r="L151" s="229">
        <v>1.44E-2</v>
      </c>
      <c r="M151" s="231">
        <v>1701.9</v>
      </c>
      <c r="N151" s="231">
        <v>1678</v>
      </c>
      <c r="O151" s="228">
        <v>23.9</v>
      </c>
      <c r="P151" s="229">
        <v>1.4200000000000001E-2</v>
      </c>
      <c r="Q151" s="231">
        <v>1686.4</v>
      </c>
      <c r="R151" s="231">
        <v>1662</v>
      </c>
      <c r="S151" s="228">
        <v>24.4</v>
      </c>
      <c r="T151" s="229">
        <v>1.47E-2</v>
      </c>
      <c r="U151" s="231">
        <v>1680.4</v>
      </c>
      <c r="V151" s="231">
        <v>1655.8</v>
      </c>
      <c r="W151" s="228">
        <v>24.6</v>
      </c>
      <c r="X151" s="229">
        <v>1.49E-2</v>
      </c>
      <c r="Y151" s="228">
        <v>8.1999999999999993</v>
      </c>
      <c r="Z151" s="228">
        <v>8.4</v>
      </c>
      <c r="AA151" s="228">
        <v>-0.2</v>
      </c>
      <c r="AB151" s="229">
        <v>4.7999999999999996E-3</v>
      </c>
      <c r="AC151" s="228">
        <v>8.1999999999999993</v>
      </c>
      <c r="AD151" s="228">
        <v>8.4</v>
      </c>
      <c r="AE151" s="228">
        <v>-0.2</v>
      </c>
      <c r="AF151" s="229">
        <v>4.7999999999999996E-3</v>
      </c>
      <c r="AG151" s="228">
        <v>-7.3</v>
      </c>
      <c r="AH151" s="228">
        <v>-7.6</v>
      </c>
      <c r="AI151" s="228">
        <v>0.3</v>
      </c>
      <c r="AJ151" s="229">
        <v>-4.3E-3</v>
      </c>
      <c r="AK151" s="228">
        <v>-13.3</v>
      </c>
      <c r="AL151" s="228">
        <v>-13.8</v>
      </c>
      <c r="AM151" s="228">
        <v>0.5</v>
      </c>
      <c r="AN151" s="229">
        <v>-7.9000000000000008E-3</v>
      </c>
      <c r="AO151" s="231">
        <v>1701.51</v>
      </c>
      <c r="AP151" s="231">
        <v>1687.45</v>
      </c>
      <c r="AQ151" s="228">
        <v>0</v>
      </c>
      <c r="AR151" s="230">
        <v>493500</v>
      </c>
      <c r="AS151" s="230">
        <v>704550</v>
      </c>
      <c r="AT151" s="230">
        <v>-211050</v>
      </c>
      <c r="AU151" s="229">
        <v>-0.29959999999999998</v>
      </c>
      <c r="AV151" s="230">
        <v>471800</v>
      </c>
      <c r="AW151" s="230">
        <v>685300</v>
      </c>
      <c r="AX151" s="230">
        <v>-213500</v>
      </c>
      <c r="AY151" s="229">
        <v>-0.3115</v>
      </c>
      <c r="AZ151" s="230">
        <v>21350</v>
      </c>
      <c r="BA151" s="230">
        <v>17500</v>
      </c>
      <c r="BB151" s="230">
        <v>3850</v>
      </c>
      <c r="BC151" s="229">
        <v>0.22</v>
      </c>
      <c r="BD151" s="228">
        <v>350</v>
      </c>
      <c r="BE151" s="230">
        <v>1750</v>
      </c>
      <c r="BF151" s="230">
        <v>-1400</v>
      </c>
      <c r="BG151" s="229">
        <v>-0.8</v>
      </c>
      <c r="BH151" s="230">
        <v>547750</v>
      </c>
      <c r="BI151" s="230">
        <v>383600</v>
      </c>
      <c r="BJ151" s="230">
        <v>164150</v>
      </c>
      <c r="BK151" s="229">
        <v>0.4279</v>
      </c>
      <c r="BL151" s="230">
        <v>166600</v>
      </c>
      <c r="BM151" s="230">
        <v>180950</v>
      </c>
      <c r="BN151" s="230">
        <v>-14350</v>
      </c>
      <c r="BO151" s="229">
        <v>-7.9299999999999995E-2</v>
      </c>
      <c r="BP151" s="230">
        <v>1207850</v>
      </c>
      <c r="BQ151" s="230">
        <v>1269100</v>
      </c>
      <c r="BR151" s="230">
        <v>-61250</v>
      </c>
      <c r="BS151" s="229">
        <v>-4.8300000000000003E-2</v>
      </c>
      <c r="BT151" s="230">
        <v>240614</v>
      </c>
      <c r="BU151" s="230">
        <v>487617</v>
      </c>
      <c r="BV151" s="230">
        <v>-247003</v>
      </c>
      <c r="BW151" s="229">
        <v>-0.50660000000000005</v>
      </c>
      <c r="BX151" s="230">
        <v>6989150</v>
      </c>
      <c r="BY151" s="230">
        <v>6997900</v>
      </c>
      <c r="BZ151" s="230">
        <v>-8750</v>
      </c>
      <c r="CA151" s="229">
        <v>-1.2999999999999999E-3</v>
      </c>
      <c r="CB151" s="230">
        <v>6923700</v>
      </c>
      <c r="CC151" s="230">
        <v>6942600</v>
      </c>
      <c r="CD151" s="230">
        <v>-18900</v>
      </c>
      <c r="CE151" s="229">
        <v>-2.7000000000000001E-3</v>
      </c>
      <c r="CF151" s="230">
        <v>59150</v>
      </c>
      <c r="CG151" s="230">
        <v>48650</v>
      </c>
      <c r="CH151" s="230">
        <v>10500</v>
      </c>
      <c r="CI151" s="229">
        <v>0.21579999999999999</v>
      </c>
      <c r="CJ151" s="230">
        <v>6300</v>
      </c>
      <c r="CK151" s="230">
        <v>6650</v>
      </c>
      <c r="CL151" s="228">
        <v>-350</v>
      </c>
      <c r="CM151" s="229">
        <v>-5.2600000000000001E-2</v>
      </c>
      <c r="CN151" s="230">
        <v>989100</v>
      </c>
      <c r="CO151" s="230">
        <v>889000</v>
      </c>
      <c r="CP151" s="230">
        <v>100100</v>
      </c>
      <c r="CQ151" s="229">
        <v>0.11260000000000001</v>
      </c>
      <c r="CR151" s="230">
        <v>347200</v>
      </c>
      <c r="CS151" s="230">
        <v>308000</v>
      </c>
      <c r="CT151" s="230">
        <v>39200</v>
      </c>
      <c r="CU151" s="229">
        <v>0.1273</v>
      </c>
      <c r="CV151" s="230">
        <v>8325450</v>
      </c>
      <c r="CW151" s="230">
        <v>8194900</v>
      </c>
      <c r="CX151" s="230">
        <v>130550</v>
      </c>
      <c r="CY151" s="229">
        <v>1.5900000000000001E-2</v>
      </c>
      <c r="CZ151" s="228">
        <v>35.880000000000003</v>
      </c>
      <c r="DA151" s="228">
        <v>34.47</v>
      </c>
      <c r="DB151" s="228">
        <v>1.41</v>
      </c>
      <c r="DC151" s="228">
        <v>1.41</v>
      </c>
      <c r="DD151" s="228">
        <v>36.44</v>
      </c>
      <c r="DE151" s="228">
        <v>36.479999999999997</v>
      </c>
      <c r="DF151" s="228">
        <v>-0.56000000000000005</v>
      </c>
      <c r="DG151" s="228">
        <v>-0.04</v>
      </c>
      <c r="DH151" s="228">
        <v>35.409999999999997</v>
      </c>
      <c r="DI151" s="228">
        <v>33.64</v>
      </c>
      <c r="DJ151" s="228">
        <v>1.77</v>
      </c>
      <c r="DK151" s="228">
        <v>1.77</v>
      </c>
      <c r="DL151" s="228">
        <v>37.43</v>
      </c>
      <c r="DM151" s="228">
        <v>36.229999999999997</v>
      </c>
      <c r="DN151" s="228">
        <v>1.2</v>
      </c>
      <c r="DO151" s="228">
        <v>1.2</v>
      </c>
      <c r="DP151" s="228">
        <v>0.35</v>
      </c>
      <c r="DQ151" s="228">
        <v>0.35</v>
      </c>
      <c r="DR151" s="228">
        <v>0</v>
      </c>
      <c r="DS151" s="229">
        <v>0</v>
      </c>
      <c r="DT151" s="231">
        <v>1880</v>
      </c>
      <c r="DU151" s="231">
        <v>1700</v>
      </c>
      <c r="DV151" s="228">
        <v>0.3</v>
      </c>
      <c r="DW151" s="228">
        <v>0.47</v>
      </c>
      <c r="DX151" s="228">
        <v>-0.17</v>
      </c>
      <c r="DY151" s="229">
        <v>-0.36170000000000002</v>
      </c>
      <c r="DZ151" s="229">
        <v>9.4000000000000004E-3</v>
      </c>
      <c r="EA151" s="230">
        <v>55300</v>
      </c>
      <c r="EB151" s="229">
        <v>-9.1000000000000004E-3</v>
      </c>
      <c r="EC151" s="229">
        <v>9.4000000000000004E-3</v>
      </c>
      <c r="ED151" s="228">
        <v>-14.06</v>
      </c>
      <c r="EE151" s="229">
        <v>-8.3000000000000001E-3</v>
      </c>
      <c r="EF151" s="230">
        <v>98414</v>
      </c>
      <c r="EG151" s="230">
        <v>286917</v>
      </c>
      <c r="EH151" s="229">
        <v>-0.65700000000000003</v>
      </c>
      <c r="EI151" s="229">
        <v>0.40899999999999997</v>
      </c>
      <c r="EJ151" s="231">
        <v>9961.51</v>
      </c>
      <c r="EK151" s="231">
        <v>2819.04</v>
      </c>
      <c r="EL151" s="231">
        <v>8393.86</v>
      </c>
      <c r="EM151" s="231">
        <v>6785</v>
      </c>
      <c r="EN151" s="231">
        <v>21174.41</v>
      </c>
      <c r="EO151" s="231">
        <v>21815.97</v>
      </c>
      <c r="EP151" s="228">
        <v>-641.55999999999995</v>
      </c>
      <c r="EQ151" s="229">
        <v>-2.9399999999999999E-2</v>
      </c>
      <c r="ER151" s="231">
        <v>18106</v>
      </c>
      <c r="ES151" s="231">
        <v>5701</v>
      </c>
      <c r="ET151" s="231">
        <v>118938</v>
      </c>
      <c r="EU151" s="231">
        <v>17614093</v>
      </c>
      <c r="EV151" s="231">
        <v>142745</v>
      </c>
      <c r="EW151" s="231">
        <v>138822</v>
      </c>
      <c r="EX151" s="231">
        <v>3923</v>
      </c>
      <c r="EY151" s="229">
        <v>2.8299999999999999E-2</v>
      </c>
      <c r="EZ151" s="229">
        <v>0.47270000000000001</v>
      </c>
      <c r="FA151" s="227" t="s">
        <v>691</v>
      </c>
      <c r="FB151" s="161">
        <f t="shared" si="3"/>
        <v>0</v>
      </c>
    </row>
    <row r="152" spans="1:158" ht="17.25" thickBot="1" x14ac:dyDescent="0.3">
      <c r="A152" s="226">
        <v>46146</v>
      </c>
      <c r="B152" s="227" t="s">
        <v>221</v>
      </c>
      <c r="C152" s="227" t="s">
        <v>518</v>
      </c>
      <c r="D152" s="228">
        <v>75</v>
      </c>
      <c r="E152" s="231">
        <v>9628.5</v>
      </c>
      <c r="F152" s="231">
        <v>9584.5</v>
      </c>
      <c r="G152" s="228">
        <v>44</v>
      </c>
      <c r="H152" s="229">
        <v>4.5999999999999999E-3</v>
      </c>
      <c r="I152" s="231">
        <v>9730</v>
      </c>
      <c r="J152" s="231">
        <v>9726.5</v>
      </c>
      <c r="K152" s="228">
        <v>3.5</v>
      </c>
      <c r="L152" s="229">
        <v>4.0000000000000002E-4</v>
      </c>
      <c r="M152" s="231">
        <v>9628.5</v>
      </c>
      <c r="N152" s="231">
        <v>9584.5</v>
      </c>
      <c r="O152" s="228">
        <v>44</v>
      </c>
      <c r="P152" s="229">
        <v>4.5999999999999999E-3</v>
      </c>
      <c r="Q152" s="231">
        <v>9526.5</v>
      </c>
      <c r="R152" s="231">
        <v>9479.5</v>
      </c>
      <c r="S152" s="228">
        <v>47</v>
      </c>
      <c r="T152" s="229">
        <v>5.0000000000000001E-3</v>
      </c>
      <c r="U152" s="231">
        <v>9513</v>
      </c>
      <c r="V152" s="231">
        <v>9513</v>
      </c>
      <c r="W152" s="228">
        <v>0</v>
      </c>
      <c r="X152" s="229">
        <v>0</v>
      </c>
      <c r="Y152" s="228">
        <v>-101.5</v>
      </c>
      <c r="Z152" s="228">
        <v>-142</v>
      </c>
      <c r="AA152" s="228">
        <v>40.5</v>
      </c>
      <c r="AB152" s="229">
        <v>-1.04E-2</v>
      </c>
      <c r="AC152" s="228">
        <v>-101.5</v>
      </c>
      <c r="AD152" s="228">
        <v>-142</v>
      </c>
      <c r="AE152" s="228">
        <v>40.5</v>
      </c>
      <c r="AF152" s="229">
        <v>-1.04E-2</v>
      </c>
      <c r="AG152" s="228">
        <v>-203.5</v>
      </c>
      <c r="AH152" s="228">
        <v>-247</v>
      </c>
      <c r="AI152" s="228">
        <v>43.5</v>
      </c>
      <c r="AJ152" s="229">
        <v>-2.0899999999999998E-2</v>
      </c>
      <c r="AK152" s="228">
        <v>-217</v>
      </c>
      <c r="AL152" s="228">
        <v>-213.5</v>
      </c>
      <c r="AM152" s="228">
        <v>-3.5</v>
      </c>
      <c r="AN152" s="229">
        <v>-2.23E-2</v>
      </c>
      <c r="AO152" s="231">
        <v>9647.52</v>
      </c>
      <c r="AP152" s="231">
        <v>9535.1</v>
      </c>
      <c r="AQ152" s="228">
        <v>0</v>
      </c>
      <c r="AR152" s="230">
        <v>239625</v>
      </c>
      <c r="AS152" s="230">
        <v>280200</v>
      </c>
      <c r="AT152" s="230">
        <v>-40575</v>
      </c>
      <c r="AU152" s="229">
        <v>-0.14480000000000001</v>
      </c>
      <c r="AV152" s="230">
        <v>231150</v>
      </c>
      <c r="AW152" s="230">
        <v>270375</v>
      </c>
      <c r="AX152" s="230">
        <v>-39225</v>
      </c>
      <c r="AY152" s="229">
        <v>-0.14510000000000001</v>
      </c>
      <c r="AZ152" s="230">
        <v>8475</v>
      </c>
      <c r="BA152" s="230">
        <v>9225</v>
      </c>
      <c r="BB152" s="228">
        <v>-750</v>
      </c>
      <c r="BC152" s="229">
        <v>-8.1299999999999997E-2</v>
      </c>
      <c r="BD152" s="228">
        <v>0</v>
      </c>
      <c r="BE152" s="228">
        <v>600</v>
      </c>
      <c r="BF152" s="228">
        <v>-600</v>
      </c>
      <c r="BG152" s="229">
        <v>-1</v>
      </c>
      <c r="BH152" s="230">
        <v>1014975</v>
      </c>
      <c r="BI152" s="230">
        <v>1329525</v>
      </c>
      <c r="BJ152" s="230">
        <v>-314550</v>
      </c>
      <c r="BK152" s="229">
        <v>-0.2366</v>
      </c>
      <c r="BL152" s="230">
        <v>607275</v>
      </c>
      <c r="BM152" s="230">
        <v>638250</v>
      </c>
      <c r="BN152" s="230">
        <v>-30975</v>
      </c>
      <c r="BO152" s="229">
        <v>-4.8500000000000001E-2</v>
      </c>
      <c r="BP152" s="230">
        <v>1861875</v>
      </c>
      <c r="BQ152" s="230">
        <v>2247975</v>
      </c>
      <c r="BR152" s="230">
        <v>-386100</v>
      </c>
      <c r="BS152" s="229">
        <v>-0.17180000000000001</v>
      </c>
      <c r="BT152" s="230">
        <v>363803</v>
      </c>
      <c r="BU152" s="230">
        <v>383615</v>
      </c>
      <c r="BV152" s="230">
        <v>-19812</v>
      </c>
      <c r="BW152" s="229">
        <v>-5.16E-2</v>
      </c>
      <c r="BX152" s="230">
        <v>1305200</v>
      </c>
      <c r="BY152" s="230">
        <v>1297400</v>
      </c>
      <c r="BZ152" s="230">
        <v>7800</v>
      </c>
      <c r="CA152" s="229">
        <v>6.0000000000000001E-3</v>
      </c>
      <c r="CB152" s="230">
        <v>1283925</v>
      </c>
      <c r="CC152" s="230">
        <v>1278675</v>
      </c>
      <c r="CD152" s="230">
        <v>5250</v>
      </c>
      <c r="CE152" s="229">
        <v>4.1000000000000003E-3</v>
      </c>
      <c r="CF152" s="230">
        <v>19575</v>
      </c>
      <c r="CG152" s="230">
        <v>17025</v>
      </c>
      <c r="CH152" s="230">
        <v>2550</v>
      </c>
      <c r="CI152" s="229">
        <v>0.14979999999999999</v>
      </c>
      <c r="CJ152" s="230">
        <v>1700</v>
      </c>
      <c r="CK152" s="230">
        <v>1700</v>
      </c>
      <c r="CL152" s="228">
        <v>0</v>
      </c>
      <c r="CM152" s="229">
        <v>0</v>
      </c>
      <c r="CN152" s="230">
        <v>619575</v>
      </c>
      <c r="CO152" s="230">
        <v>608775</v>
      </c>
      <c r="CP152" s="230">
        <v>10800</v>
      </c>
      <c r="CQ152" s="229">
        <v>1.77E-2</v>
      </c>
      <c r="CR152" s="230">
        <v>620025</v>
      </c>
      <c r="CS152" s="230">
        <v>590625</v>
      </c>
      <c r="CT152" s="230">
        <v>29400</v>
      </c>
      <c r="CU152" s="229">
        <v>4.9799999999999997E-2</v>
      </c>
      <c r="CV152" s="230">
        <v>2544800</v>
      </c>
      <c r="CW152" s="230">
        <v>2496800</v>
      </c>
      <c r="CX152" s="230">
        <v>48000</v>
      </c>
      <c r="CY152" s="229">
        <v>1.9199999999999998E-2</v>
      </c>
      <c r="CZ152" s="228">
        <v>36.53</v>
      </c>
      <c r="DA152" s="228">
        <v>36.46</v>
      </c>
      <c r="DB152" s="228">
        <v>7.0000000000000007E-2</v>
      </c>
      <c r="DC152" s="228">
        <v>7.0000000000000007E-2</v>
      </c>
      <c r="DD152" s="228">
        <v>41.35</v>
      </c>
      <c r="DE152" s="228">
        <v>41.45</v>
      </c>
      <c r="DF152" s="228">
        <v>-4.82</v>
      </c>
      <c r="DG152" s="228">
        <v>-0.1</v>
      </c>
      <c r="DH152" s="228">
        <v>35.6</v>
      </c>
      <c r="DI152" s="228">
        <v>35.57</v>
      </c>
      <c r="DJ152" s="228">
        <v>0.03</v>
      </c>
      <c r="DK152" s="228">
        <v>0.03</v>
      </c>
      <c r="DL152" s="228">
        <v>38.090000000000003</v>
      </c>
      <c r="DM152" s="228">
        <v>38.31</v>
      </c>
      <c r="DN152" s="228">
        <v>-0.22</v>
      </c>
      <c r="DO152" s="228">
        <v>-0.22</v>
      </c>
      <c r="DP152" s="228">
        <v>1</v>
      </c>
      <c r="DQ152" s="228">
        <v>0.97</v>
      </c>
      <c r="DR152" s="228">
        <v>0.03</v>
      </c>
      <c r="DS152" s="229">
        <v>3.09E-2</v>
      </c>
      <c r="DT152" s="231">
        <v>9800</v>
      </c>
      <c r="DU152" s="231">
        <v>8000</v>
      </c>
      <c r="DV152" s="228">
        <v>0.6</v>
      </c>
      <c r="DW152" s="228">
        <v>0.48</v>
      </c>
      <c r="DX152" s="228">
        <v>0.12</v>
      </c>
      <c r="DY152" s="229">
        <v>0.25</v>
      </c>
      <c r="DZ152" s="229">
        <v>1.6299999999999999E-2</v>
      </c>
      <c r="EA152" s="230">
        <v>18725</v>
      </c>
      <c r="EB152" s="229">
        <v>-1.06E-2</v>
      </c>
      <c r="EC152" s="229">
        <v>1.6299999999999999E-2</v>
      </c>
      <c r="ED152" s="228">
        <v>-112.42</v>
      </c>
      <c r="EE152" s="229">
        <v>-1.17E-2</v>
      </c>
      <c r="EF152" s="230">
        <v>189775</v>
      </c>
      <c r="EG152" s="230">
        <v>126269</v>
      </c>
      <c r="EH152" s="229">
        <v>0.50290000000000001</v>
      </c>
      <c r="EI152" s="229">
        <v>0.52159999999999995</v>
      </c>
      <c r="EJ152" s="231">
        <v>104130.16</v>
      </c>
      <c r="EK152" s="231">
        <v>57375.66</v>
      </c>
      <c r="EL152" s="231">
        <v>23108.34</v>
      </c>
      <c r="EM152" s="231">
        <v>9211</v>
      </c>
      <c r="EN152" s="231">
        <v>184614.16</v>
      </c>
      <c r="EO152" s="231">
        <v>222024.08</v>
      </c>
      <c r="EP152" s="231">
        <v>-37409.919999999998</v>
      </c>
      <c r="EQ152" s="229">
        <v>-0.16850000000000001</v>
      </c>
      <c r="ER152" s="231">
        <v>59630</v>
      </c>
      <c r="ES152" s="231">
        <v>53932</v>
      </c>
      <c r="ET152" s="231">
        <v>125649</v>
      </c>
      <c r="EU152" s="231">
        <v>3594855</v>
      </c>
      <c r="EV152" s="231">
        <v>239211</v>
      </c>
      <c r="EW152" s="231">
        <v>233854</v>
      </c>
      <c r="EX152" s="231">
        <v>5357</v>
      </c>
      <c r="EY152" s="229">
        <v>2.29E-2</v>
      </c>
      <c r="EZ152" s="229">
        <v>0.70789999999999997</v>
      </c>
      <c r="FA152" s="227" t="s">
        <v>555</v>
      </c>
      <c r="FB152" s="161">
        <f t="shared" si="3"/>
        <v>0</v>
      </c>
    </row>
    <row r="153" spans="1:158" ht="17.25" thickBot="1" x14ac:dyDescent="0.3">
      <c r="A153" s="226">
        <v>46146</v>
      </c>
      <c r="B153" s="227" t="s">
        <v>193</v>
      </c>
      <c r="C153" s="227" t="s">
        <v>586</v>
      </c>
      <c r="D153" s="228">
        <v>1400</v>
      </c>
      <c r="E153" s="228">
        <v>477.9</v>
      </c>
      <c r="F153" s="228">
        <v>491.4</v>
      </c>
      <c r="G153" s="228">
        <v>-13.5</v>
      </c>
      <c r="H153" s="229">
        <v>-2.75E-2</v>
      </c>
      <c r="I153" s="228">
        <v>475.1</v>
      </c>
      <c r="J153" s="228">
        <v>490.8</v>
      </c>
      <c r="K153" s="228">
        <v>-15.7</v>
      </c>
      <c r="L153" s="229">
        <v>-3.2000000000000001E-2</v>
      </c>
      <c r="M153" s="228">
        <v>477.9</v>
      </c>
      <c r="N153" s="228">
        <v>491.4</v>
      </c>
      <c r="O153" s="228">
        <v>-13.5</v>
      </c>
      <c r="P153" s="229">
        <v>-2.75E-2</v>
      </c>
      <c r="Q153" s="228">
        <v>478</v>
      </c>
      <c r="R153" s="228">
        <v>490.9</v>
      </c>
      <c r="S153" s="228">
        <v>-12.9</v>
      </c>
      <c r="T153" s="229">
        <v>-2.63E-2</v>
      </c>
      <c r="U153" s="228">
        <v>478.9</v>
      </c>
      <c r="V153" s="228">
        <v>491.6</v>
      </c>
      <c r="W153" s="228">
        <v>-12.7</v>
      </c>
      <c r="X153" s="229">
        <v>-2.58E-2</v>
      </c>
      <c r="Y153" s="228">
        <v>2.8</v>
      </c>
      <c r="Z153" s="228">
        <v>0.6</v>
      </c>
      <c r="AA153" s="228">
        <v>2.2000000000000002</v>
      </c>
      <c r="AB153" s="229">
        <v>5.8999999999999999E-3</v>
      </c>
      <c r="AC153" s="228">
        <v>2.8</v>
      </c>
      <c r="AD153" s="228">
        <v>0.6</v>
      </c>
      <c r="AE153" s="228">
        <v>2.2000000000000002</v>
      </c>
      <c r="AF153" s="229">
        <v>5.8999999999999999E-3</v>
      </c>
      <c r="AG153" s="228">
        <v>2.9</v>
      </c>
      <c r="AH153" s="228">
        <v>0.1</v>
      </c>
      <c r="AI153" s="228">
        <v>2.8</v>
      </c>
      <c r="AJ153" s="229">
        <v>6.1000000000000004E-3</v>
      </c>
      <c r="AK153" s="228">
        <v>3.8</v>
      </c>
      <c r="AL153" s="228">
        <v>0.8</v>
      </c>
      <c r="AM153" s="228">
        <v>3</v>
      </c>
      <c r="AN153" s="229">
        <v>8.0000000000000002E-3</v>
      </c>
      <c r="AO153" s="228">
        <v>480.28</v>
      </c>
      <c r="AP153" s="228">
        <v>479.95</v>
      </c>
      <c r="AQ153" s="228">
        <v>0</v>
      </c>
      <c r="AR153" s="230">
        <v>3890600</v>
      </c>
      <c r="AS153" s="230">
        <v>3525200</v>
      </c>
      <c r="AT153" s="230">
        <v>365400</v>
      </c>
      <c r="AU153" s="229">
        <v>0.1037</v>
      </c>
      <c r="AV153" s="230">
        <v>3648400</v>
      </c>
      <c r="AW153" s="230">
        <v>3333400</v>
      </c>
      <c r="AX153" s="230">
        <v>315000</v>
      </c>
      <c r="AY153" s="229">
        <v>9.4500000000000001E-2</v>
      </c>
      <c r="AZ153" s="230">
        <v>221200</v>
      </c>
      <c r="BA153" s="230">
        <v>175000</v>
      </c>
      <c r="BB153" s="230">
        <v>46200</v>
      </c>
      <c r="BC153" s="229">
        <v>0.26400000000000001</v>
      </c>
      <c r="BD153" s="230">
        <v>21000</v>
      </c>
      <c r="BE153" s="230">
        <v>16800</v>
      </c>
      <c r="BF153" s="230">
        <v>4200</v>
      </c>
      <c r="BG153" s="229">
        <v>0.25</v>
      </c>
      <c r="BH153" s="230">
        <v>11151000</v>
      </c>
      <c r="BI153" s="230">
        <v>10819200</v>
      </c>
      <c r="BJ153" s="230">
        <v>331800</v>
      </c>
      <c r="BK153" s="229">
        <v>3.0700000000000002E-2</v>
      </c>
      <c r="BL153" s="230">
        <v>4947600</v>
      </c>
      <c r="BM153" s="230">
        <v>3628800</v>
      </c>
      <c r="BN153" s="230">
        <v>1318800</v>
      </c>
      <c r="BO153" s="229">
        <v>0.3634</v>
      </c>
      <c r="BP153" s="230">
        <v>19989200</v>
      </c>
      <c r="BQ153" s="230">
        <v>17973200</v>
      </c>
      <c r="BR153" s="230">
        <v>2016000</v>
      </c>
      <c r="BS153" s="229">
        <v>0.11219999999999999</v>
      </c>
      <c r="BT153" s="230">
        <v>7092622</v>
      </c>
      <c r="BU153" s="230">
        <v>5041634</v>
      </c>
      <c r="BV153" s="230">
        <v>2050988</v>
      </c>
      <c r="BW153" s="229">
        <v>0.40679999999999999</v>
      </c>
      <c r="BX153" s="230">
        <v>19317200</v>
      </c>
      <c r="BY153" s="230">
        <v>19818400</v>
      </c>
      <c r="BZ153" s="230">
        <v>-501200</v>
      </c>
      <c r="CA153" s="229">
        <v>-2.53E-2</v>
      </c>
      <c r="CB153" s="230">
        <v>18704000</v>
      </c>
      <c r="CC153" s="230">
        <v>19290600</v>
      </c>
      <c r="CD153" s="230">
        <v>-586600</v>
      </c>
      <c r="CE153" s="229">
        <v>-3.04E-2</v>
      </c>
      <c r="CF153" s="230">
        <v>578200</v>
      </c>
      <c r="CG153" s="230">
        <v>508200</v>
      </c>
      <c r="CH153" s="230">
        <v>70000</v>
      </c>
      <c r="CI153" s="229">
        <v>0.13769999999999999</v>
      </c>
      <c r="CJ153" s="230">
        <v>35000</v>
      </c>
      <c r="CK153" s="230">
        <v>19600</v>
      </c>
      <c r="CL153" s="230">
        <v>15400</v>
      </c>
      <c r="CM153" s="229">
        <v>0.78569999999999995</v>
      </c>
      <c r="CN153" s="230">
        <v>8514800</v>
      </c>
      <c r="CO153" s="230">
        <v>7924000</v>
      </c>
      <c r="CP153" s="230">
        <v>590800</v>
      </c>
      <c r="CQ153" s="229">
        <v>7.46E-2</v>
      </c>
      <c r="CR153" s="230">
        <v>4401600</v>
      </c>
      <c r="CS153" s="230">
        <v>4153800</v>
      </c>
      <c r="CT153" s="230">
        <v>247800</v>
      </c>
      <c r="CU153" s="229">
        <v>5.9700000000000003E-2</v>
      </c>
      <c r="CV153" s="230">
        <v>32233600</v>
      </c>
      <c r="CW153" s="230">
        <v>31896200</v>
      </c>
      <c r="CX153" s="230">
        <v>337400</v>
      </c>
      <c r="CY153" s="229">
        <v>1.06E-2</v>
      </c>
      <c r="CZ153" s="228">
        <v>36.18</v>
      </c>
      <c r="DA153" s="228">
        <v>36.630000000000003</v>
      </c>
      <c r="DB153" s="228">
        <v>-0.45</v>
      </c>
      <c r="DC153" s="228">
        <v>-0.45</v>
      </c>
      <c r="DD153" s="228">
        <v>41.36</v>
      </c>
      <c r="DE153" s="228">
        <v>41.23</v>
      </c>
      <c r="DF153" s="228">
        <v>-5.18</v>
      </c>
      <c r="DG153" s="228">
        <v>0.13</v>
      </c>
      <c r="DH153" s="228">
        <v>36.770000000000003</v>
      </c>
      <c r="DI153" s="228">
        <v>36.909999999999997</v>
      </c>
      <c r="DJ153" s="228">
        <v>-0.14000000000000001</v>
      </c>
      <c r="DK153" s="228">
        <v>-0.14000000000000001</v>
      </c>
      <c r="DL153" s="228">
        <v>34.840000000000003</v>
      </c>
      <c r="DM153" s="228">
        <v>35.799999999999997</v>
      </c>
      <c r="DN153" s="228">
        <v>-0.96</v>
      </c>
      <c r="DO153" s="228">
        <v>-0.96</v>
      </c>
      <c r="DP153" s="228">
        <v>0.52</v>
      </c>
      <c r="DQ153" s="228">
        <v>0.52</v>
      </c>
      <c r="DR153" s="228">
        <v>0</v>
      </c>
      <c r="DS153" s="229">
        <v>0</v>
      </c>
      <c r="DT153" s="228">
        <v>500</v>
      </c>
      <c r="DU153" s="228">
        <v>500</v>
      </c>
      <c r="DV153" s="228">
        <v>0.44</v>
      </c>
      <c r="DW153" s="228">
        <v>0.34</v>
      </c>
      <c r="DX153" s="228">
        <v>0.1</v>
      </c>
      <c r="DY153" s="229">
        <v>0.29409999999999997</v>
      </c>
      <c r="DZ153" s="229">
        <v>3.1699999999999999E-2</v>
      </c>
      <c r="EA153" s="230">
        <v>527800</v>
      </c>
      <c r="EB153" s="229">
        <v>2.0000000000000001E-4</v>
      </c>
      <c r="EC153" s="229">
        <v>3.1699999999999999E-2</v>
      </c>
      <c r="ED153" s="228">
        <v>-0.33</v>
      </c>
      <c r="EE153" s="229">
        <v>-6.9999999999999999E-4</v>
      </c>
      <c r="EF153" s="230">
        <v>3352663</v>
      </c>
      <c r="EG153" s="230">
        <v>1724069</v>
      </c>
      <c r="EH153" s="229">
        <v>0.9446</v>
      </c>
      <c r="EI153" s="229">
        <v>0.47270000000000001</v>
      </c>
      <c r="EJ153" s="231">
        <v>57206.89</v>
      </c>
      <c r="EK153" s="231">
        <v>24113.22</v>
      </c>
      <c r="EL153" s="231">
        <v>18685.310000000001</v>
      </c>
      <c r="EM153" s="231">
        <v>6049</v>
      </c>
      <c r="EN153" s="231">
        <v>100005.42</v>
      </c>
      <c r="EO153" s="231">
        <v>91943.2</v>
      </c>
      <c r="EP153" s="231">
        <v>8062.22</v>
      </c>
      <c r="EQ153" s="229">
        <v>8.77E-2</v>
      </c>
      <c r="ER153" s="231">
        <v>43048</v>
      </c>
      <c r="ES153" s="231">
        <v>20865</v>
      </c>
      <c r="ET153" s="231">
        <v>92318</v>
      </c>
      <c r="EU153" s="231">
        <v>105756420</v>
      </c>
      <c r="EV153" s="231">
        <v>156230</v>
      </c>
      <c r="EW153" s="231">
        <v>157384</v>
      </c>
      <c r="EX153" s="231">
        <v>-1154</v>
      </c>
      <c r="EY153" s="229">
        <v>-7.3000000000000001E-3</v>
      </c>
      <c r="EZ153" s="229">
        <v>0.30480000000000002</v>
      </c>
      <c r="FA153" s="227" t="s">
        <v>567</v>
      </c>
      <c r="FB153" s="161">
        <f>BX228-CB228</f>
        <v>0</v>
      </c>
    </row>
    <row r="154" spans="1:158" ht="17.25" thickBot="1" x14ac:dyDescent="0.3">
      <c r="A154" s="226">
        <v>46146</v>
      </c>
      <c r="B154" s="227" t="s">
        <v>193</v>
      </c>
      <c r="C154" s="227" t="s">
        <v>269</v>
      </c>
      <c r="D154" s="228">
        <v>2250</v>
      </c>
      <c r="E154" s="228">
        <v>294.55</v>
      </c>
      <c r="F154" s="228">
        <v>301.05</v>
      </c>
      <c r="G154" s="228">
        <v>-6.5</v>
      </c>
      <c r="H154" s="229">
        <v>-2.1600000000000001E-2</v>
      </c>
      <c r="I154" s="228">
        <v>292.89999999999998</v>
      </c>
      <c r="J154" s="228">
        <v>299.55</v>
      </c>
      <c r="K154" s="228">
        <v>-6.65</v>
      </c>
      <c r="L154" s="229">
        <v>-2.2200000000000001E-2</v>
      </c>
      <c r="M154" s="228">
        <v>294.55</v>
      </c>
      <c r="N154" s="228">
        <v>301.05</v>
      </c>
      <c r="O154" s="228">
        <v>-6.5</v>
      </c>
      <c r="P154" s="229">
        <v>-2.1600000000000001E-2</v>
      </c>
      <c r="Q154" s="228">
        <v>296.5</v>
      </c>
      <c r="R154" s="228">
        <v>302.85000000000002</v>
      </c>
      <c r="S154" s="228">
        <v>-6.35</v>
      </c>
      <c r="T154" s="229">
        <v>-2.1000000000000001E-2</v>
      </c>
      <c r="U154" s="228">
        <v>297.55</v>
      </c>
      <c r="V154" s="228">
        <v>304.89999999999998</v>
      </c>
      <c r="W154" s="228">
        <v>-7.35</v>
      </c>
      <c r="X154" s="229">
        <v>-2.41E-2</v>
      </c>
      <c r="Y154" s="228">
        <v>1.65</v>
      </c>
      <c r="Z154" s="228">
        <v>1.5</v>
      </c>
      <c r="AA154" s="228">
        <v>0.15</v>
      </c>
      <c r="AB154" s="229">
        <v>5.5999999999999999E-3</v>
      </c>
      <c r="AC154" s="228">
        <v>1.65</v>
      </c>
      <c r="AD154" s="228">
        <v>1.5</v>
      </c>
      <c r="AE154" s="228">
        <v>0.15</v>
      </c>
      <c r="AF154" s="229">
        <v>5.5999999999999999E-3</v>
      </c>
      <c r="AG154" s="228">
        <v>3.6</v>
      </c>
      <c r="AH154" s="228">
        <v>3.3</v>
      </c>
      <c r="AI154" s="228">
        <v>0.3</v>
      </c>
      <c r="AJ154" s="229">
        <v>1.23E-2</v>
      </c>
      <c r="AK154" s="228">
        <v>4.6500000000000004</v>
      </c>
      <c r="AL154" s="228">
        <v>5.35</v>
      </c>
      <c r="AM154" s="228">
        <v>-0.7</v>
      </c>
      <c r="AN154" s="229">
        <v>1.5900000000000001E-2</v>
      </c>
      <c r="AO154" s="228">
        <v>295.87</v>
      </c>
      <c r="AP154" s="228">
        <v>297.52999999999997</v>
      </c>
      <c r="AQ154" s="228">
        <v>0</v>
      </c>
      <c r="AR154" s="230">
        <v>9987750</v>
      </c>
      <c r="AS154" s="230">
        <v>13614750</v>
      </c>
      <c r="AT154" s="230">
        <v>-3627000</v>
      </c>
      <c r="AU154" s="229">
        <v>-0.26640000000000003</v>
      </c>
      <c r="AV154" s="230">
        <v>9054000</v>
      </c>
      <c r="AW154" s="230">
        <v>12516750</v>
      </c>
      <c r="AX154" s="230">
        <v>-3462750</v>
      </c>
      <c r="AY154" s="229">
        <v>-0.27660000000000001</v>
      </c>
      <c r="AZ154" s="230">
        <v>848250</v>
      </c>
      <c r="BA154" s="230">
        <v>1001250</v>
      </c>
      <c r="BB154" s="230">
        <v>-153000</v>
      </c>
      <c r="BC154" s="229">
        <v>-0.15279999999999999</v>
      </c>
      <c r="BD154" s="230">
        <v>85500</v>
      </c>
      <c r="BE154" s="230">
        <v>96750</v>
      </c>
      <c r="BF154" s="230">
        <v>-11250</v>
      </c>
      <c r="BG154" s="229">
        <v>-0.1163</v>
      </c>
      <c r="BH154" s="230">
        <v>52598250</v>
      </c>
      <c r="BI154" s="230">
        <v>89338500</v>
      </c>
      <c r="BJ154" s="230">
        <v>-36740250</v>
      </c>
      <c r="BK154" s="229">
        <v>-0.41120000000000001</v>
      </c>
      <c r="BL154" s="230">
        <v>17885250</v>
      </c>
      <c r="BM154" s="230">
        <v>27477000</v>
      </c>
      <c r="BN154" s="230">
        <v>-9591750</v>
      </c>
      <c r="BO154" s="229">
        <v>-0.34910000000000002</v>
      </c>
      <c r="BP154" s="230">
        <v>80471250</v>
      </c>
      <c r="BQ154" s="230">
        <v>130430250</v>
      </c>
      <c r="BR154" s="230">
        <v>-49959000</v>
      </c>
      <c r="BS154" s="229">
        <v>-0.38300000000000001</v>
      </c>
      <c r="BT154" s="230">
        <v>15760512</v>
      </c>
      <c r="BU154" s="230">
        <v>18673442</v>
      </c>
      <c r="BV154" s="230">
        <v>-2912930</v>
      </c>
      <c r="BW154" s="229">
        <v>-0.156</v>
      </c>
      <c r="BX154" s="230">
        <v>102048750</v>
      </c>
      <c r="BY154" s="230">
        <v>101785500</v>
      </c>
      <c r="BZ154" s="230">
        <v>263250</v>
      </c>
      <c r="CA154" s="229">
        <v>2.5999999999999999E-3</v>
      </c>
      <c r="CB154" s="230">
        <v>83549250</v>
      </c>
      <c r="CC154" s="230">
        <v>83655000</v>
      </c>
      <c r="CD154" s="230">
        <v>-105750</v>
      </c>
      <c r="CE154" s="229">
        <v>-1.2999999999999999E-3</v>
      </c>
      <c r="CF154" s="230">
        <v>18351000</v>
      </c>
      <c r="CG154" s="230">
        <v>18027000</v>
      </c>
      <c r="CH154" s="230">
        <v>324000</v>
      </c>
      <c r="CI154" s="229">
        <v>1.7999999999999999E-2</v>
      </c>
      <c r="CJ154" s="230">
        <v>148500</v>
      </c>
      <c r="CK154" s="230">
        <v>103500</v>
      </c>
      <c r="CL154" s="230">
        <v>45000</v>
      </c>
      <c r="CM154" s="229">
        <v>0.43480000000000002</v>
      </c>
      <c r="CN154" s="230">
        <v>43314750</v>
      </c>
      <c r="CO154" s="230">
        <v>37278000</v>
      </c>
      <c r="CP154" s="230">
        <v>6036750</v>
      </c>
      <c r="CQ154" s="229">
        <v>0.16189999999999999</v>
      </c>
      <c r="CR154" s="230">
        <v>17613000</v>
      </c>
      <c r="CS154" s="230">
        <v>19271250</v>
      </c>
      <c r="CT154" s="230">
        <v>-1658250</v>
      </c>
      <c r="CU154" s="229">
        <v>-8.5999999999999993E-2</v>
      </c>
      <c r="CV154" s="230">
        <v>162976500</v>
      </c>
      <c r="CW154" s="230">
        <v>158334750</v>
      </c>
      <c r="CX154" s="230">
        <v>4641750</v>
      </c>
      <c r="CY154" s="229">
        <v>2.93E-2</v>
      </c>
      <c r="CZ154" s="228">
        <v>26.5</v>
      </c>
      <c r="DA154" s="228">
        <v>26.15</v>
      </c>
      <c r="DB154" s="228">
        <v>0.35</v>
      </c>
      <c r="DC154" s="228">
        <v>0.35</v>
      </c>
      <c r="DD154" s="228">
        <v>31.93</v>
      </c>
      <c r="DE154" s="228">
        <v>31.86</v>
      </c>
      <c r="DF154" s="228">
        <v>-5.43</v>
      </c>
      <c r="DG154" s="228">
        <v>7.0000000000000007E-2</v>
      </c>
      <c r="DH154" s="228">
        <v>26.5</v>
      </c>
      <c r="DI154" s="228">
        <v>25.93</v>
      </c>
      <c r="DJ154" s="228">
        <v>0.56999999999999995</v>
      </c>
      <c r="DK154" s="228">
        <v>0.56999999999999995</v>
      </c>
      <c r="DL154" s="228">
        <v>26.49</v>
      </c>
      <c r="DM154" s="228">
        <v>26.87</v>
      </c>
      <c r="DN154" s="228">
        <v>-0.38</v>
      </c>
      <c r="DO154" s="228">
        <v>-0.38</v>
      </c>
      <c r="DP154" s="228">
        <v>0.41</v>
      </c>
      <c r="DQ154" s="228">
        <v>0.52</v>
      </c>
      <c r="DR154" s="228">
        <v>-0.11</v>
      </c>
      <c r="DS154" s="229">
        <v>-0.21149999999999999</v>
      </c>
      <c r="DT154" s="228">
        <v>310</v>
      </c>
      <c r="DU154" s="228">
        <v>280</v>
      </c>
      <c r="DV154" s="228">
        <v>0.34</v>
      </c>
      <c r="DW154" s="228">
        <v>0.31</v>
      </c>
      <c r="DX154" s="228">
        <v>0.03</v>
      </c>
      <c r="DY154" s="229">
        <v>9.6799999999999997E-2</v>
      </c>
      <c r="DZ154" s="229">
        <v>0.18129999999999999</v>
      </c>
      <c r="EA154" s="230">
        <v>18130500</v>
      </c>
      <c r="EB154" s="229">
        <v>6.6E-3</v>
      </c>
      <c r="EC154" s="229">
        <v>0.18129999999999999</v>
      </c>
      <c r="ED154" s="228">
        <v>1.66</v>
      </c>
      <c r="EE154" s="229">
        <v>5.5999999999999999E-3</v>
      </c>
      <c r="EF154" s="230">
        <v>9281057</v>
      </c>
      <c r="EG154" s="230">
        <v>8007096</v>
      </c>
      <c r="EH154" s="229">
        <v>0.15909999999999999</v>
      </c>
      <c r="EI154" s="229">
        <v>0.58889999999999998</v>
      </c>
      <c r="EJ154" s="231">
        <v>164399.04999999999</v>
      </c>
      <c r="EK154" s="231">
        <v>52865.71</v>
      </c>
      <c r="EL154" s="231">
        <v>29567.58</v>
      </c>
      <c r="EM154" s="231">
        <v>18447</v>
      </c>
      <c r="EN154" s="231">
        <v>246832.34</v>
      </c>
      <c r="EO154" s="231">
        <v>408185.82</v>
      </c>
      <c r="EP154" s="231">
        <v>-161353.48000000001</v>
      </c>
      <c r="EQ154" s="229">
        <v>-0.39529999999999998</v>
      </c>
      <c r="ER154" s="231">
        <v>133331</v>
      </c>
      <c r="ES154" s="231">
        <v>50553</v>
      </c>
      <c r="ET154" s="231">
        <v>300947</v>
      </c>
      <c r="EU154" s="231">
        <v>711370982</v>
      </c>
      <c r="EV154" s="231">
        <v>484831</v>
      </c>
      <c r="EW154" s="231">
        <v>476808</v>
      </c>
      <c r="EX154" s="231">
        <v>8023</v>
      </c>
      <c r="EY154" s="229">
        <v>1.6799999999999999E-2</v>
      </c>
      <c r="EZ154" s="229">
        <v>0.2291</v>
      </c>
      <c r="FA154" s="227" t="s">
        <v>566</v>
      </c>
      <c r="FB154" s="161">
        <f t="shared" si="3"/>
        <v>0</v>
      </c>
    </row>
    <row r="155" spans="1:158" ht="17.25" thickBot="1" x14ac:dyDescent="0.3">
      <c r="A155" s="226">
        <v>46146</v>
      </c>
      <c r="B155" s="227" t="s">
        <v>197</v>
      </c>
      <c r="C155" s="227" t="s">
        <v>270</v>
      </c>
      <c r="D155" s="228">
        <v>15</v>
      </c>
      <c r="E155" s="231">
        <v>37105</v>
      </c>
      <c r="F155" s="231">
        <v>36980</v>
      </c>
      <c r="G155" s="228">
        <v>125</v>
      </c>
      <c r="H155" s="229">
        <v>3.3999999999999998E-3</v>
      </c>
      <c r="I155" s="231">
        <v>36955</v>
      </c>
      <c r="J155" s="231">
        <v>36785</v>
      </c>
      <c r="K155" s="228">
        <v>170</v>
      </c>
      <c r="L155" s="229">
        <v>4.5999999999999999E-3</v>
      </c>
      <c r="M155" s="231">
        <v>37105</v>
      </c>
      <c r="N155" s="231">
        <v>36980</v>
      </c>
      <c r="O155" s="228">
        <v>125</v>
      </c>
      <c r="P155" s="229">
        <v>3.3999999999999998E-3</v>
      </c>
      <c r="Q155" s="231">
        <v>36980</v>
      </c>
      <c r="R155" s="231">
        <v>36930</v>
      </c>
      <c r="S155" s="228">
        <v>50</v>
      </c>
      <c r="T155" s="229">
        <v>1.4E-3</v>
      </c>
      <c r="U155" s="231">
        <v>36900</v>
      </c>
      <c r="V155" s="231">
        <v>36900</v>
      </c>
      <c r="W155" s="228">
        <v>0</v>
      </c>
      <c r="X155" s="229">
        <v>0</v>
      </c>
      <c r="Y155" s="228">
        <v>150</v>
      </c>
      <c r="Z155" s="228">
        <v>195</v>
      </c>
      <c r="AA155" s="228">
        <v>-45</v>
      </c>
      <c r="AB155" s="229">
        <v>4.1000000000000003E-3</v>
      </c>
      <c r="AC155" s="228">
        <v>150</v>
      </c>
      <c r="AD155" s="228">
        <v>195</v>
      </c>
      <c r="AE155" s="228">
        <v>-45</v>
      </c>
      <c r="AF155" s="229">
        <v>4.1000000000000003E-3</v>
      </c>
      <c r="AG155" s="228">
        <v>25</v>
      </c>
      <c r="AH155" s="228">
        <v>145</v>
      </c>
      <c r="AI155" s="228">
        <v>-120</v>
      </c>
      <c r="AJ155" s="229">
        <v>6.9999999999999999E-4</v>
      </c>
      <c r="AK155" s="228">
        <v>-55</v>
      </c>
      <c r="AL155" s="228">
        <v>115</v>
      </c>
      <c r="AM155" s="228">
        <v>-170</v>
      </c>
      <c r="AN155" s="229">
        <v>-1.5E-3</v>
      </c>
      <c r="AO155" s="231">
        <v>37142.559999999998</v>
      </c>
      <c r="AP155" s="231">
        <v>37064.58</v>
      </c>
      <c r="AQ155" s="228">
        <v>0</v>
      </c>
      <c r="AR155" s="230">
        <v>20430</v>
      </c>
      <c r="AS155" s="230">
        <v>22500</v>
      </c>
      <c r="AT155" s="230">
        <v>-2070</v>
      </c>
      <c r="AU155" s="229">
        <v>-9.1999999999999998E-2</v>
      </c>
      <c r="AV155" s="230">
        <v>19950</v>
      </c>
      <c r="AW155" s="230">
        <v>21810</v>
      </c>
      <c r="AX155" s="230">
        <v>-1860</v>
      </c>
      <c r="AY155" s="229">
        <v>-8.5300000000000001E-2</v>
      </c>
      <c r="AZ155" s="228">
        <v>480</v>
      </c>
      <c r="BA155" s="228">
        <v>615</v>
      </c>
      <c r="BB155" s="228">
        <v>-135</v>
      </c>
      <c r="BC155" s="229">
        <v>-0.2195</v>
      </c>
      <c r="BD155" s="228">
        <v>0</v>
      </c>
      <c r="BE155" s="228">
        <v>75</v>
      </c>
      <c r="BF155" s="228">
        <v>-75</v>
      </c>
      <c r="BG155" s="229">
        <v>-1</v>
      </c>
      <c r="BH155" s="230">
        <v>13275</v>
      </c>
      <c r="BI155" s="230">
        <v>26085</v>
      </c>
      <c r="BJ155" s="230">
        <v>-12810</v>
      </c>
      <c r="BK155" s="229">
        <v>-0.49109999999999998</v>
      </c>
      <c r="BL155" s="230">
        <v>6315</v>
      </c>
      <c r="BM155" s="230">
        <v>7710</v>
      </c>
      <c r="BN155" s="230">
        <v>-1395</v>
      </c>
      <c r="BO155" s="229">
        <v>-0.18090000000000001</v>
      </c>
      <c r="BP155" s="230">
        <v>40020</v>
      </c>
      <c r="BQ155" s="230">
        <v>56295</v>
      </c>
      <c r="BR155" s="230">
        <v>-16275</v>
      </c>
      <c r="BS155" s="229">
        <v>-0.28910000000000002</v>
      </c>
      <c r="BT155" s="230">
        <v>12893</v>
      </c>
      <c r="BU155" s="230">
        <v>17240</v>
      </c>
      <c r="BV155" s="230">
        <v>-4347</v>
      </c>
      <c r="BW155" s="229">
        <v>-0.25209999999999999</v>
      </c>
      <c r="BX155" s="230">
        <v>301510</v>
      </c>
      <c r="BY155" s="230">
        <v>302485</v>
      </c>
      <c r="BZ155" s="228">
        <v>-975</v>
      </c>
      <c r="CA155" s="229">
        <v>-3.2000000000000002E-3</v>
      </c>
      <c r="CB155" s="230">
        <v>298035</v>
      </c>
      <c r="CC155" s="230">
        <v>299070</v>
      </c>
      <c r="CD155" s="230">
        <v>-1035</v>
      </c>
      <c r="CE155" s="229">
        <v>-3.5000000000000001E-3</v>
      </c>
      <c r="CF155" s="230">
        <v>3315</v>
      </c>
      <c r="CG155" s="230">
        <v>3255</v>
      </c>
      <c r="CH155" s="228">
        <v>60</v>
      </c>
      <c r="CI155" s="229">
        <v>1.84E-2</v>
      </c>
      <c r="CJ155" s="228">
        <v>160</v>
      </c>
      <c r="CK155" s="228">
        <v>160</v>
      </c>
      <c r="CL155" s="228">
        <v>0</v>
      </c>
      <c r="CM155" s="229">
        <v>0</v>
      </c>
      <c r="CN155" s="230">
        <v>20715</v>
      </c>
      <c r="CO155" s="230">
        <v>20535</v>
      </c>
      <c r="CP155" s="228">
        <v>180</v>
      </c>
      <c r="CQ155" s="229">
        <v>8.8000000000000005E-3</v>
      </c>
      <c r="CR155" s="230">
        <v>13470</v>
      </c>
      <c r="CS155" s="230">
        <v>11535</v>
      </c>
      <c r="CT155" s="230">
        <v>1935</v>
      </c>
      <c r="CU155" s="229">
        <v>0.1678</v>
      </c>
      <c r="CV155" s="230">
        <v>335695</v>
      </c>
      <c r="CW155" s="230">
        <v>334555</v>
      </c>
      <c r="CX155" s="230">
        <v>1140</v>
      </c>
      <c r="CY155" s="229">
        <v>3.3999999999999998E-3</v>
      </c>
      <c r="CZ155" s="228">
        <v>33.26</v>
      </c>
      <c r="DA155" s="228">
        <v>32.4</v>
      </c>
      <c r="DB155" s="228">
        <v>0.86</v>
      </c>
      <c r="DC155" s="228">
        <v>0.86</v>
      </c>
      <c r="DD155" s="228">
        <v>28.45</v>
      </c>
      <c r="DE155" s="228">
        <v>28.52</v>
      </c>
      <c r="DF155" s="228">
        <v>4.8099999999999996</v>
      </c>
      <c r="DG155" s="228">
        <v>-7.0000000000000007E-2</v>
      </c>
      <c r="DH155" s="228">
        <v>32.979999999999997</v>
      </c>
      <c r="DI155" s="228">
        <v>32.36</v>
      </c>
      <c r="DJ155" s="228">
        <v>0.62</v>
      </c>
      <c r="DK155" s="228">
        <v>0.62</v>
      </c>
      <c r="DL155" s="228">
        <v>33.83</v>
      </c>
      <c r="DM155" s="228">
        <v>32.54</v>
      </c>
      <c r="DN155" s="228">
        <v>1.29</v>
      </c>
      <c r="DO155" s="228">
        <v>1.29</v>
      </c>
      <c r="DP155" s="228">
        <v>0.65</v>
      </c>
      <c r="DQ155" s="228">
        <v>0.56000000000000005</v>
      </c>
      <c r="DR155" s="228">
        <v>0.09</v>
      </c>
      <c r="DS155" s="229">
        <v>0.16070000000000001</v>
      </c>
      <c r="DT155" s="231">
        <v>40000</v>
      </c>
      <c r="DU155" s="231">
        <v>35000</v>
      </c>
      <c r="DV155" s="228">
        <v>0.48</v>
      </c>
      <c r="DW155" s="228">
        <v>0.3</v>
      </c>
      <c r="DX155" s="228">
        <v>0.18</v>
      </c>
      <c r="DY155" s="229">
        <v>0.6</v>
      </c>
      <c r="DZ155" s="229">
        <v>1.15E-2</v>
      </c>
      <c r="EA155" s="230">
        <v>3415</v>
      </c>
      <c r="EB155" s="229">
        <v>-3.3999999999999998E-3</v>
      </c>
      <c r="EC155" s="229">
        <v>1.15E-2</v>
      </c>
      <c r="ED155" s="228">
        <v>-77.98</v>
      </c>
      <c r="EE155" s="229">
        <v>-2.0999999999999999E-3</v>
      </c>
      <c r="EF155" s="230">
        <v>5834</v>
      </c>
      <c r="EG155" s="230">
        <v>7690</v>
      </c>
      <c r="EH155" s="229">
        <v>-0.2414</v>
      </c>
      <c r="EI155" s="229">
        <v>0.45250000000000001</v>
      </c>
      <c r="EJ155" s="231">
        <v>5247.21</v>
      </c>
      <c r="EK155" s="231">
        <v>2276.27</v>
      </c>
      <c r="EL155" s="231">
        <v>7587.85</v>
      </c>
      <c r="EM155" s="231">
        <v>6567</v>
      </c>
      <c r="EN155" s="231">
        <v>15111.33</v>
      </c>
      <c r="EO155" s="231">
        <v>21329.62</v>
      </c>
      <c r="EP155" s="231">
        <v>-6218.29</v>
      </c>
      <c r="EQ155" s="229">
        <v>-0.29149999999999998</v>
      </c>
      <c r="ER155" s="231">
        <v>8151</v>
      </c>
      <c r="ES155" s="231">
        <v>4858</v>
      </c>
      <c r="ET155" s="231">
        <v>111871</v>
      </c>
      <c r="EU155" s="231">
        <v>955549</v>
      </c>
      <c r="EV155" s="231">
        <v>124879</v>
      </c>
      <c r="EW155" s="231">
        <v>124142</v>
      </c>
      <c r="EX155" s="228">
        <v>737</v>
      </c>
      <c r="EY155" s="229">
        <v>5.8999999999999999E-3</v>
      </c>
      <c r="EZ155" s="229">
        <v>0.3513</v>
      </c>
      <c r="FA155" s="227" t="s">
        <v>691</v>
      </c>
      <c r="FB155" s="161">
        <f t="shared" si="3"/>
        <v>0</v>
      </c>
    </row>
    <row r="156" spans="1:158" ht="17.25" thickBot="1" x14ac:dyDescent="0.3">
      <c r="A156" s="226">
        <v>46146</v>
      </c>
      <c r="B156" s="227" t="s">
        <v>168</v>
      </c>
      <c r="C156" s="227" t="s">
        <v>663</v>
      </c>
      <c r="D156" s="228">
        <v>900</v>
      </c>
      <c r="E156" s="228">
        <v>458.15</v>
      </c>
      <c r="F156" s="228">
        <v>460.3</v>
      </c>
      <c r="G156" s="228">
        <v>-2.15</v>
      </c>
      <c r="H156" s="229">
        <v>-4.7000000000000002E-3</v>
      </c>
      <c r="I156" s="228">
        <v>456.25</v>
      </c>
      <c r="J156" s="228">
        <v>459.45</v>
      </c>
      <c r="K156" s="228">
        <v>-3.2</v>
      </c>
      <c r="L156" s="229">
        <v>-7.0000000000000001E-3</v>
      </c>
      <c r="M156" s="228">
        <v>458.15</v>
      </c>
      <c r="N156" s="228">
        <v>460.3</v>
      </c>
      <c r="O156" s="228">
        <v>-2.15</v>
      </c>
      <c r="P156" s="229">
        <v>-4.7000000000000002E-3</v>
      </c>
      <c r="Q156" s="228">
        <v>461.2</v>
      </c>
      <c r="R156" s="228">
        <v>463</v>
      </c>
      <c r="S156" s="228">
        <v>-1.8</v>
      </c>
      <c r="T156" s="229">
        <v>-3.8999999999999998E-3</v>
      </c>
      <c r="U156" s="228">
        <v>463</v>
      </c>
      <c r="V156" s="228">
        <v>465</v>
      </c>
      <c r="W156" s="228">
        <v>-2</v>
      </c>
      <c r="X156" s="229">
        <v>-4.3E-3</v>
      </c>
      <c r="Y156" s="228">
        <v>1.9</v>
      </c>
      <c r="Z156" s="228">
        <v>0.85</v>
      </c>
      <c r="AA156" s="228">
        <v>1.05</v>
      </c>
      <c r="AB156" s="229">
        <v>4.1999999999999997E-3</v>
      </c>
      <c r="AC156" s="228">
        <v>1.9</v>
      </c>
      <c r="AD156" s="228">
        <v>0.85</v>
      </c>
      <c r="AE156" s="228">
        <v>1.05</v>
      </c>
      <c r="AF156" s="229">
        <v>4.1999999999999997E-3</v>
      </c>
      <c r="AG156" s="228">
        <v>4.95</v>
      </c>
      <c r="AH156" s="228">
        <v>3.55</v>
      </c>
      <c r="AI156" s="228">
        <v>1.4</v>
      </c>
      <c r="AJ156" s="229">
        <v>1.0800000000000001E-2</v>
      </c>
      <c r="AK156" s="228">
        <v>6.75</v>
      </c>
      <c r="AL156" s="228">
        <v>5.55</v>
      </c>
      <c r="AM156" s="228">
        <v>1.2</v>
      </c>
      <c r="AN156" s="229">
        <v>1.4800000000000001E-2</v>
      </c>
      <c r="AO156" s="228">
        <v>460.33</v>
      </c>
      <c r="AP156" s="228">
        <v>462.32</v>
      </c>
      <c r="AQ156" s="228">
        <v>0</v>
      </c>
      <c r="AR156" s="230">
        <v>3112200</v>
      </c>
      <c r="AS156" s="230">
        <v>2643300</v>
      </c>
      <c r="AT156" s="230">
        <v>468900</v>
      </c>
      <c r="AU156" s="229">
        <v>0.1774</v>
      </c>
      <c r="AV156" s="230">
        <v>2947500</v>
      </c>
      <c r="AW156" s="230">
        <v>2584800</v>
      </c>
      <c r="AX156" s="230">
        <v>362700</v>
      </c>
      <c r="AY156" s="229">
        <v>0.14030000000000001</v>
      </c>
      <c r="AZ156" s="230">
        <v>156600</v>
      </c>
      <c r="BA156" s="230">
        <v>54000</v>
      </c>
      <c r="BB156" s="230">
        <v>102600</v>
      </c>
      <c r="BC156" s="229">
        <v>1.9</v>
      </c>
      <c r="BD156" s="230">
        <v>8100</v>
      </c>
      <c r="BE156" s="230">
        <v>4500</v>
      </c>
      <c r="BF156" s="230">
        <v>3600</v>
      </c>
      <c r="BG156" s="229">
        <v>0.8</v>
      </c>
      <c r="BH156" s="230">
        <v>4812300</v>
      </c>
      <c r="BI156" s="230">
        <v>2164500</v>
      </c>
      <c r="BJ156" s="230">
        <v>2647800</v>
      </c>
      <c r="BK156" s="229">
        <v>1.2233000000000001</v>
      </c>
      <c r="BL156" s="230">
        <v>823500</v>
      </c>
      <c r="BM156" s="230">
        <v>702900</v>
      </c>
      <c r="BN156" s="230">
        <v>120600</v>
      </c>
      <c r="BO156" s="229">
        <v>0.1716</v>
      </c>
      <c r="BP156" s="230">
        <v>8748000</v>
      </c>
      <c r="BQ156" s="230">
        <v>5510700</v>
      </c>
      <c r="BR156" s="230">
        <v>3237300</v>
      </c>
      <c r="BS156" s="229">
        <v>0.58750000000000002</v>
      </c>
      <c r="BT156" s="230">
        <v>2206557</v>
      </c>
      <c r="BU156" s="230">
        <v>1895822</v>
      </c>
      <c r="BV156" s="230">
        <v>310735</v>
      </c>
      <c r="BW156" s="229">
        <v>0.16389999999999999</v>
      </c>
      <c r="BX156" s="230">
        <v>34363225</v>
      </c>
      <c r="BY156" s="230">
        <v>34157675</v>
      </c>
      <c r="BZ156" s="230">
        <v>205550</v>
      </c>
      <c r="CA156" s="229">
        <v>6.0000000000000001E-3</v>
      </c>
      <c r="CB156" s="230">
        <v>34086600</v>
      </c>
      <c r="CC156" s="230">
        <v>33993000</v>
      </c>
      <c r="CD156" s="230">
        <v>93600</v>
      </c>
      <c r="CE156" s="229">
        <v>2.8E-3</v>
      </c>
      <c r="CF156" s="230">
        <v>269100</v>
      </c>
      <c r="CG156" s="230">
        <v>159300</v>
      </c>
      <c r="CH156" s="230">
        <v>109800</v>
      </c>
      <c r="CI156" s="229">
        <v>0.68930000000000002</v>
      </c>
      <c r="CJ156" s="230">
        <v>7525</v>
      </c>
      <c r="CK156" s="230">
        <v>5375</v>
      </c>
      <c r="CL156" s="230">
        <v>2150</v>
      </c>
      <c r="CM156" s="229">
        <v>0.4</v>
      </c>
      <c r="CN156" s="230">
        <v>4172400</v>
      </c>
      <c r="CO156" s="230">
        <v>3560400</v>
      </c>
      <c r="CP156" s="230">
        <v>612000</v>
      </c>
      <c r="CQ156" s="229">
        <v>0.1719</v>
      </c>
      <c r="CR156" s="230">
        <v>2974500</v>
      </c>
      <c r="CS156" s="230">
        <v>2863800</v>
      </c>
      <c r="CT156" s="230">
        <v>110700</v>
      </c>
      <c r="CU156" s="229">
        <v>3.8699999999999998E-2</v>
      </c>
      <c r="CV156" s="230">
        <v>41510125</v>
      </c>
      <c r="CW156" s="230">
        <v>40581875</v>
      </c>
      <c r="CX156" s="230">
        <v>928250</v>
      </c>
      <c r="CY156" s="229">
        <v>2.29E-2</v>
      </c>
      <c r="CZ156" s="228">
        <v>31.66</v>
      </c>
      <c r="DA156" s="228">
        <v>32.06</v>
      </c>
      <c r="DB156" s="228">
        <v>-0.4</v>
      </c>
      <c r="DC156" s="228">
        <v>-0.4</v>
      </c>
      <c r="DD156" s="228">
        <v>31.79</v>
      </c>
      <c r="DE156" s="228">
        <v>31.86</v>
      </c>
      <c r="DF156" s="228">
        <v>-0.13</v>
      </c>
      <c r="DG156" s="228">
        <v>-7.0000000000000007E-2</v>
      </c>
      <c r="DH156" s="228">
        <v>31.72</v>
      </c>
      <c r="DI156" s="228">
        <v>32.119999999999997</v>
      </c>
      <c r="DJ156" s="228">
        <v>-0.4</v>
      </c>
      <c r="DK156" s="228">
        <v>-0.4</v>
      </c>
      <c r="DL156" s="228">
        <v>31.31</v>
      </c>
      <c r="DM156" s="228">
        <v>31.89</v>
      </c>
      <c r="DN156" s="228">
        <v>-0.57999999999999996</v>
      </c>
      <c r="DO156" s="228">
        <v>-0.57999999999999996</v>
      </c>
      <c r="DP156" s="228">
        <v>0.71</v>
      </c>
      <c r="DQ156" s="228">
        <v>0.8</v>
      </c>
      <c r="DR156" s="228">
        <v>-0.09</v>
      </c>
      <c r="DS156" s="229">
        <v>-0.1125</v>
      </c>
      <c r="DT156" s="228">
        <v>500</v>
      </c>
      <c r="DU156" s="228">
        <v>470</v>
      </c>
      <c r="DV156" s="228">
        <v>0.17</v>
      </c>
      <c r="DW156" s="228">
        <v>0.32</v>
      </c>
      <c r="DX156" s="228">
        <v>-0.15</v>
      </c>
      <c r="DY156" s="229">
        <v>-0.46879999999999999</v>
      </c>
      <c r="DZ156" s="229">
        <v>8.0999999999999996E-3</v>
      </c>
      <c r="EA156" s="230">
        <v>164675</v>
      </c>
      <c r="EB156" s="229">
        <v>6.7000000000000002E-3</v>
      </c>
      <c r="EC156" s="229">
        <v>8.0999999999999996E-3</v>
      </c>
      <c r="ED156" s="228">
        <v>1.99</v>
      </c>
      <c r="EE156" s="229">
        <v>4.3E-3</v>
      </c>
      <c r="EF156" s="230">
        <v>1340634</v>
      </c>
      <c r="EG156" s="230">
        <v>589813</v>
      </c>
      <c r="EH156" s="229">
        <v>1.2729999999999999</v>
      </c>
      <c r="EI156" s="229">
        <v>0.60760000000000003</v>
      </c>
      <c r="EJ156" s="231">
        <v>23568.74</v>
      </c>
      <c r="EK156" s="231">
        <v>3863.75</v>
      </c>
      <c r="EL156" s="231">
        <v>14336.98</v>
      </c>
      <c r="EM156" s="231">
        <v>13960</v>
      </c>
      <c r="EN156" s="231">
        <v>41769.47</v>
      </c>
      <c r="EO156" s="231">
        <v>26237.19</v>
      </c>
      <c r="EP156" s="231">
        <v>15532.28</v>
      </c>
      <c r="EQ156" s="229">
        <v>0.59199999999999997</v>
      </c>
      <c r="ER156" s="231">
        <v>20347</v>
      </c>
      <c r="ES156" s="231">
        <v>14337</v>
      </c>
      <c r="ET156" s="231">
        <v>157444</v>
      </c>
      <c r="EU156" s="231">
        <v>51786533</v>
      </c>
      <c r="EV156" s="231">
        <v>192127</v>
      </c>
      <c r="EW156" s="231">
        <v>188490</v>
      </c>
      <c r="EX156" s="231">
        <v>3637</v>
      </c>
      <c r="EY156" s="229">
        <v>1.9300000000000001E-2</v>
      </c>
      <c r="EZ156" s="229">
        <v>0.80159999999999998</v>
      </c>
      <c r="FA156" s="227" t="s">
        <v>566</v>
      </c>
      <c r="FB156" s="161">
        <f t="shared" si="3"/>
        <v>0</v>
      </c>
    </row>
    <row r="157" spans="1:158" ht="17.25" thickBot="1" x14ac:dyDescent="0.3">
      <c r="A157" s="226">
        <v>46146</v>
      </c>
      <c r="B157" s="227" t="s">
        <v>614</v>
      </c>
      <c r="C157" s="227" t="s">
        <v>574</v>
      </c>
      <c r="D157" s="228">
        <v>725</v>
      </c>
      <c r="E157" s="231">
        <v>1119.5999999999999</v>
      </c>
      <c r="F157" s="231">
        <v>1101.5</v>
      </c>
      <c r="G157" s="228">
        <v>18.100000000000001</v>
      </c>
      <c r="H157" s="229">
        <v>1.6400000000000001E-2</v>
      </c>
      <c r="I157" s="231">
        <v>1115.8</v>
      </c>
      <c r="J157" s="231">
        <v>1095.8</v>
      </c>
      <c r="K157" s="228">
        <v>20</v>
      </c>
      <c r="L157" s="229">
        <v>1.83E-2</v>
      </c>
      <c r="M157" s="231">
        <v>1119.5999999999999</v>
      </c>
      <c r="N157" s="231">
        <v>1101.5</v>
      </c>
      <c r="O157" s="228">
        <v>18.100000000000001</v>
      </c>
      <c r="P157" s="229">
        <v>1.6400000000000001E-2</v>
      </c>
      <c r="Q157" s="231">
        <v>1126.9000000000001</v>
      </c>
      <c r="R157" s="231">
        <v>1108.55</v>
      </c>
      <c r="S157" s="228">
        <v>18.350000000000001</v>
      </c>
      <c r="T157" s="229">
        <v>1.66E-2</v>
      </c>
      <c r="U157" s="231">
        <v>1119</v>
      </c>
      <c r="V157" s="231">
        <v>1119</v>
      </c>
      <c r="W157" s="228">
        <v>0</v>
      </c>
      <c r="X157" s="229">
        <v>0</v>
      </c>
      <c r="Y157" s="228">
        <v>3.8</v>
      </c>
      <c r="Z157" s="228">
        <v>5.7</v>
      </c>
      <c r="AA157" s="228">
        <v>-1.9</v>
      </c>
      <c r="AB157" s="229">
        <v>3.3999999999999998E-3</v>
      </c>
      <c r="AC157" s="228">
        <v>3.8</v>
      </c>
      <c r="AD157" s="228">
        <v>5.7</v>
      </c>
      <c r="AE157" s="228">
        <v>-1.9</v>
      </c>
      <c r="AF157" s="229">
        <v>3.3999999999999998E-3</v>
      </c>
      <c r="AG157" s="228">
        <v>11.1</v>
      </c>
      <c r="AH157" s="228">
        <v>12.75</v>
      </c>
      <c r="AI157" s="228">
        <v>-1.65</v>
      </c>
      <c r="AJ157" s="229">
        <v>9.9000000000000008E-3</v>
      </c>
      <c r="AK157" s="228">
        <v>3.2</v>
      </c>
      <c r="AL157" s="228">
        <v>23.2</v>
      </c>
      <c r="AM157" s="228">
        <v>-20</v>
      </c>
      <c r="AN157" s="229">
        <v>2.8999999999999998E-3</v>
      </c>
      <c r="AO157" s="231">
        <v>1116.82</v>
      </c>
      <c r="AP157" s="231">
        <v>1124.05</v>
      </c>
      <c r="AQ157" s="228">
        <v>0</v>
      </c>
      <c r="AR157" s="230">
        <v>1544975</v>
      </c>
      <c r="AS157" s="230">
        <v>1894425</v>
      </c>
      <c r="AT157" s="230">
        <v>-349450</v>
      </c>
      <c r="AU157" s="229">
        <v>-0.1845</v>
      </c>
      <c r="AV157" s="230">
        <v>1509450</v>
      </c>
      <c r="AW157" s="230">
        <v>1837150</v>
      </c>
      <c r="AX157" s="230">
        <v>-327700</v>
      </c>
      <c r="AY157" s="229">
        <v>-0.1784</v>
      </c>
      <c r="AZ157" s="230">
        <v>35525</v>
      </c>
      <c r="BA157" s="230">
        <v>57275</v>
      </c>
      <c r="BB157" s="230">
        <v>-21750</v>
      </c>
      <c r="BC157" s="229">
        <v>-0.37969999999999998</v>
      </c>
      <c r="BD157" s="228">
        <v>0</v>
      </c>
      <c r="BE157" s="228">
        <v>0</v>
      </c>
      <c r="BF157" s="228">
        <v>0</v>
      </c>
      <c r="BG157" s="229">
        <v>0</v>
      </c>
      <c r="BH157" s="230">
        <v>3937475</v>
      </c>
      <c r="BI157" s="230">
        <v>4199925</v>
      </c>
      <c r="BJ157" s="230">
        <v>-262450</v>
      </c>
      <c r="BK157" s="229">
        <v>-6.25E-2</v>
      </c>
      <c r="BL157" s="230">
        <v>3383575</v>
      </c>
      <c r="BM157" s="230">
        <v>4695100</v>
      </c>
      <c r="BN157" s="230">
        <v>-1311525</v>
      </c>
      <c r="BO157" s="229">
        <v>-0.27929999999999999</v>
      </c>
      <c r="BP157" s="230">
        <v>8866025</v>
      </c>
      <c r="BQ157" s="230">
        <v>10789450</v>
      </c>
      <c r="BR157" s="230">
        <v>-1923425</v>
      </c>
      <c r="BS157" s="229">
        <v>-0.17829999999999999</v>
      </c>
      <c r="BT157" s="230">
        <v>1361937</v>
      </c>
      <c r="BU157" s="230">
        <v>2212816</v>
      </c>
      <c r="BV157" s="230">
        <v>-850879</v>
      </c>
      <c r="BW157" s="229">
        <v>-0.38450000000000001</v>
      </c>
      <c r="BX157" s="230">
        <v>14038900</v>
      </c>
      <c r="BY157" s="230">
        <v>14154175</v>
      </c>
      <c r="BZ157" s="230">
        <v>-115275</v>
      </c>
      <c r="CA157" s="229">
        <v>-8.0999999999999996E-3</v>
      </c>
      <c r="CB157" s="230">
        <v>13755425</v>
      </c>
      <c r="CC157" s="230">
        <v>13871425</v>
      </c>
      <c r="CD157" s="230">
        <v>-116000</v>
      </c>
      <c r="CE157" s="229">
        <v>-8.3999999999999995E-3</v>
      </c>
      <c r="CF157" s="230">
        <v>282750</v>
      </c>
      <c r="CG157" s="230">
        <v>282025</v>
      </c>
      <c r="CH157" s="228">
        <v>725</v>
      </c>
      <c r="CI157" s="229">
        <v>2.5999999999999999E-3</v>
      </c>
      <c r="CJ157" s="228">
        <v>725</v>
      </c>
      <c r="CK157" s="228">
        <v>725</v>
      </c>
      <c r="CL157" s="228">
        <v>0</v>
      </c>
      <c r="CM157" s="229">
        <v>0</v>
      </c>
      <c r="CN157" s="230">
        <v>5204775</v>
      </c>
      <c r="CO157" s="230">
        <v>4626950</v>
      </c>
      <c r="CP157" s="230">
        <v>577825</v>
      </c>
      <c r="CQ157" s="229">
        <v>0.1249</v>
      </c>
      <c r="CR157" s="230">
        <v>5268575</v>
      </c>
      <c r="CS157" s="230">
        <v>5113425</v>
      </c>
      <c r="CT157" s="230">
        <v>155150</v>
      </c>
      <c r="CU157" s="229">
        <v>3.0300000000000001E-2</v>
      </c>
      <c r="CV157" s="230">
        <v>24512250</v>
      </c>
      <c r="CW157" s="230">
        <v>23894550</v>
      </c>
      <c r="CX157" s="230">
        <v>617700</v>
      </c>
      <c r="CY157" s="229">
        <v>2.5899999999999999E-2</v>
      </c>
      <c r="CZ157" s="228">
        <v>43.41</v>
      </c>
      <c r="DA157" s="228">
        <v>41.76</v>
      </c>
      <c r="DB157" s="228">
        <v>1.65</v>
      </c>
      <c r="DC157" s="228">
        <v>1.65</v>
      </c>
      <c r="DD157" s="228">
        <v>51.65</v>
      </c>
      <c r="DE157" s="228">
        <v>51.74</v>
      </c>
      <c r="DF157" s="228">
        <v>-8.24</v>
      </c>
      <c r="DG157" s="228">
        <v>-0.09</v>
      </c>
      <c r="DH157" s="228">
        <v>42.19</v>
      </c>
      <c r="DI157" s="228">
        <v>41.57</v>
      </c>
      <c r="DJ157" s="228">
        <v>0.62</v>
      </c>
      <c r="DK157" s="228">
        <v>0.62</v>
      </c>
      <c r="DL157" s="228">
        <v>44.82</v>
      </c>
      <c r="DM157" s="228">
        <v>41.93</v>
      </c>
      <c r="DN157" s="228">
        <v>2.89</v>
      </c>
      <c r="DO157" s="228">
        <v>2.89</v>
      </c>
      <c r="DP157" s="228">
        <v>1.01</v>
      </c>
      <c r="DQ157" s="228">
        <v>1.1100000000000001</v>
      </c>
      <c r="DR157" s="228">
        <v>-0.1</v>
      </c>
      <c r="DS157" s="229">
        <v>-9.01E-2</v>
      </c>
      <c r="DT157" s="231">
        <v>1200</v>
      </c>
      <c r="DU157" s="231">
        <v>1000</v>
      </c>
      <c r="DV157" s="228">
        <v>0.86</v>
      </c>
      <c r="DW157" s="228">
        <v>1.1200000000000001</v>
      </c>
      <c r="DX157" s="228">
        <v>-0.26</v>
      </c>
      <c r="DY157" s="229">
        <v>-0.2321</v>
      </c>
      <c r="DZ157" s="229">
        <v>2.0199999999999999E-2</v>
      </c>
      <c r="EA157" s="230">
        <v>282750</v>
      </c>
      <c r="EB157" s="229">
        <v>6.4999999999999997E-3</v>
      </c>
      <c r="EC157" s="229">
        <v>2.0199999999999999E-2</v>
      </c>
      <c r="ED157" s="228">
        <v>7.23</v>
      </c>
      <c r="EE157" s="229">
        <v>6.4999999999999997E-3</v>
      </c>
      <c r="EF157" s="230">
        <v>463957</v>
      </c>
      <c r="EG157" s="230">
        <v>895767</v>
      </c>
      <c r="EH157" s="229">
        <v>-0.48209999999999997</v>
      </c>
      <c r="EI157" s="229">
        <v>0.3407</v>
      </c>
      <c r="EJ157" s="231">
        <v>47321.02</v>
      </c>
      <c r="EK157" s="231">
        <v>36992.980000000003</v>
      </c>
      <c r="EL157" s="231">
        <v>17257.2</v>
      </c>
      <c r="EM157" s="231">
        <v>12517</v>
      </c>
      <c r="EN157" s="231">
        <v>101571.2</v>
      </c>
      <c r="EO157" s="231">
        <v>122825.62</v>
      </c>
      <c r="EP157" s="231">
        <v>-21254.42</v>
      </c>
      <c r="EQ157" s="229">
        <v>-0.17299999999999999</v>
      </c>
      <c r="ER157" s="231">
        <v>61233</v>
      </c>
      <c r="ES157" s="231">
        <v>55290</v>
      </c>
      <c r="ET157" s="231">
        <v>157200</v>
      </c>
      <c r="EU157" s="231">
        <v>95930888</v>
      </c>
      <c r="EV157" s="231">
        <v>273723</v>
      </c>
      <c r="EW157" s="231">
        <v>263592</v>
      </c>
      <c r="EX157" s="231">
        <v>10131</v>
      </c>
      <c r="EY157" s="229">
        <v>3.8399999999999997E-2</v>
      </c>
      <c r="EZ157" s="229">
        <v>0.2555</v>
      </c>
      <c r="FA157" s="227" t="s">
        <v>691</v>
      </c>
      <c r="FB157" s="161">
        <f t="shared" si="3"/>
        <v>0</v>
      </c>
    </row>
    <row r="158" spans="1:158" ht="17.25" thickBot="1" x14ac:dyDescent="0.3">
      <c r="A158" s="226">
        <v>46146</v>
      </c>
      <c r="B158" s="227" t="s">
        <v>221</v>
      </c>
      <c r="C158" s="227" t="s">
        <v>529</v>
      </c>
      <c r="D158" s="228">
        <v>100</v>
      </c>
      <c r="E158" s="231">
        <v>4808.2</v>
      </c>
      <c r="F158" s="231">
        <v>4822.2</v>
      </c>
      <c r="G158" s="228">
        <v>-14</v>
      </c>
      <c r="H158" s="229">
        <v>-2.8999999999999998E-3</v>
      </c>
      <c r="I158" s="231">
        <v>4788.1000000000004</v>
      </c>
      <c r="J158" s="231">
        <v>4800</v>
      </c>
      <c r="K158" s="228">
        <v>-11.9</v>
      </c>
      <c r="L158" s="229">
        <v>-2.5000000000000001E-3</v>
      </c>
      <c r="M158" s="231">
        <v>4808.2</v>
      </c>
      <c r="N158" s="231">
        <v>4822.2</v>
      </c>
      <c r="O158" s="228">
        <v>-14</v>
      </c>
      <c r="P158" s="229">
        <v>-2.8999999999999998E-3</v>
      </c>
      <c r="Q158" s="231">
        <v>4792</v>
      </c>
      <c r="R158" s="231">
        <v>4802.8</v>
      </c>
      <c r="S158" s="228">
        <v>-10.8</v>
      </c>
      <c r="T158" s="229">
        <v>-2.2000000000000001E-3</v>
      </c>
      <c r="U158" s="231">
        <v>4782.8999999999996</v>
      </c>
      <c r="V158" s="231">
        <v>4815</v>
      </c>
      <c r="W158" s="228">
        <v>-32.1</v>
      </c>
      <c r="X158" s="229">
        <v>-6.7000000000000002E-3</v>
      </c>
      <c r="Y158" s="228">
        <v>20.100000000000001</v>
      </c>
      <c r="Z158" s="228">
        <v>22.2</v>
      </c>
      <c r="AA158" s="228">
        <v>-2.1</v>
      </c>
      <c r="AB158" s="229">
        <v>4.1999999999999997E-3</v>
      </c>
      <c r="AC158" s="228">
        <v>20.100000000000001</v>
      </c>
      <c r="AD158" s="228">
        <v>22.2</v>
      </c>
      <c r="AE158" s="228">
        <v>-2.1</v>
      </c>
      <c r="AF158" s="229">
        <v>4.1999999999999997E-3</v>
      </c>
      <c r="AG158" s="228">
        <v>3.9</v>
      </c>
      <c r="AH158" s="228">
        <v>2.8</v>
      </c>
      <c r="AI158" s="228">
        <v>1.1000000000000001</v>
      </c>
      <c r="AJ158" s="229">
        <v>8.0000000000000004E-4</v>
      </c>
      <c r="AK158" s="228">
        <v>-5.2</v>
      </c>
      <c r="AL158" s="228">
        <v>15</v>
      </c>
      <c r="AM158" s="228">
        <v>-20.2</v>
      </c>
      <c r="AN158" s="229">
        <v>-1.1000000000000001E-3</v>
      </c>
      <c r="AO158" s="231">
        <v>4813.6099999999997</v>
      </c>
      <c r="AP158" s="231">
        <v>4789.63</v>
      </c>
      <c r="AQ158" s="228">
        <v>0</v>
      </c>
      <c r="AR158" s="230">
        <v>409200</v>
      </c>
      <c r="AS158" s="230">
        <v>437100</v>
      </c>
      <c r="AT158" s="230">
        <v>-27900</v>
      </c>
      <c r="AU158" s="229">
        <v>-6.3799999999999996E-2</v>
      </c>
      <c r="AV158" s="230">
        <v>397100</v>
      </c>
      <c r="AW158" s="230">
        <v>424900</v>
      </c>
      <c r="AX158" s="230">
        <v>-27800</v>
      </c>
      <c r="AY158" s="229">
        <v>-6.54E-2</v>
      </c>
      <c r="AZ158" s="230">
        <v>10700</v>
      </c>
      <c r="BA158" s="230">
        <v>11500</v>
      </c>
      <c r="BB158" s="228">
        <v>-800</v>
      </c>
      <c r="BC158" s="229">
        <v>-6.9599999999999995E-2</v>
      </c>
      <c r="BD158" s="230">
        <v>1400</v>
      </c>
      <c r="BE158" s="228">
        <v>700</v>
      </c>
      <c r="BF158" s="228">
        <v>700</v>
      </c>
      <c r="BG158" s="229">
        <v>1</v>
      </c>
      <c r="BH158" s="230">
        <v>1120800</v>
      </c>
      <c r="BI158" s="230">
        <v>946500</v>
      </c>
      <c r="BJ158" s="230">
        <v>174300</v>
      </c>
      <c r="BK158" s="229">
        <v>0.1842</v>
      </c>
      <c r="BL158" s="230">
        <v>552400</v>
      </c>
      <c r="BM158" s="230">
        <v>470300</v>
      </c>
      <c r="BN158" s="230">
        <v>82100</v>
      </c>
      <c r="BO158" s="229">
        <v>0.17460000000000001</v>
      </c>
      <c r="BP158" s="230">
        <v>2082400</v>
      </c>
      <c r="BQ158" s="230">
        <v>1853900</v>
      </c>
      <c r="BR158" s="230">
        <v>228500</v>
      </c>
      <c r="BS158" s="229">
        <v>0.12330000000000001</v>
      </c>
      <c r="BT158" s="230">
        <v>505834</v>
      </c>
      <c r="BU158" s="230">
        <v>590892</v>
      </c>
      <c r="BV158" s="230">
        <v>-85058</v>
      </c>
      <c r="BW158" s="229">
        <v>-0.1439</v>
      </c>
      <c r="BX158" s="230">
        <v>4164550</v>
      </c>
      <c r="BY158" s="230">
        <v>4231600</v>
      </c>
      <c r="BZ158" s="230">
        <v>-67050</v>
      </c>
      <c r="CA158" s="229">
        <v>-1.5800000000000002E-2</v>
      </c>
      <c r="CB158" s="230">
        <v>4048900</v>
      </c>
      <c r="CC158" s="230">
        <v>4120500</v>
      </c>
      <c r="CD158" s="230">
        <v>-71600</v>
      </c>
      <c r="CE158" s="229">
        <v>-1.7399999999999999E-2</v>
      </c>
      <c r="CF158" s="230">
        <v>110900</v>
      </c>
      <c r="CG158" s="230">
        <v>107600</v>
      </c>
      <c r="CH158" s="230">
        <v>3300</v>
      </c>
      <c r="CI158" s="229">
        <v>3.0700000000000002E-2</v>
      </c>
      <c r="CJ158" s="230">
        <v>4750</v>
      </c>
      <c r="CK158" s="230">
        <v>3500</v>
      </c>
      <c r="CL158" s="230">
        <v>1250</v>
      </c>
      <c r="CM158" s="229">
        <v>0.35709999999999997</v>
      </c>
      <c r="CN158" s="230">
        <v>1511400</v>
      </c>
      <c r="CO158" s="230">
        <v>1408000</v>
      </c>
      <c r="CP158" s="230">
        <v>103400</v>
      </c>
      <c r="CQ158" s="229">
        <v>7.3400000000000007E-2</v>
      </c>
      <c r="CR158" s="230">
        <v>906400</v>
      </c>
      <c r="CS158" s="230">
        <v>866500</v>
      </c>
      <c r="CT158" s="230">
        <v>39900</v>
      </c>
      <c r="CU158" s="229">
        <v>4.5999999999999999E-2</v>
      </c>
      <c r="CV158" s="230">
        <v>6582350</v>
      </c>
      <c r="CW158" s="230">
        <v>6506100</v>
      </c>
      <c r="CX158" s="230">
        <v>76250</v>
      </c>
      <c r="CY158" s="229">
        <v>1.17E-2</v>
      </c>
      <c r="CZ158" s="228">
        <v>37.700000000000003</v>
      </c>
      <c r="DA158" s="228">
        <v>37.54</v>
      </c>
      <c r="DB158" s="228">
        <v>0.16</v>
      </c>
      <c r="DC158" s="228">
        <v>0.16</v>
      </c>
      <c r="DD158" s="228">
        <v>40.74</v>
      </c>
      <c r="DE158" s="228">
        <v>40.840000000000003</v>
      </c>
      <c r="DF158" s="228">
        <v>-3.04</v>
      </c>
      <c r="DG158" s="228">
        <v>-0.1</v>
      </c>
      <c r="DH158" s="228">
        <v>37.75</v>
      </c>
      <c r="DI158" s="228">
        <v>37.83</v>
      </c>
      <c r="DJ158" s="228">
        <v>-0.08</v>
      </c>
      <c r="DK158" s="228">
        <v>-0.08</v>
      </c>
      <c r="DL158" s="228">
        <v>37.58</v>
      </c>
      <c r="DM158" s="228">
        <v>36.950000000000003</v>
      </c>
      <c r="DN158" s="228">
        <v>0.63</v>
      </c>
      <c r="DO158" s="228">
        <v>0.63</v>
      </c>
      <c r="DP158" s="228">
        <v>0.6</v>
      </c>
      <c r="DQ158" s="228">
        <v>0.62</v>
      </c>
      <c r="DR158" s="228">
        <v>-0.02</v>
      </c>
      <c r="DS158" s="229">
        <v>-3.2300000000000002E-2</v>
      </c>
      <c r="DT158" s="231">
        <v>5500</v>
      </c>
      <c r="DU158" s="231">
        <v>5000</v>
      </c>
      <c r="DV158" s="228">
        <v>0.49</v>
      </c>
      <c r="DW158" s="228">
        <v>0.5</v>
      </c>
      <c r="DX158" s="228">
        <v>-0.01</v>
      </c>
      <c r="DY158" s="229">
        <v>-0.02</v>
      </c>
      <c r="DZ158" s="229">
        <v>2.7799999999999998E-2</v>
      </c>
      <c r="EA158" s="230">
        <v>111100</v>
      </c>
      <c r="EB158" s="229">
        <v>-3.3999999999999998E-3</v>
      </c>
      <c r="EC158" s="229">
        <v>2.7799999999999998E-2</v>
      </c>
      <c r="ED158" s="228">
        <v>-23.98</v>
      </c>
      <c r="EE158" s="229">
        <v>-5.0000000000000001E-3</v>
      </c>
      <c r="EF158" s="230">
        <v>247900</v>
      </c>
      <c r="EG158" s="230">
        <v>326959</v>
      </c>
      <c r="EH158" s="229">
        <v>-0.24179999999999999</v>
      </c>
      <c r="EI158" s="229">
        <v>0.49009999999999998</v>
      </c>
      <c r="EJ158" s="231">
        <v>58282.6</v>
      </c>
      <c r="EK158" s="231">
        <v>26236.76</v>
      </c>
      <c r="EL158" s="231">
        <v>19711.13</v>
      </c>
      <c r="EM158" s="231">
        <v>13552</v>
      </c>
      <c r="EN158" s="231">
        <v>104230.49</v>
      </c>
      <c r="EO158" s="231">
        <v>92975.39</v>
      </c>
      <c r="EP158" s="231">
        <v>11255.1</v>
      </c>
      <c r="EQ158" s="229">
        <v>0.1211</v>
      </c>
      <c r="ER158" s="231">
        <v>78553</v>
      </c>
      <c r="ES158" s="231">
        <v>43318</v>
      </c>
      <c r="ET158" s="231">
        <v>200221</v>
      </c>
      <c r="EU158" s="231">
        <v>16286398</v>
      </c>
      <c r="EV158" s="231">
        <v>322092</v>
      </c>
      <c r="EW158" s="231">
        <v>318777</v>
      </c>
      <c r="EX158" s="231">
        <v>3315</v>
      </c>
      <c r="EY158" s="229">
        <v>1.04E-2</v>
      </c>
      <c r="EZ158" s="229">
        <v>0.4042</v>
      </c>
      <c r="FA158" s="227" t="s">
        <v>567</v>
      </c>
      <c r="FB158" s="161">
        <f t="shared" si="3"/>
        <v>0</v>
      </c>
    </row>
    <row r="159" spans="1:158" ht="17.25" thickBot="1" x14ac:dyDescent="0.3">
      <c r="A159" s="226">
        <v>46146</v>
      </c>
      <c r="B159" s="227" t="s">
        <v>193</v>
      </c>
      <c r="C159" s="227" t="s">
        <v>272</v>
      </c>
      <c r="D159" s="228">
        <v>1900</v>
      </c>
      <c r="E159" s="228">
        <v>278.25</v>
      </c>
      <c r="F159" s="228">
        <v>278.52999999999997</v>
      </c>
      <c r="G159" s="228">
        <v>-0.28000000000000003</v>
      </c>
      <c r="H159" s="229">
        <v>-1E-3</v>
      </c>
      <c r="I159" s="228">
        <v>276.7</v>
      </c>
      <c r="J159" s="228">
        <v>276.76</v>
      </c>
      <c r="K159" s="228">
        <v>-0.06</v>
      </c>
      <c r="L159" s="229">
        <v>-2.0000000000000001E-4</v>
      </c>
      <c r="M159" s="228">
        <v>278.25</v>
      </c>
      <c r="N159" s="228">
        <v>278.52999999999997</v>
      </c>
      <c r="O159" s="228">
        <v>-0.28000000000000003</v>
      </c>
      <c r="P159" s="229">
        <v>-1E-3</v>
      </c>
      <c r="Q159" s="228">
        <v>277.89999999999998</v>
      </c>
      <c r="R159" s="228">
        <v>277.55</v>
      </c>
      <c r="S159" s="228">
        <v>0.35</v>
      </c>
      <c r="T159" s="229">
        <v>1.2999999999999999E-3</v>
      </c>
      <c r="U159" s="228">
        <v>276.60000000000002</v>
      </c>
      <c r="V159" s="228">
        <v>278.58</v>
      </c>
      <c r="W159" s="228">
        <v>-1.98</v>
      </c>
      <c r="X159" s="229">
        <v>-7.1000000000000004E-3</v>
      </c>
      <c r="Y159" s="228">
        <v>1.55</v>
      </c>
      <c r="Z159" s="228">
        <v>1.77</v>
      </c>
      <c r="AA159" s="228">
        <v>-0.22</v>
      </c>
      <c r="AB159" s="229">
        <v>5.5999999999999999E-3</v>
      </c>
      <c r="AC159" s="228">
        <v>1.55</v>
      </c>
      <c r="AD159" s="228">
        <v>1.77</v>
      </c>
      <c r="AE159" s="228">
        <v>-0.22</v>
      </c>
      <c r="AF159" s="229">
        <v>5.5999999999999999E-3</v>
      </c>
      <c r="AG159" s="228">
        <v>1.2</v>
      </c>
      <c r="AH159" s="228">
        <v>0.79</v>
      </c>
      <c r="AI159" s="228">
        <v>0.41</v>
      </c>
      <c r="AJ159" s="229">
        <v>4.3E-3</v>
      </c>
      <c r="AK159" s="228">
        <v>-0.1</v>
      </c>
      <c r="AL159" s="228">
        <v>1.82</v>
      </c>
      <c r="AM159" s="228">
        <v>-1.92</v>
      </c>
      <c r="AN159" s="229">
        <v>-4.0000000000000002E-4</v>
      </c>
      <c r="AO159" s="228">
        <v>279.95</v>
      </c>
      <c r="AP159" s="228">
        <v>278.83</v>
      </c>
      <c r="AQ159" s="228">
        <v>0</v>
      </c>
      <c r="AR159" s="230">
        <v>3357300</v>
      </c>
      <c r="AS159" s="230">
        <v>3275600</v>
      </c>
      <c r="AT159" s="230">
        <v>81700</v>
      </c>
      <c r="AU159" s="229">
        <v>2.4899999999999999E-2</v>
      </c>
      <c r="AV159" s="230">
        <v>3233800</v>
      </c>
      <c r="AW159" s="230">
        <v>3212900</v>
      </c>
      <c r="AX159" s="230">
        <v>20900</v>
      </c>
      <c r="AY159" s="229">
        <v>6.4999999999999997E-3</v>
      </c>
      <c r="AZ159" s="230">
        <v>98800</v>
      </c>
      <c r="BA159" s="230">
        <v>43700</v>
      </c>
      <c r="BB159" s="230">
        <v>55100</v>
      </c>
      <c r="BC159" s="229">
        <v>1.2608999999999999</v>
      </c>
      <c r="BD159" s="230">
        <v>24700</v>
      </c>
      <c r="BE159" s="230">
        <v>19000</v>
      </c>
      <c r="BF159" s="230">
        <v>5700</v>
      </c>
      <c r="BG159" s="229">
        <v>0.3</v>
      </c>
      <c r="BH159" s="230">
        <v>9367000</v>
      </c>
      <c r="BI159" s="230">
        <v>4265500</v>
      </c>
      <c r="BJ159" s="230">
        <v>5101500</v>
      </c>
      <c r="BK159" s="229">
        <v>1.196</v>
      </c>
      <c r="BL159" s="230">
        <v>7905900</v>
      </c>
      <c r="BM159" s="230">
        <v>2812000</v>
      </c>
      <c r="BN159" s="230">
        <v>5093900</v>
      </c>
      <c r="BO159" s="229">
        <v>1.8115000000000001</v>
      </c>
      <c r="BP159" s="230">
        <v>20630200</v>
      </c>
      <c r="BQ159" s="230">
        <v>10353100</v>
      </c>
      <c r="BR159" s="230">
        <v>10277100</v>
      </c>
      <c r="BS159" s="229">
        <v>0.99270000000000003</v>
      </c>
      <c r="BT159" s="230">
        <v>1809433</v>
      </c>
      <c r="BU159" s="230">
        <v>3285411</v>
      </c>
      <c r="BV159" s="230">
        <v>-1475978</v>
      </c>
      <c r="BW159" s="229">
        <v>-0.44929999999999998</v>
      </c>
      <c r="BX159" s="230">
        <v>33291800</v>
      </c>
      <c r="BY159" s="230">
        <v>32742700</v>
      </c>
      <c r="BZ159" s="230">
        <v>549100</v>
      </c>
      <c r="CA159" s="229">
        <v>1.6799999999999999E-2</v>
      </c>
      <c r="CB159" s="230">
        <v>32921300</v>
      </c>
      <c r="CC159" s="230">
        <v>32404500</v>
      </c>
      <c r="CD159" s="230">
        <v>516800</v>
      </c>
      <c r="CE159" s="229">
        <v>1.5900000000000001E-2</v>
      </c>
      <c r="CF159" s="230">
        <v>323000</v>
      </c>
      <c r="CG159" s="230">
        <v>311600</v>
      </c>
      <c r="CH159" s="230">
        <v>11400</v>
      </c>
      <c r="CI159" s="229">
        <v>3.6600000000000001E-2</v>
      </c>
      <c r="CJ159" s="230">
        <v>47500</v>
      </c>
      <c r="CK159" s="230">
        <v>26600</v>
      </c>
      <c r="CL159" s="230">
        <v>20900</v>
      </c>
      <c r="CM159" s="229">
        <v>0.78569999999999995</v>
      </c>
      <c r="CN159" s="230">
        <v>7888800</v>
      </c>
      <c r="CO159" s="230">
        <v>6066700</v>
      </c>
      <c r="CP159" s="230">
        <v>1822100</v>
      </c>
      <c r="CQ159" s="229">
        <v>0.30030000000000001</v>
      </c>
      <c r="CR159" s="230">
        <v>9264400</v>
      </c>
      <c r="CS159" s="230">
        <v>7050900</v>
      </c>
      <c r="CT159" s="230">
        <v>2213500</v>
      </c>
      <c r="CU159" s="229">
        <v>0.31390000000000001</v>
      </c>
      <c r="CV159" s="230">
        <v>50445000</v>
      </c>
      <c r="CW159" s="230">
        <v>45860300</v>
      </c>
      <c r="CX159" s="230">
        <v>4584700</v>
      </c>
      <c r="CY159" s="229">
        <v>0.1</v>
      </c>
      <c r="CZ159" s="228">
        <v>37.86</v>
      </c>
      <c r="DA159" s="228">
        <v>38.130000000000003</v>
      </c>
      <c r="DB159" s="228">
        <v>-0.27</v>
      </c>
      <c r="DC159" s="228">
        <v>-0.27</v>
      </c>
      <c r="DD159" s="228">
        <v>38.450000000000003</v>
      </c>
      <c r="DE159" s="228">
        <v>38.549999999999997</v>
      </c>
      <c r="DF159" s="228">
        <v>-0.59</v>
      </c>
      <c r="DG159" s="228">
        <v>-0.1</v>
      </c>
      <c r="DH159" s="228">
        <v>37.340000000000003</v>
      </c>
      <c r="DI159" s="228">
        <v>38.1</v>
      </c>
      <c r="DJ159" s="228">
        <v>-0.76</v>
      </c>
      <c r="DK159" s="228">
        <v>-0.76</v>
      </c>
      <c r="DL159" s="228">
        <v>38.479999999999997</v>
      </c>
      <c r="DM159" s="228">
        <v>38.18</v>
      </c>
      <c r="DN159" s="228">
        <v>0.3</v>
      </c>
      <c r="DO159" s="228">
        <v>0.3</v>
      </c>
      <c r="DP159" s="228">
        <v>1.17</v>
      </c>
      <c r="DQ159" s="228">
        <v>1.1599999999999999</v>
      </c>
      <c r="DR159" s="228">
        <v>0.01</v>
      </c>
      <c r="DS159" s="229">
        <v>8.6E-3</v>
      </c>
      <c r="DT159" s="228">
        <v>300</v>
      </c>
      <c r="DU159" s="228">
        <v>280</v>
      </c>
      <c r="DV159" s="228">
        <v>0.84</v>
      </c>
      <c r="DW159" s="228">
        <v>0.66</v>
      </c>
      <c r="DX159" s="228">
        <v>0.18</v>
      </c>
      <c r="DY159" s="229">
        <v>0.2727</v>
      </c>
      <c r="DZ159" s="229">
        <v>1.11E-2</v>
      </c>
      <c r="EA159" s="230">
        <v>338200</v>
      </c>
      <c r="EB159" s="229">
        <v>-1.2999999999999999E-3</v>
      </c>
      <c r="EC159" s="229">
        <v>1.11E-2</v>
      </c>
      <c r="ED159" s="228">
        <v>-1.1200000000000001</v>
      </c>
      <c r="EE159" s="229">
        <v>-4.0000000000000001E-3</v>
      </c>
      <c r="EF159" s="230">
        <v>1090937</v>
      </c>
      <c r="EG159" s="230">
        <v>2391335</v>
      </c>
      <c r="EH159" s="229">
        <v>-0.54379999999999995</v>
      </c>
      <c r="EI159" s="229">
        <v>0.60289999999999999</v>
      </c>
      <c r="EJ159" s="231">
        <v>28493.89</v>
      </c>
      <c r="EK159" s="231">
        <v>21517.24</v>
      </c>
      <c r="EL159" s="231">
        <v>9397.15</v>
      </c>
      <c r="EM159" s="231">
        <v>6078</v>
      </c>
      <c r="EN159" s="231">
        <v>59408.28</v>
      </c>
      <c r="EO159" s="231">
        <v>29630.83</v>
      </c>
      <c r="EP159" s="231">
        <v>29777.45</v>
      </c>
      <c r="EQ159" s="229">
        <v>1.0048999999999999</v>
      </c>
      <c r="ER159" s="231">
        <v>23188</v>
      </c>
      <c r="ES159" s="231">
        <v>24884</v>
      </c>
      <c r="ET159" s="231">
        <v>92633</v>
      </c>
      <c r="EU159" s="231">
        <v>112500013</v>
      </c>
      <c r="EV159" s="231">
        <v>140705</v>
      </c>
      <c r="EW159" s="231">
        <v>128217</v>
      </c>
      <c r="EX159" s="231">
        <v>12488</v>
      </c>
      <c r="EY159" s="229">
        <v>9.74E-2</v>
      </c>
      <c r="EZ159" s="229">
        <v>0.44840000000000002</v>
      </c>
      <c r="FA159" s="227" t="s">
        <v>566</v>
      </c>
      <c r="FB159" s="161">
        <f t="shared" si="3"/>
        <v>0</v>
      </c>
    </row>
    <row r="160" spans="1:158" ht="17.25" thickBot="1" x14ac:dyDescent="0.3">
      <c r="A160" s="226">
        <v>46146</v>
      </c>
      <c r="B160" s="227" t="s">
        <v>175</v>
      </c>
      <c r="C160" s="227" t="s">
        <v>273</v>
      </c>
      <c r="D160" s="228">
        <v>1300</v>
      </c>
      <c r="E160" s="228">
        <v>449.7</v>
      </c>
      <c r="F160" s="228">
        <v>451.25</v>
      </c>
      <c r="G160" s="228">
        <v>-1.55</v>
      </c>
      <c r="H160" s="229">
        <v>-3.3999999999999998E-3</v>
      </c>
      <c r="I160" s="228">
        <v>448.25</v>
      </c>
      <c r="J160" s="228">
        <v>448.4</v>
      </c>
      <c r="K160" s="228">
        <v>-0.15</v>
      </c>
      <c r="L160" s="229">
        <v>-2.9999999999999997E-4</v>
      </c>
      <c r="M160" s="228">
        <v>449.7</v>
      </c>
      <c r="N160" s="228">
        <v>451.25</v>
      </c>
      <c r="O160" s="228">
        <v>-1.55</v>
      </c>
      <c r="P160" s="229">
        <v>-3.3999999999999998E-3</v>
      </c>
      <c r="Q160" s="228">
        <v>451.15</v>
      </c>
      <c r="R160" s="228">
        <v>452.55</v>
      </c>
      <c r="S160" s="228">
        <v>-1.4</v>
      </c>
      <c r="T160" s="229">
        <v>-3.0999999999999999E-3</v>
      </c>
      <c r="U160" s="228">
        <v>452.95</v>
      </c>
      <c r="V160" s="228">
        <v>454.25</v>
      </c>
      <c r="W160" s="228">
        <v>-1.3</v>
      </c>
      <c r="X160" s="229">
        <v>-2.8999999999999998E-3</v>
      </c>
      <c r="Y160" s="228">
        <v>1.45</v>
      </c>
      <c r="Z160" s="228">
        <v>2.85</v>
      </c>
      <c r="AA160" s="228">
        <v>-1.4</v>
      </c>
      <c r="AB160" s="229">
        <v>3.2000000000000002E-3</v>
      </c>
      <c r="AC160" s="228">
        <v>1.45</v>
      </c>
      <c r="AD160" s="228">
        <v>2.85</v>
      </c>
      <c r="AE160" s="228">
        <v>-1.4</v>
      </c>
      <c r="AF160" s="229">
        <v>3.2000000000000002E-3</v>
      </c>
      <c r="AG160" s="228">
        <v>2.9</v>
      </c>
      <c r="AH160" s="228">
        <v>4.1500000000000004</v>
      </c>
      <c r="AI160" s="228">
        <v>-1.25</v>
      </c>
      <c r="AJ160" s="229">
        <v>6.4999999999999997E-3</v>
      </c>
      <c r="AK160" s="228">
        <v>4.7</v>
      </c>
      <c r="AL160" s="228">
        <v>5.85</v>
      </c>
      <c r="AM160" s="228">
        <v>-1.1499999999999999</v>
      </c>
      <c r="AN160" s="229">
        <v>1.0500000000000001E-2</v>
      </c>
      <c r="AO160" s="228">
        <v>452.97</v>
      </c>
      <c r="AP160" s="228">
        <v>454.67</v>
      </c>
      <c r="AQ160" s="228">
        <v>0</v>
      </c>
      <c r="AR160" s="230">
        <v>6580600</v>
      </c>
      <c r="AS160" s="230">
        <v>10290800</v>
      </c>
      <c r="AT160" s="230">
        <v>-3710200</v>
      </c>
      <c r="AU160" s="229">
        <v>-0.36049999999999999</v>
      </c>
      <c r="AV160" s="230">
        <v>6307600</v>
      </c>
      <c r="AW160" s="230">
        <v>9850100</v>
      </c>
      <c r="AX160" s="230">
        <v>-3542500</v>
      </c>
      <c r="AY160" s="229">
        <v>-0.35959999999999998</v>
      </c>
      <c r="AZ160" s="230">
        <v>248300</v>
      </c>
      <c r="BA160" s="230">
        <v>400400</v>
      </c>
      <c r="BB160" s="230">
        <v>-152100</v>
      </c>
      <c r="BC160" s="229">
        <v>-0.37990000000000002</v>
      </c>
      <c r="BD160" s="230">
        <v>24700</v>
      </c>
      <c r="BE160" s="230">
        <v>40300</v>
      </c>
      <c r="BF160" s="230">
        <v>-15600</v>
      </c>
      <c r="BG160" s="229">
        <v>-0.3871</v>
      </c>
      <c r="BH160" s="230">
        <v>14197300</v>
      </c>
      <c r="BI160" s="230">
        <v>27249300</v>
      </c>
      <c r="BJ160" s="230">
        <v>-13052000</v>
      </c>
      <c r="BK160" s="229">
        <v>-0.47899999999999998</v>
      </c>
      <c r="BL160" s="230">
        <v>6613100</v>
      </c>
      <c r="BM160" s="230">
        <v>16801200</v>
      </c>
      <c r="BN160" s="230">
        <v>-10188100</v>
      </c>
      <c r="BO160" s="229">
        <v>-0.60640000000000005</v>
      </c>
      <c r="BP160" s="230">
        <v>27391000</v>
      </c>
      <c r="BQ160" s="230">
        <v>54341300</v>
      </c>
      <c r="BR160" s="230">
        <v>-26950300</v>
      </c>
      <c r="BS160" s="229">
        <v>-0.49590000000000001</v>
      </c>
      <c r="BT160" s="230">
        <v>8249151</v>
      </c>
      <c r="BU160" s="230">
        <v>10143334</v>
      </c>
      <c r="BV160" s="230">
        <v>-1894183</v>
      </c>
      <c r="BW160" s="229">
        <v>-0.1867</v>
      </c>
      <c r="BX160" s="230">
        <v>56886700</v>
      </c>
      <c r="BY160" s="230">
        <v>57294900</v>
      </c>
      <c r="BZ160" s="230">
        <v>-408200</v>
      </c>
      <c r="CA160" s="229">
        <v>-7.1000000000000004E-3</v>
      </c>
      <c r="CB160" s="230">
        <v>55368300</v>
      </c>
      <c r="CC160" s="230">
        <v>55842800</v>
      </c>
      <c r="CD160" s="230">
        <v>-474500</v>
      </c>
      <c r="CE160" s="229">
        <v>-8.5000000000000006E-3</v>
      </c>
      <c r="CF160" s="230">
        <v>1437800</v>
      </c>
      <c r="CG160" s="230">
        <v>1372800</v>
      </c>
      <c r="CH160" s="230">
        <v>65000</v>
      </c>
      <c r="CI160" s="229">
        <v>4.7300000000000002E-2</v>
      </c>
      <c r="CJ160" s="230">
        <v>80600</v>
      </c>
      <c r="CK160" s="230">
        <v>79300</v>
      </c>
      <c r="CL160" s="230">
        <v>1300</v>
      </c>
      <c r="CM160" s="229">
        <v>1.6400000000000001E-2</v>
      </c>
      <c r="CN160" s="230">
        <v>19344000</v>
      </c>
      <c r="CO160" s="230">
        <v>17845100</v>
      </c>
      <c r="CP160" s="230">
        <v>1498900</v>
      </c>
      <c r="CQ160" s="229">
        <v>8.4000000000000005E-2</v>
      </c>
      <c r="CR160" s="230">
        <v>10749700</v>
      </c>
      <c r="CS160" s="230">
        <v>10052900</v>
      </c>
      <c r="CT160" s="230">
        <v>696800</v>
      </c>
      <c r="CU160" s="229">
        <v>6.93E-2</v>
      </c>
      <c r="CV160" s="230">
        <v>86980400</v>
      </c>
      <c r="CW160" s="230">
        <v>85192900</v>
      </c>
      <c r="CX160" s="230">
        <v>1787500</v>
      </c>
      <c r="CY160" s="229">
        <v>2.1000000000000001E-2</v>
      </c>
      <c r="CZ160" s="228">
        <v>35.9</v>
      </c>
      <c r="DA160" s="228">
        <v>36.33</v>
      </c>
      <c r="DB160" s="228">
        <v>-0.43</v>
      </c>
      <c r="DC160" s="228">
        <v>-0.43</v>
      </c>
      <c r="DD160" s="228">
        <v>41.81</v>
      </c>
      <c r="DE160" s="228">
        <v>41.92</v>
      </c>
      <c r="DF160" s="228">
        <v>-5.91</v>
      </c>
      <c r="DG160" s="228">
        <v>-0.11</v>
      </c>
      <c r="DH160" s="228">
        <v>36.380000000000003</v>
      </c>
      <c r="DI160" s="228">
        <v>36.92</v>
      </c>
      <c r="DJ160" s="228">
        <v>-0.54</v>
      </c>
      <c r="DK160" s="228">
        <v>-0.54</v>
      </c>
      <c r="DL160" s="228">
        <v>34.86</v>
      </c>
      <c r="DM160" s="228">
        <v>35.369999999999997</v>
      </c>
      <c r="DN160" s="228">
        <v>-0.51</v>
      </c>
      <c r="DO160" s="228">
        <v>-0.51</v>
      </c>
      <c r="DP160" s="228">
        <v>0.56000000000000005</v>
      </c>
      <c r="DQ160" s="228">
        <v>0.56000000000000005</v>
      </c>
      <c r="DR160" s="228">
        <v>0</v>
      </c>
      <c r="DS160" s="229">
        <v>0</v>
      </c>
      <c r="DT160" s="228">
        <v>500</v>
      </c>
      <c r="DU160" s="228">
        <v>450</v>
      </c>
      <c r="DV160" s="228">
        <v>0.47</v>
      </c>
      <c r="DW160" s="228">
        <v>0.62</v>
      </c>
      <c r="DX160" s="228">
        <v>-0.15</v>
      </c>
      <c r="DY160" s="229">
        <v>-0.2419</v>
      </c>
      <c r="DZ160" s="229">
        <v>2.6700000000000002E-2</v>
      </c>
      <c r="EA160" s="230">
        <v>1452100</v>
      </c>
      <c r="EB160" s="229">
        <v>3.2000000000000002E-3</v>
      </c>
      <c r="EC160" s="229">
        <v>2.6700000000000002E-2</v>
      </c>
      <c r="ED160" s="228">
        <v>1.7</v>
      </c>
      <c r="EE160" s="229">
        <v>3.8E-3</v>
      </c>
      <c r="EF160" s="230">
        <v>4666663</v>
      </c>
      <c r="EG160" s="230">
        <v>5301821</v>
      </c>
      <c r="EH160" s="229">
        <v>-0.1198</v>
      </c>
      <c r="EI160" s="229">
        <v>0.56569999999999998</v>
      </c>
      <c r="EJ160" s="231">
        <v>68769.399999999994</v>
      </c>
      <c r="EK160" s="231">
        <v>30058.83</v>
      </c>
      <c r="EL160" s="231">
        <v>29813.69</v>
      </c>
      <c r="EM160" s="231">
        <v>17323</v>
      </c>
      <c r="EN160" s="231">
        <v>128641.92</v>
      </c>
      <c r="EO160" s="231">
        <v>257069.39</v>
      </c>
      <c r="EP160" s="231">
        <v>-128427.47</v>
      </c>
      <c r="EQ160" s="229">
        <v>-0.49959999999999999</v>
      </c>
      <c r="ER160" s="231">
        <v>93251</v>
      </c>
      <c r="ES160" s="231">
        <v>47880</v>
      </c>
      <c r="ET160" s="231">
        <v>255843</v>
      </c>
      <c r="EU160" s="231">
        <v>217835555</v>
      </c>
      <c r="EV160" s="231">
        <v>396974</v>
      </c>
      <c r="EW160" s="231">
        <v>389667</v>
      </c>
      <c r="EX160" s="231">
        <v>7307</v>
      </c>
      <c r="EY160" s="229">
        <v>1.8800000000000001E-2</v>
      </c>
      <c r="EZ160" s="229">
        <v>0.39929999999999999</v>
      </c>
      <c r="FA160" s="227" t="s">
        <v>567</v>
      </c>
      <c r="FB160" s="161">
        <f t="shared" si="3"/>
        <v>0</v>
      </c>
    </row>
    <row r="161" spans="1:158" ht="17.25" thickBot="1" x14ac:dyDescent="0.3">
      <c r="A161" s="226">
        <v>46146</v>
      </c>
      <c r="B161" s="227" t="s">
        <v>184</v>
      </c>
      <c r="C161" s="227" t="s">
        <v>676</v>
      </c>
      <c r="D161" s="228">
        <v>950</v>
      </c>
      <c r="E161" s="228">
        <v>537.4</v>
      </c>
      <c r="F161" s="228">
        <v>536.75</v>
      </c>
      <c r="G161" s="228">
        <v>0.65</v>
      </c>
      <c r="H161" s="229">
        <v>1.1999999999999999E-3</v>
      </c>
      <c r="I161" s="228">
        <v>534.5</v>
      </c>
      <c r="J161" s="228">
        <v>534</v>
      </c>
      <c r="K161" s="228">
        <v>0.5</v>
      </c>
      <c r="L161" s="229">
        <v>8.9999999999999998E-4</v>
      </c>
      <c r="M161" s="228">
        <v>537.4</v>
      </c>
      <c r="N161" s="228">
        <v>536.75</v>
      </c>
      <c r="O161" s="228">
        <v>0.65</v>
      </c>
      <c r="P161" s="229">
        <v>1.1999999999999999E-3</v>
      </c>
      <c r="Q161" s="228">
        <v>535.20000000000005</v>
      </c>
      <c r="R161" s="228">
        <v>534.04999999999995</v>
      </c>
      <c r="S161" s="228">
        <v>1.1499999999999999</v>
      </c>
      <c r="T161" s="229">
        <v>2.2000000000000001E-3</v>
      </c>
      <c r="U161" s="228">
        <v>524.20000000000005</v>
      </c>
      <c r="V161" s="228">
        <v>531.65</v>
      </c>
      <c r="W161" s="228">
        <v>-7.45</v>
      </c>
      <c r="X161" s="229">
        <v>-1.4E-2</v>
      </c>
      <c r="Y161" s="228">
        <v>2.9</v>
      </c>
      <c r="Z161" s="228">
        <v>2.75</v>
      </c>
      <c r="AA161" s="228">
        <v>0.15</v>
      </c>
      <c r="AB161" s="229">
        <v>5.4000000000000003E-3</v>
      </c>
      <c r="AC161" s="228">
        <v>2.9</v>
      </c>
      <c r="AD161" s="228">
        <v>2.75</v>
      </c>
      <c r="AE161" s="228">
        <v>0.15</v>
      </c>
      <c r="AF161" s="229">
        <v>5.4000000000000003E-3</v>
      </c>
      <c r="AG161" s="228">
        <v>0.7</v>
      </c>
      <c r="AH161" s="228">
        <v>0.05</v>
      </c>
      <c r="AI161" s="228">
        <v>0.65</v>
      </c>
      <c r="AJ161" s="229">
        <v>1.2999999999999999E-3</v>
      </c>
      <c r="AK161" s="228">
        <v>-10.3</v>
      </c>
      <c r="AL161" s="228">
        <v>-2.35</v>
      </c>
      <c r="AM161" s="228">
        <v>-7.95</v>
      </c>
      <c r="AN161" s="229">
        <v>-1.9300000000000001E-2</v>
      </c>
      <c r="AO161" s="228">
        <v>535.36</v>
      </c>
      <c r="AP161" s="228">
        <v>532.13</v>
      </c>
      <c r="AQ161" s="228">
        <v>0</v>
      </c>
      <c r="AR161" s="230">
        <v>1575100</v>
      </c>
      <c r="AS161" s="230">
        <v>3995700</v>
      </c>
      <c r="AT161" s="230">
        <v>-2420600</v>
      </c>
      <c r="AU161" s="229">
        <v>-0.60580000000000001</v>
      </c>
      <c r="AV161" s="230">
        <v>1436400</v>
      </c>
      <c r="AW161" s="230">
        <v>3810450</v>
      </c>
      <c r="AX161" s="230">
        <v>-2374050</v>
      </c>
      <c r="AY161" s="229">
        <v>-0.623</v>
      </c>
      <c r="AZ161" s="230">
        <v>85500</v>
      </c>
      <c r="BA161" s="230">
        <v>172900</v>
      </c>
      <c r="BB161" s="230">
        <v>-87400</v>
      </c>
      <c r="BC161" s="229">
        <v>-0.50549999999999995</v>
      </c>
      <c r="BD161" s="230">
        <v>53200</v>
      </c>
      <c r="BE161" s="230">
        <v>12350</v>
      </c>
      <c r="BF161" s="230">
        <v>40850</v>
      </c>
      <c r="BG161" s="229">
        <v>3.3077000000000001</v>
      </c>
      <c r="BH161" s="230">
        <v>3112200</v>
      </c>
      <c r="BI161" s="230">
        <v>5269650</v>
      </c>
      <c r="BJ161" s="230">
        <v>-2157450</v>
      </c>
      <c r="BK161" s="229">
        <v>-0.40939999999999999</v>
      </c>
      <c r="BL161" s="230">
        <v>1513350</v>
      </c>
      <c r="BM161" s="230">
        <v>4576150</v>
      </c>
      <c r="BN161" s="230">
        <v>-3062800</v>
      </c>
      <c r="BO161" s="229">
        <v>-0.66930000000000001</v>
      </c>
      <c r="BP161" s="230">
        <v>6200650</v>
      </c>
      <c r="BQ161" s="230">
        <v>13841500</v>
      </c>
      <c r="BR161" s="230">
        <v>-7640850</v>
      </c>
      <c r="BS161" s="229">
        <v>-0.55200000000000005</v>
      </c>
      <c r="BT161" s="230">
        <v>1298024</v>
      </c>
      <c r="BU161" s="230">
        <v>4840479</v>
      </c>
      <c r="BV161" s="230">
        <v>-3542455</v>
      </c>
      <c r="BW161" s="229">
        <v>-0.73180000000000001</v>
      </c>
      <c r="BX161" s="230">
        <v>11186250</v>
      </c>
      <c r="BY161" s="230">
        <v>11353450</v>
      </c>
      <c r="BZ161" s="230">
        <v>-167200</v>
      </c>
      <c r="CA161" s="229">
        <v>-1.47E-2</v>
      </c>
      <c r="CB161" s="230">
        <v>10266650</v>
      </c>
      <c r="CC161" s="230">
        <v>10454750</v>
      </c>
      <c r="CD161" s="230">
        <v>-188100</v>
      </c>
      <c r="CE161" s="229">
        <v>-1.7999999999999999E-2</v>
      </c>
      <c r="CF161" s="230">
        <v>882550</v>
      </c>
      <c r="CG161" s="230">
        <v>875900</v>
      </c>
      <c r="CH161" s="230">
        <v>6650</v>
      </c>
      <c r="CI161" s="229">
        <v>7.6E-3</v>
      </c>
      <c r="CJ161" s="230">
        <v>37050</v>
      </c>
      <c r="CK161" s="230">
        <v>22800</v>
      </c>
      <c r="CL161" s="230">
        <v>14250</v>
      </c>
      <c r="CM161" s="229">
        <v>0.625</v>
      </c>
      <c r="CN161" s="230">
        <v>3666050</v>
      </c>
      <c r="CO161" s="230">
        <v>3339250</v>
      </c>
      <c r="CP161" s="230">
        <v>326800</v>
      </c>
      <c r="CQ161" s="229">
        <v>9.7900000000000001E-2</v>
      </c>
      <c r="CR161" s="230">
        <v>3504550</v>
      </c>
      <c r="CS161" s="230">
        <v>3254700</v>
      </c>
      <c r="CT161" s="230">
        <v>249850</v>
      </c>
      <c r="CU161" s="229">
        <v>7.6799999999999993E-2</v>
      </c>
      <c r="CV161" s="230">
        <v>18356850</v>
      </c>
      <c r="CW161" s="230">
        <v>17947400</v>
      </c>
      <c r="CX161" s="230">
        <v>409450</v>
      </c>
      <c r="CY161" s="229">
        <v>2.2800000000000001E-2</v>
      </c>
      <c r="CZ161" s="228">
        <v>54.22</v>
      </c>
      <c r="DA161" s="228">
        <v>53.16</v>
      </c>
      <c r="DB161" s="228">
        <v>1.06</v>
      </c>
      <c r="DC161" s="228">
        <v>1.06</v>
      </c>
      <c r="DD161" s="228">
        <v>67.03</v>
      </c>
      <c r="DE161" s="228">
        <v>67.2</v>
      </c>
      <c r="DF161" s="228">
        <v>-12.81</v>
      </c>
      <c r="DG161" s="228">
        <v>-0.17</v>
      </c>
      <c r="DH161" s="228">
        <v>53.71</v>
      </c>
      <c r="DI161" s="228">
        <v>53.12</v>
      </c>
      <c r="DJ161" s="228">
        <v>0.59</v>
      </c>
      <c r="DK161" s="228">
        <v>0.59</v>
      </c>
      <c r="DL161" s="228">
        <v>55.27</v>
      </c>
      <c r="DM161" s="228">
        <v>53.21</v>
      </c>
      <c r="DN161" s="228">
        <v>2.06</v>
      </c>
      <c r="DO161" s="228">
        <v>2.06</v>
      </c>
      <c r="DP161" s="228">
        <v>0.96</v>
      </c>
      <c r="DQ161" s="228">
        <v>0.97</v>
      </c>
      <c r="DR161" s="228">
        <v>-0.01</v>
      </c>
      <c r="DS161" s="229">
        <v>-1.03E-2</v>
      </c>
      <c r="DT161" s="228">
        <v>600</v>
      </c>
      <c r="DU161" s="228">
        <v>500</v>
      </c>
      <c r="DV161" s="228">
        <v>0.49</v>
      </c>
      <c r="DW161" s="228">
        <v>0.87</v>
      </c>
      <c r="DX161" s="228">
        <v>-0.38</v>
      </c>
      <c r="DY161" s="229">
        <v>-0.43680000000000002</v>
      </c>
      <c r="DZ161" s="229">
        <v>8.2199999999999995E-2</v>
      </c>
      <c r="EA161" s="230">
        <v>898700</v>
      </c>
      <c r="EB161" s="229">
        <v>-4.1000000000000003E-3</v>
      </c>
      <c r="EC161" s="229">
        <v>8.2199999999999995E-2</v>
      </c>
      <c r="ED161" s="228">
        <v>-3.23</v>
      </c>
      <c r="EE161" s="229">
        <v>-6.0000000000000001E-3</v>
      </c>
      <c r="EF161" s="230">
        <v>321643</v>
      </c>
      <c r="EG161" s="230">
        <v>2066255</v>
      </c>
      <c r="EH161" s="229">
        <v>-0.84430000000000005</v>
      </c>
      <c r="EI161" s="229">
        <v>0.24779999999999999</v>
      </c>
      <c r="EJ161" s="231">
        <v>18430.73</v>
      </c>
      <c r="EK161" s="231">
        <v>7978.01</v>
      </c>
      <c r="EL161" s="231">
        <v>8426.92</v>
      </c>
      <c r="EM161" s="231">
        <v>7153</v>
      </c>
      <c r="EN161" s="231">
        <v>34835.660000000003</v>
      </c>
      <c r="EO161" s="231">
        <v>76140.81</v>
      </c>
      <c r="EP161" s="231">
        <v>-41305.15</v>
      </c>
      <c r="EQ161" s="229">
        <v>-0.54249999999999998</v>
      </c>
      <c r="ER161" s="231">
        <v>21263</v>
      </c>
      <c r="ES161" s="231">
        <v>17588</v>
      </c>
      <c r="ET161" s="231">
        <v>60091</v>
      </c>
      <c r="EU161" s="231">
        <v>24101986</v>
      </c>
      <c r="EV161" s="231">
        <v>98942</v>
      </c>
      <c r="EW161" s="231">
        <v>96743</v>
      </c>
      <c r="EX161" s="231">
        <v>2199</v>
      </c>
      <c r="EY161" s="229">
        <v>2.2700000000000001E-2</v>
      </c>
      <c r="EZ161" s="229">
        <v>0.76160000000000005</v>
      </c>
      <c r="FA161" s="227" t="s">
        <v>691</v>
      </c>
      <c r="FB161" s="161">
        <f t="shared" si="3"/>
        <v>0</v>
      </c>
    </row>
    <row r="162" spans="1:158" ht="17.25" thickBot="1" x14ac:dyDescent="0.3">
      <c r="A162" s="226">
        <v>46146</v>
      </c>
      <c r="B162" s="227" t="s">
        <v>206</v>
      </c>
      <c r="C162" s="227" t="s">
        <v>644</v>
      </c>
      <c r="D162" s="228">
        <v>350</v>
      </c>
      <c r="E162" s="231">
        <v>1797.9</v>
      </c>
      <c r="F162" s="231">
        <v>1771</v>
      </c>
      <c r="G162" s="228">
        <v>26.9</v>
      </c>
      <c r="H162" s="229">
        <v>1.52E-2</v>
      </c>
      <c r="I162" s="231">
        <v>1787.4</v>
      </c>
      <c r="J162" s="231">
        <v>1765</v>
      </c>
      <c r="K162" s="228">
        <v>22.4</v>
      </c>
      <c r="L162" s="229">
        <v>1.2699999999999999E-2</v>
      </c>
      <c r="M162" s="231">
        <v>1797.9</v>
      </c>
      <c r="N162" s="231">
        <v>1771</v>
      </c>
      <c r="O162" s="228">
        <v>26.9</v>
      </c>
      <c r="P162" s="229">
        <v>1.52E-2</v>
      </c>
      <c r="Q162" s="231">
        <v>1800.2</v>
      </c>
      <c r="R162" s="231">
        <v>1777.8</v>
      </c>
      <c r="S162" s="228">
        <v>22.4</v>
      </c>
      <c r="T162" s="229">
        <v>1.26E-2</v>
      </c>
      <c r="U162" s="228">
        <v>0</v>
      </c>
      <c r="V162" s="228">
        <v>0</v>
      </c>
      <c r="W162" s="228">
        <v>0</v>
      </c>
      <c r="X162" s="229">
        <v>0</v>
      </c>
      <c r="Y162" s="228">
        <v>10.5</v>
      </c>
      <c r="Z162" s="228">
        <v>6</v>
      </c>
      <c r="AA162" s="228">
        <v>4.5</v>
      </c>
      <c r="AB162" s="229">
        <v>5.8999999999999999E-3</v>
      </c>
      <c r="AC162" s="228">
        <v>10.5</v>
      </c>
      <c r="AD162" s="228">
        <v>6</v>
      </c>
      <c r="AE162" s="228">
        <v>4.5</v>
      </c>
      <c r="AF162" s="229">
        <v>5.8999999999999999E-3</v>
      </c>
      <c r="AG162" s="228">
        <v>12.8</v>
      </c>
      <c r="AH162" s="228">
        <v>12.8</v>
      </c>
      <c r="AI162" s="228">
        <v>0</v>
      </c>
      <c r="AJ162" s="229">
        <v>7.1999999999999998E-3</v>
      </c>
      <c r="AK162" s="228">
        <v>0</v>
      </c>
      <c r="AL162" s="228">
        <v>0</v>
      </c>
      <c r="AM162" s="228">
        <v>0</v>
      </c>
      <c r="AN162" s="229">
        <v>0</v>
      </c>
      <c r="AO162" s="231">
        <v>1800.41</v>
      </c>
      <c r="AP162" s="231">
        <v>1797.86</v>
      </c>
      <c r="AQ162" s="228">
        <v>0</v>
      </c>
      <c r="AR162" s="230">
        <v>400050</v>
      </c>
      <c r="AS162" s="230">
        <v>741650</v>
      </c>
      <c r="AT162" s="230">
        <v>-341600</v>
      </c>
      <c r="AU162" s="229">
        <v>-0.46060000000000001</v>
      </c>
      <c r="AV162" s="230">
        <v>397250</v>
      </c>
      <c r="AW162" s="230">
        <v>731150</v>
      </c>
      <c r="AX162" s="230">
        <v>-333900</v>
      </c>
      <c r="AY162" s="229">
        <v>-0.45669999999999999</v>
      </c>
      <c r="AZ162" s="230">
        <v>2800</v>
      </c>
      <c r="BA162" s="230">
        <v>10500</v>
      </c>
      <c r="BB162" s="230">
        <v>-7700</v>
      </c>
      <c r="BC162" s="229">
        <v>-0.73329999999999995</v>
      </c>
      <c r="BD162" s="228">
        <v>0</v>
      </c>
      <c r="BE162" s="228">
        <v>0</v>
      </c>
      <c r="BF162" s="228">
        <v>0</v>
      </c>
      <c r="BG162" s="229">
        <v>0</v>
      </c>
      <c r="BH162" s="230">
        <v>980350</v>
      </c>
      <c r="BI162" s="230">
        <v>1411200</v>
      </c>
      <c r="BJ162" s="230">
        <v>-430850</v>
      </c>
      <c r="BK162" s="229">
        <v>-0.30530000000000002</v>
      </c>
      <c r="BL162" s="230">
        <v>424200</v>
      </c>
      <c r="BM162" s="230">
        <v>1545250</v>
      </c>
      <c r="BN162" s="230">
        <v>-1121050</v>
      </c>
      <c r="BO162" s="229">
        <v>-0.72550000000000003</v>
      </c>
      <c r="BP162" s="230">
        <v>1804600</v>
      </c>
      <c r="BQ162" s="230">
        <v>3698100</v>
      </c>
      <c r="BR162" s="230">
        <v>-1893500</v>
      </c>
      <c r="BS162" s="229">
        <v>-0.51200000000000001</v>
      </c>
      <c r="BT162" s="230">
        <v>415258</v>
      </c>
      <c r="BU162" s="230">
        <v>577448</v>
      </c>
      <c r="BV162" s="230">
        <v>-162190</v>
      </c>
      <c r="BW162" s="229">
        <v>-0.28089999999999998</v>
      </c>
      <c r="BX162" s="230">
        <v>4030600</v>
      </c>
      <c r="BY162" s="230">
        <v>3973200</v>
      </c>
      <c r="BZ162" s="230">
        <v>57400</v>
      </c>
      <c r="CA162" s="229">
        <v>1.44E-2</v>
      </c>
      <c r="CB162" s="230">
        <v>3666950</v>
      </c>
      <c r="CC162" s="230">
        <v>3610250</v>
      </c>
      <c r="CD162" s="230">
        <v>56700</v>
      </c>
      <c r="CE162" s="229">
        <v>1.5699999999999999E-2</v>
      </c>
      <c r="CF162" s="230">
        <v>363650</v>
      </c>
      <c r="CG162" s="230">
        <v>362950</v>
      </c>
      <c r="CH162" s="228">
        <v>700</v>
      </c>
      <c r="CI162" s="229">
        <v>1.9E-3</v>
      </c>
      <c r="CJ162" s="228">
        <v>0</v>
      </c>
      <c r="CK162" s="228">
        <v>0</v>
      </c>
      <c r="CL162" s="228">
        <v>0</v>
      </c>
      <c r="CM162" s="229">
        <v>0</v>
      </c>
      <c r="CN162" s="230">
        <v>914900</v>
      </c>
      <c r="CO162" s="230">
        <v>919450</v>
      </c>
      <c r="CP162" s="230">
        <v>-4550</v>
      </c>
      <c r="CQ162" s="229">
        <v>-4.8999999999999998E-3</v>
      </c>
      <c r="CR162" s="230">
        <v>683550</v>
      </c>
      <c r="CS162" s="230">
        <v>674100</v>
      </c>
      <c r="CT162" s="230">
        <v>9450</v>
      </c>
      <c r="CU162" s="229">
        <v>1.4E-2</v>
      </c>
      <c r="CV162" s="230">
        <v>5629050</v>
      </c>
      <c r="CW162" s="230">
        <v>5566750</v>
      </c>
      <c r="CX162" s="230">
        <v>62300</v>
      </c>
      <c r="CY162" s="229">
        <v>1.12E-2</v>
      </c>
      <c r="CZ162" s="228">
        <v>31.29</v>
      </c>
      <c r="DA162" s="228">
        <v>31.66</v>
      </c>
      <c r="DB162" s="228">
        <v>-0.37</v>
      </c>
      <c r="DC162" s="228">
        <v>-0.37</v>
      </c>
      <c r="DD162" s="228">
        <v>39.54</v>
      </c>
      <c r="DE162" s="228">
        <v>39.6</v>
      </c>
      <c r="DF162" s="228">
        <v>-8.25</v>
      </c>
      <c r="DG162" s="228">
        <v>-0.06</v>
      </c>
      <c r="DH162" s="228">
        <v>30.62</v>
      </c>
      <c r="DI162" s="228">
        <v>30.81</v>
      </c>
      <c r="DJ162" s="228">
        <v>-0.19</v>
      </c>
      <c r="DK162" s="228">
        <v>-0.19</v>
      </c>
      <c r="DL162" s="228">
        <v>32.840000000000003</v>
      </c>
      <c r="DM162" s="228">
        <v>32.43</v>
      </c>
      <c r="DN162" s="228">
        <v>0.41</v>
      </c>
      <c r="DO162" s="228">
        <v>0.41</v>
      </c>
      <c r="DP162" s="228">
        <v>0.75</v>
      </c>
      <c r="DQ162" s="228">
        <v>0.73</v>
      </c>
      <c r="DR162" s="228">
        <v>0.02</v>
      </c>
      <c r="DS162" s="229">
        <v>2.7400000000000001E-2</v>
      </c>
      <c r="DT162" s="231">
        <v>1800</v>
      </c>
      <c r="DU162" s="231">
        <v>1800</v>
      </c>
      <c r="DV162" s="228">
        <v>0.43</v>
      </c>
      <c r="DW162" s="228">
        <v>1.0900000000000001</v>
      </c>
      <c r="DX162" s="228">
        <v>-0.66</v>
      </c>
      <c r="DY162" s="229">
        <v>-0.60550000000000004</v>
      </c>
      <c r="DZ162" s="229">
        <v>9.0200000000000002E-2</v>
      </c>
      <c r="EA162" s="230">
        <v>362950</v>
      </c>
      <c r="EB162" s="229">
        <v>1.2999999999999999E-3</v>
      </c>
      <c r="EC162" s="229">
        <v>9.0200000000000002E-2</v>
      </c>
      <c r="ED162" s="228">
        <v>-2.5499999999999998</v>
      </c>
      <c r="EE162" s="229">
        <v>-1.4E-3</v>
      </c>
      <c r="EF162" s="230">
        <v>236494</v>
      </c>
      <c r="EG162" s="230">
        <v>269132</v>
      </c>
      <c r="EH162" s="229">
        <v>-0.12130000000000001</v>
      </c>
      <c r="EI162" s="229">
        <v>0.56950000000000001</v>
      </c>
      <c r="EJ162" s="231">
        <v>18586.25</v>
      </c>
      <c r="EK162" s="231">
        <v>7483.22</v>
      </c>
      <c r="EL162" s="231">
        <v>7202.46</v>
      </c>
      <c r="EM162" s="231">
        <v>4677</v>
      </c>
      <c r="EN162" s="231">
        <v>33271.93</v>
      </c>
      <c r="EO162" s="231">
        <v>66759.98</v>
      </c>
      <c r="EP162" s="231">
        <v>-33488.050000000003</v>
      </c>
      <c r="EQ162" s="229">
        <v>-0.50160000000000005</v>
      </c>
      <c r="ER162" s="231">
        <v>16958</v>
      </c>
      <c r="ES162" s="231">
        <v>11832</v>
      </c>
      <c r="ET162" s="231">
        <v>72475</v>
      </c>
      <c r="EU162" s="231">
        <v>21502901</v>
      </c>
      <c r="EV162" s="231">
        <v>101265</v>
      </c>
      <c r="EW162" s="231">
        <v>99066</v>
      </c>
      <c r="EX162" s="231">
        <v>2199</v>
      </c>
      <c r="EY162" s="229">
        <v>2.2200000000000001E-2</v>
      </c>
      <c r="EZ162" s="229">
        <v>0.26179999999999998</v>
      </c>
      <c r="FA162" s="227" t="s">
        <v>555</v>
      </c>
      <c r="FB162" s="161">
        <f t="shared" ref="FB162:FB194" si="4">BX229-CB229</f>
        <v>0</v>
      </c>
    </row>
    <row r="163" spans="1:158" ht="17.25" thickBot="1" x14ac:dyDescent="0.3">
      <c r="A163" s="226">
        <v>46146</v>
      </c>
      <c r="B163" s="227" t="s">
        <v>168</v>
      </c>
      <c r="C163" s="227" t="s">
        <v>274</v>
      </c>
      <c r="D163" s="228">
        <v>500</v>
      </c>
      <c r="E163" s="231">
        <v>1372.3</v>
      </c>
      <c r="F163" s="231">
        <v>1385.3</v>
      </c>
      <c r="G163" s="228">
        <v>-13</v>
      </c>
      <c r="H163" s="229">
        <v>-9.4000000000000004E-3</v>
      </c>
      <c r="I163" s="231">
        <v>1364.6</v>
      </c>
      <c r="J163" s="231">
        <v>1375.7</v>
      </c>
      <c r="K163" s="228">
        <v>-11.1</v>
      </c>
      <c r="L163" s="229">
        <v>-8.0999999999999996E-3</v>
      </c>
      <c r="M163" s="231">
        <v>1372.3</v>
      </c>
      <c r="N163" s="231">
        <v>1385.3</v>
      </c>
      <c r="O163" s="228">
        <v>-13</v>
      </c>
      <c r="P163" s="229">
        <v>-9.4000000000000004E-3</v>
      </c>
      <c r="Q163" s="231">
        <v>1379.6</v>
      </c>
      <c r="R163" s="231">
        <v>1392.3</v>
      </c>
      <c r="S163" s="228">
        <v>-12.7</v>
      </c>
      <c r="T163" s="229">
        <v>-9.1000000000000004E-3</v>
      </c>
      <c r="U163" s="231">
        <v>1380.2</v>
      </c>
      <c r="V163" s="231">
        <v>1393.2</v>
      </c>
      <c r="W163" s="228">
        <v>-13</v>
      </c>
      <c r="X163" s="229">
        <v>-9.2999999999999992E-3</v>
      </c>
      <c r="Y163" s="228">
        <v>7.7</v>
      </c>
      <c r="Z163" s="228">
        <v>9.6</v>
      </c>
      <c r="AA163" s="228">
        <v>-1.9</v>
      </c>
      <c r="AB163" s="229">
        <v>5.5999999999999999E-3</v>
      </c>
      <c r="AC163" s="228">
        <v>7.7</v>
      </c>
      <c r="AD163" s="228">
        <v>9.6</v>
      </c>
      <c r="AE163" s="228">
        <v>-1.9</v>
      </c>
      <c r="AF163" s="229">
        <v>5.5999999999999999E-3</v>
      </c>
      <c r="AG163" s="228">
        <v>15</v>
      </c>
      <c r="AH163" s="228">
        <v>16.600000000000001</v>
      </c>
      <c r="AI163" s="228">
        <v>-1.6</v>
      </c>
      <c r="AJ163" s="229">
        <v>1.0999999999999999E-2</v>
      </c>
      <c r="AK163" s="228">
        <v>15.6</v>
      </c>
      <c r="AL163" s="228">
        <v>17.5</v>
      </c>
      <c r="AM163" s="228">
        <v>-1.9</v>
      </c>
      <c r="AN163" s="229">
        <v>1.14E-2</v>
      </c>
      <c r="AO163" s="231">
        <v>1382.71</v>
      </c>
      <c r="AP163" s="231">
        <v>1387.52</v>
      </c>
      <c r="AQ163" s="228">
        <v>0</v>
      </c>
      <c r="AR163" s="230">
        <v>1050000</v>
      </c>
      <c r="AS163" s="230">
        <v>1280000</v>
      </c>
      <c r="AT163" s="230">
        <v>-230000</v>
      </c>
      <c r="AU163" s="229">
        <v>-0.1797</v>
      </c>
      <c r="AV163" s="230">
        <v>1028500</v>
      </c>
      <c r="AW163" s="230">
        <v>1245000</v>
      </c>
      <c r="AX163" s="230">
        <v>-216500</v>
      </c>
      <c r="AY163" s="229">
        <v>-0.1739</v>
      </c>
      <c r="AZ163" s="230">
        <v>16500</v>
      </c>
      <c r="BA163" s="230">
        <v>26500</v>
      </c>
      <c r="BB163" s="230">
        <v>-10000</v>
      </c>
      <c r="BC163" s="229">
        <v>-0.37740000000000001</v>
      </c>
      <c r="BD163" s="230">
        <v>5000</v>
      </c>
      <c r="BE163" s="230">
        <v>8500</v>
      </c>
      <c r="BF163" s="230">
        <v>-3500</v>
      </c>
      <c r="BG163" s="229">
        <v>-0.4118</v>
      </c>
      <c r="BH163" s="230">
        <v>1078000</v>
      </c>
      <c r="BI163" s="230">
        <v>712000</v>
      </c>
      <c r="BJ163" s="230">
        <v>366000</v>
      </c>
      <c r="BK163" s="229">
        <v>0.51400000000000001</v>
      </c>
      <c r="BL163" s="230">
        <v>546500</v>
      </c>
      <c r="BM163" s="230">
        <v>479000</v>
      </c>
      <c r="BN163" s="230">
        <v>67500</v>
      </c>
      <c r="BO163" s="229">
        <v>0.1409</v>
      </c>
      <c r="BP163" s="230">
        <v>2674500</v>
      </c>
      <c r="BQ163" s="230">
        <v>2471000</v>
      </c>
      <c r="BR163" s="230">
        <v>203500</v>
      </c>
      <c r="BS163" s="229">
        <v>8.2400000000000001E-2</v>
      </c>
      <c r="BT163" s="230">
        <v>664300</v>
      </c>
      <c r="BU163" s="230">
        <v>1361012</v>
      </c>
      <c r="BV163" s="230">
        <v>-696712</v>
      </c>
      <c r="BW163" s="229">
        <v>-0.51190000000000002</v>
      </c>
      <c r="BX163" s="230">
        <v>7198000</v>
      </c>
      <c r="BY163" s="230">
        <v>7113500</v>
      </c>
      <c r="BZ163" s="230">
        <v>84500</v>
      </c>
      <c r="CA163" s="229">
        <v>1.1900000000000001E-2</v>
      </c>
      <c r="CB163" s="230">
        <v>7124500</v>
      </c>
      <c r="CC163" s="230">
        <v>7048000</v>
      </c>
      <c r="CD163" s="230">
        <v>76500</v>
      </c>
      <c r="CE163" s="229">
        <v>1.09E-2</v>
      </c>
      <c r="CF163" s="230">
        <v>57500</v>
      </c>
      <c r="CG163" s="230">
        <v>52500</v>
      </c>
      <c r="CH163" s="230">
        <v>5000</v>
      </c>
      <c r="CI163" s="229">
        <v>9.5200000000000007E-2</v>
      </c>
      <c r="CJ163" s="230">
        <v>16000</v>
      </c>
      <c r="CK163" s="230">
        <v>13000</v>
      </c>
      <c r="CL163" s="230">
        <v>3000</v>
      </c>
      <c r="CM163" s="229">
        <v>0.23080000000000001</v>
      </c>
      <c r="CN163" s="230">
        <v>1002000</v>
      </c>
      <c r="CO163" s="230">
        <v>735000</v>
      </c>
      <c r="CP163" s="230">
        <v>267000</v>
      </c>
      <c r="CQ163" s="229">
        <v>0.36330000000000001</v>
      </c>
      <c r="CR163" s="230">
        <v>656000</v>
      </c>
      <c r="CS163" s="230">
        <v>511000</v>
      </c>
      <c r="CT163" s="230">
        <v>145000</v>
      </c>
      <c r="CU163" s="229">
        <v>0.2838</v>
      </c>
      <c r="CV163" s="230">
        <v>8856000</v>
      </c>
      <c r="CW163" s="230">
        <v>8359500</v>
      </c>
      <c r="CX163" s="230">
        <v>496500</v>
      </c>
      <c r="CY163" s="229">
        <v>5.9400000000000001E-2</v>
      </c>
      <c r="CZ163" s="228">
        <v>29.17</v>
      </c>
      <c r="DA163" s="228">
        <v>28.28</v>
      </c>
      <c r="DB163" s="228">
        <v>0.89</v>
      </c>
      <c r="DC163" s="228">
        <v>0.89</v>
      </c>
      <c r="DD163" s="228">
        <v>25.81</v>
      </c>
      <c r="DE163" s="228">
        <v>25.84</v>
      </c>
      <c r="DF163" s="228">
        <v>3.36</v>
      </c>
      <c r="DG163" s="228">
        <v>-0.03</v>
      </c>
      <c r="DH163" s="228">
        <v>29.2</v>
      </c>
      <c r="DI163" s="228">
        <v>28.37</v>
      </c>
      <c r="DJ163" s="228">
        <v>0.83</v>
      </c>
      <c r="DK163" s="228">
        <v>0.83</v>
      </c>
      <c r="DL163" s="228">
        <v>29.12</v>
      </c>
      <c r="DM163" s="228">
        <v>28.16</v>
      </c>
      <c r="DN163" s="228">
        <v>0.96</v>
      </c>
      <c r="DO163" s="228">
        <v>0.96</v>
      </c>
      <c r="DP163" s="228">
        <v>0.65</v>
      </c>
      <c r="DQ163" s="228">
        <v>0.7</v>
      </c>
      <c r="DR163" s="228">
        <v>-0.05</v>
      </c>
      <c r="DS163" s="229">
        <v>-7.1400000000000005E-2</v>
      </c>
      <c r="DT163" s="231">
        <v>1500</v>
      </c>
      <c r="DU163" s="231">
        <v>1400</v>
      </c>
      <c r="DV163" s="228">
        <v>0.51</v>
      </c>
      <c r="DW163" s="228">
        <v>0.67</v>
      </c>
      <c r="DX163" s="228">
        <v>-0.16</v>
      </c>
      <c r="DY163" s="229">
        <v>-0.23880000000000001</v>
      </c>
      <c r="DZ163" s="229">
        <v>1.0200000000000001E-2</v>
      </c>
      <c r="EA163" s="230">
        <v>65500</v>
      </c>
      <c r="EB163" s="229">
        <v>5.3E-3</v>
      </c>
      <c r="EC163" s="229">
        <v>1.0200000000000001E-2</v>
      </c>
      <c r="ED163" s="228">
        <v>4.8099999999999996</v>
      </c>
      <c r="EE163" s="229">
        <v>3.5000000000000001E-3</v>
      </c>
      <c r="EF163" s="230">
        <v>405181</v>
      </c>
      <c r="EG163" s="230">
        <v>895974</v>
      </c>
      <c r="EH163" s="229">
        <v>-0.54779999999999995</v>
      </c>
      <c r="EI163" s="229">
        <v>0.6099</v>
      </c>
      <c r="EJ163" s="231">
        <v>15744.96</v>
      </c>
      <c r="EK163" s="231">
        <v>7460.82</v>
      </c>
      <c r="EL163" s="231">
        <v>14519.57</v>
      </c>
      <c r="EM163" s="231">
        <v>3801</v>
      </c>
      <c r="EN163" s="231">
        <v>37725.35</v>
      </c>
      <c r="EO163" s="231">
        <v>34596.980000000003</v>
      </c>
      <c r="EP163" s="231">
        <v>3128.37</v>
      </c>
      <c r="EQ163" s="229">
        <v>9.0399999999999994E-2</v>
      </c>
      <c r="ER163" s="231">
        <v>14563</v>
      </c>
      <c r="ES163" s="231">
        <v>8874</v>
      </c>
      <c r="ET163" s="231">
        <v>98784</v>
      </c>
      <c r="EU163" s="231">
        <v>31214205</v>
      </c>
      <c r="EV163" s="231">
        <v>122221</v>
      </c>
      <c r="EW163" s="231">
        <v>116215</v>
      </c>
      <c r="EX163" s="231">
        <v>6006</v>
      </c>
      <c r="EY163" s="229">
        <v>5.1700000000000003E-2</v>
      </c>
      <c r="EZ163" s="229">
        <v>0.28370000000000001</v>
      </c>
      <c r="FA163" s="227" t="s">
        <v>566</v>
      </c>
      <c r="FB163" s="161">
        <f t="shared" si="4"/>
        <v>0</v>
      </c>
    </row>
    <row r="164" spans="1:158" ht="17.25" thickBot="1" x14ac:dyDescent="0.3">
      <c r="A164" s="226">
        <v>46146</v>
      </c>
      <c r="B164" s="227" t="s">
        <v>498</v>
      </c>
      <c r="C164" s="227" t="s">
        <v>483</v>
      </c>
      <c r="D164" s="228">
        <v>175</v>
      </c>
      <c r="E164" s="231">
        <v>3064.9</v>
      </c>
      <c r="F164" s="231">
        <v>3074.1</v>
      </c>
      <c r="G164" s="228">
        <v>-9.1999999999999993</v>
      </c>
      <c r="H164" s="229">
        <v>-3.0000000000000001E-3</v>
      </c>
      <c r="I164" s="231">
        <v>3047.5</v>
      </c>
      <c r="J164" s="231">
        <v>3054.8</v>
      </c>
      <c r="K164" s="228">
        <v>-7.3</v>
      </c>
      <c r="L164" s="229">
        <v>-2.3999999999999998E-3</v>
      </c>
      <c r="M164" s="231">
        <v>3064.9</v>
      </c>
      <c r="N164" s="231">
        <v>3074.1</v>
      </c>
      <c r="O164" s="228">
        <v>-9.1999999999999993</v>
      </c>
      <c r="P164" s="229">
        <v>-3.0000000000000001E-3</v>
      </c>
      <c r="Q164" s="231">
        <v>3051.2</v>
      </c>
      <c r="R164" s="231">
        <v>3052.2</v>
      </c>
      <c r="S164" s="228">
        <v>-1</v>
      </c>
      <c r="T164" s="229">
        <v>-2.9999999999999997E-4</v>
      </c>
      <c r="U164" s="231">
        <v>3040.3</v>
      </c>
      <c r="V164" s="231">
        <v>3039.9</v>
      </c>
      <c r="W164" s="228">
        <v>0.4</v>
      </c>
      <c r="X164" s="229">
        <v>1E-4</v>
      </c>
      <c r="Y164" s="228">
        <v>17.399999999999999</v>
      </c>
      <c r="Z164" s="228">
        <v>19.3</v>
      </c>
      <c r="AA164" s="228">
        <v>-1.9</v>
      </c>
      <c r="AB164" s="229">
        <v>5.7000000000000002E-3</v>
      </c>
      <c r="AC164" s="228">
        <v>17.399999999999999</v>
      </c>
      <c r="AD164" s="228">
        <v>19.3</v>
      </c>
      <c r="AE164" s="228">
        <v>-1.9</v>
      </c>
      <c r="AF164" s="229">
        <v>5.7000000000000002E-3</v>
      </c>
      <c r="AG164" s="228">
        <v>3.7</v>
      </c>
      <c r="AH164" s="228">
        <v>-2.6</v>
      </c>
      <c r="AI164" s="228">
        <v>6.3</v>
      </c>
      <c r="AJ164" s="229">
        <v>1.1999999999999999E-3</v>
      </c>
      <c r="AK164" s="228">
        <v>-7.2</v>
      </c>
      <c r="AL164" s="228">
        <v>-14.9</v>
      </c>
      <c r="AM164" s="228">
        <v>7.7</v>
      </c>
      <c r="AN164" s="229">
        <v>-2.3999999999999998E-3</v>
      </c>
      <c r="AO164" s="231">
        <v>3082.77</v>
      </c>
      <c r="AP164" s="231">
        <v>3076.64</v>
      </c>
      <c r="AQ164" s="228">
        <v>0</v>
      </c>
      <c r="AR164" s="230">
        <v>303800</v>
      </c>
      <c r="AS164" s="230">
        <v>251650</v>
      </c>
      <c r="AT164" s="230">
        <v>52150</v>
      </c>
      <c r="AU164" s="229">
        <v>0.2072</v>
      </c>
      <c r="AV164" s="230">
        <v>294525</v>
      </c>
      <c r="AW164" s="230">
        <v>237650</v>
      </c>
      <c r="AX164" s="230">
        <v>56875</v>
      </c>
      <c r="AY164" s="229">
        <v>0.23930000000000001</v>
      </c>
      <c r="AZ164" s="230">
        <v>8925</v>
      </c>
      <c r="BA164" s="230">
        <v>11200</v>
      </c>
      <c r="BB164" s="230">
        <v>-2275</v>
      </c>
      <c r="BC164" s="229">
        <v>-0.2031</v>
      </c>
      <c r="BD164" s="228">
        <v>350</v>
      </c>
      <c r="BE164" s="230">
        <v>2800</v>
      </c>
      <c r="BF164" s="230">
        <v>-2450</v>
      </c>
      <c r="BG164" s="229">
        <v>-0.875</v>
      </c>
      <c r="BH164" s="230">
        <v>738675</v>
      </c>
      <c r="BI164" s="230">
        <v>1026375</v>
      </c>
      <c r="BJ164" s="230">
        <v>-287700</v>
      </c>
      <c r="BK164" s="229">
        <v>-0.28029999999999999</v>
      </c>
      <c r="BL164" s="230">
        <v>178150</v>
      </c>
      <c r="BM164" s="230">
        <v>224175</v>
      </c>
      <c r="BN164" s="230">
        <v>-46025</v>
      </c>
      <c r="BO164" s="229">
        <v>-0.20530000000000001</v>
      </c>
      <c r="BP164" s="230">
        <v>1220625</v>
      </c>
      <c r="BQ164" s="230">
        <v>1502200</v>
      </c>
      <c r="BR164" s="230">
        <v>-281575</v>
      </c>
      <c r="BS164" s="229">
        <v>-0.18740000000000001</v>
      </c>
      <c r="BT164" s="230">
        <v>214112</v>
      </c>
      <c r="BU164" s="230">
        <v>210195</v>
      </c>
      <c r="BV164" s="230">
        <v>3917</v>
      </c>
      <c r="BW164" s="229">
        <v>1.8599999999999998E-2</v>
      </c>
      <c r="BX164" s="230">
        <v>2727550</v>
      </c>
      <c r="BY164" s="230">
        <v>2714775</v>
      </c>
      <c r="BZ164" s="230">
        <v>12775</v>
      </c>
      <c r="CA164" s="229">
        <v>4.7000000000000002E-3</v>
      </c>
      <c r="CB164" s="230">
        <v>2671725</v>
      </c>
      <c r="CC164" s="230">
        <v>2662625</v>
      </c>
      <c r="CD164" s="230">
        <v>9100</v>
      </c>
      <c r="CE164" s="229">
        <v>3.3999999999999998E-3</v>
      </c>
      <c r="CF164" s="230">
        <v>51975</v>
      </c>
      <c r="CG164" s="230">
        <v>48650</v>
      </c>
      <c r="CH164" s="230">
        <v>3325</v>
      </c>
      <c r="CI164" s="229">
        <v>6.83E-2</v>
      </c>
      <c r="CJ164" s="230">
        <v>3850</v>
      </c>
      <c r="CK164" s="230">
        <v>3500</v>
      </c>
      <c r="CL164" s="228">
        <v>350</v>
      </c>
      <c r="CM164" s="229">
        <v>0.1</v>
      </c>
      <c r="CN164" s="230">
        <v>884450</v>
      </c>
      <c r="CO164" s="230">
        <v>827050</v>
      </c>
      <c r="CP164" s="230">
        <v>57400</v>
      </c>
      <c r="CQ164" s="229">
        <v>6.9400000000000003E-2</v>
      </c>
      <c r="CR164" s="230">
        <v>512225</v>
      </c>
      <c r="CS164" s="230">
        <v>461125</v>
      </c>
      <c r="CT164" s="230">
        <v>51100</v>
      </c>
      <c r="CU164" s="229">
        <v>0.1108</v>
      </c>
      <c r="CV164" s="230">
        <v>4124225</v>
      </c>
      <c r="CW164" s="230">
        <v>4002950</v>
      </c>
      <c r="CX164" s="230">
        <v>121275</v>
      </c>
      <c r="CY164" s="229">
        <v>3.0300000000000001E-2</v>
      </c>
      <c r="CZ164" s="228">
        <v>35.72</v>
      </c>
      <c r="DA164" s="228">
        <v>36.520000000000003</v>
      </c>
      <c r="DB164" s="228">
        <v>-0.8</v>
      </c>
      <c r="DC164" s="228">
        <v>-0.8</v>
      </c>
      <c r="DD164" s="228">
        <v>31.24</v>
      </c>
      <c r="DE164" s="228">
        <v>31.32</v>
      </c>
      <c r="DF164" s="228">
        <v>4.4800000000000004</v>
      </c>
      <c r="DG164" s="228">
        <v>-0.08</v>
      </c>
      <c r="DH164" s="228">
        <v>35.729999999999997</v>
      </c>
      <c r="DI164" s="228">
        <v>36.81</v>
      </c>
      <c r="DJ164" s="228">
        <v>-1.08</v>
      </c>
      <c r="DK164" s="228">
        <v>-1.08</v>
      </c>
      <c r="DL164" s="228">
        <v>35.700000000000003</v>
      </c>
      <c r="DM164" s="228">
        <v>35.17</v>
      </c>
      <c r="DN164" s="228">
        <v>0.53</v>
      </c>
      <c r="DO164" s="228">
        <v>0.53</v>
      </c>
      <c r="DP164" s="228">
        <v>0.57999999999999996</v>
      </c>
      <c r="DQ164" s="228">
        <v>0.56000000000000005</v>
      </c>
      <c r="DR164" s="228">
        <v>0.02</v>
      </c>
      <c r="DS164" s="229">
        <v>3.5700000000000003E-2</v>
      </c>
      <c r="DT164" s="231">
        <v>3480</v>
      </c>
      <c r="DU164" s="231">
        <v>3000</v>
      </c>
      <c r="DV164" s="228">
        <v>0.24</v>
      </c>
      <c r="DW164" s="228">
        <v>0.22</v>
      </c>
      <c r="DX164" s="228">
        <v>0.02</v>
      </c>
      <c r="DY164" s="229">
        <v>9.0899999999999995E-2</v>
      </c>
      <c r="DZ164" s="229">
        <v>2.0500000000000001E-2</v>
      </c>
      <c r="EA164" s="230">
        <v>52150</v>
      </c>
      <c r="EB164" s="229">
        <v>-4.4999999999999997E-3</v>
      </c>
      <c r="EC164" s="229">
        <v>2.0500000000000001E-2</v>
      </c>
      <c r="ED164" s="228">
        <v>-6.13</v>
      </c>
      <c r="EE164" s="229">
        <v>-2E-3</v>
      </c>
      <c r="EF164" s="230">
        <v>126486</v>
      </c>
      <c r="EG164" s="230">
        <v>121691</v>
      </c>
      <c r="EH164" s="229">
        <v>3.9399999999999998E-2</v>
      </c>
      <c r="EI164" s="229">
        <v>0.5907</v>
      </c>
      <c r="EJ164" s="231">
        <v>24768.57</v>
      </c>
      <c r="EK164" s="231">
        <v>5348.73</v>
      </c>
      <c r="EL164" s="231">
        <v>9364.73</v>
      </c>
      <c r="EM164" s="231">
        <v>7673</v>
      </c>
      <c r="EN164" s="231">
        <v>39482.03</v>
      </c>
      <c r="EO164" s="231">
        <v>49308.23</v>
      </c>
      <c r="EP164" s="231">
        <v>-9826.2000000000007</v>
      </c>
      <c r="EQ164" s="229">
        <v>-0.1993</v>
      </c>
      <c r="ER164" s="231">
        <v>28877</v>
      </c>
      <c r="ES164" s="231">
        <v>15072</v>
      </c>
      <c r="ET164" s="231">
        <v>83589</v>
      </c>
      <c r="EU164" s="231">
        <v>8178275</v>
      </c>
      <c r="EV164" s="231">
        <v>127537</v>
      </c>
      <c r="EW164" s="231">
        <v>124109</v>
      </c>
      <c r="EX164" s="231">
        <v>3428</v>
      </c>
      <c r="EY164" s="229">
        <v>2.76E-2</v>
      </c>
      <c r="EZ164" s="229">
        <v>0.50429999999999997</v>
      </c>
      <c r="FA164" s="227" t="s">
        <v>566</v>
      </c>
      <c r="FB164" s="161">
        <f t="shared" si="4"/>
        <v>0</v>
      </c>
    </row>
    <row r="165" spans="1:158" ht="17.25" thickBot="1" x14ac:dyDescent="0.3">
      <c r="A165" s="226">
        <v>46146</v>
      </c>
      <c r="B165" s="227" t="s">
        <v>172</v>
      </c>
      <c r="C165" s="227" t="s">
        <v>275</v>
      </c>
      <c r="D165" s="228">
        <v>8000</v>
      </c>
      <c r="E165" s="228">
        <v>109.2</v>
      </c>
      <c r="F165" s="228">
        <v>109.73</v>
      </c>
      <c r="G165" s="228">
        <v>-0.53</v>
      </c>
      <c r="H165" s="229">
        <v>-4.7999999999999996E-3</v>
      </c>
      <c r="I165" s="228">
        <v>108.68</v>
      </c>
      <c r="J165" s="228">
        <v>109.36</v>
      </c>
      <c r="K165" s="228">
        <v>-0.68</v>
      </c>
      <c r="L165" s="229">
        <v>-6.1999999999999998E-3</v>
      </c>
      <c r="M165" s="228">
        <v>109.2</v>
      </c>
      <c r="N165" s="228">
        <v>109.73</v>
      </c>
      <c r="O165" s="228">
        <v>-0.53</v>
      </c>
      <c r="P165" s="229">
        <v>-4.7999999999999996E-3</v>
      </c>
      <c r="Q165" s="228">
        <v>109.94</v>
      </c>
      <c r="R165" s="228">
        <v>110.51</v>
      </c>
      <c r="S165" s="228">
        <v>-0.56999999999999995</v>
      </c>
      <c r="T165" s="229">
        <v>-5.1999999999999998E-3</v>
      </c>
      <c r="U165" s="228">
        <v>110.49</v>
      </c>
      <c r="V165" s="228">
        <v>111.06</v>
      </c>
      <c r="W165" s="228">
        <v>-0.56999999999999995</v>
      </c>
      <c r="X165" s="229">
        <v>-5.1000000000000004E-3</v>
      </c>
      <c r="Y165" s="228">
        <v>0.52</v>
      </c>
      <c r="Z165" s="228">
        <v>0.37</v>
      </c>
      <c r="AA165" s="228">
        <v>0.15</v>
      </c>
      <c r="AB165" s="229">
        <v>4.7999999999999996E-3</v>
      </c>
      <c r="AC165" s="228">
        <v>0.52</v>
      </c>
      <c r="AD165" s="228">
        <v>0.37</v>
      </c>
      <c r="AE165" s="228">
        <v>0.15</v>
      </c>
      <c r="AF165" s="229">
        <v>4.7999999999999996E-3</v>
      </c>
      <c r="AG165" s="228">
        <v>1.26</v>
      </c>
      <c r="AH165" s="228">
        <v>1.1499999999999999</v>
      </c>
      <c r="AI165" s="228">
        <v>0.11</v>
      </c>
      <c r="AJ165" s="229">
        <v>1.1599999999999999E-2</v>
      </c>
      <c r="AK165" s="228">
        <v>1.81</v>
      </c>
      <c r="AL165" s="228">
        <v>1.7</v>
      </c>
      <c r="AM165" s="228">
        <v>0.11</v>
      </c>
      <c r="AN165" s="229">
        <v>1.67E-2</v>
      </c>
      <c r="AO165" s="228">
        <v>110.02</v>
      </c>
      <c r="AP165" s="228">
        <v>111.07</v>
      </c>
      <c r="AQ165" s="228">
        <v>0</v>
      </c>
      <c r="AR165" s="230">
        <v>38416000</v>
      </c>
      <c r="AS165" s="230">
        <v>38976000</v>
      </c>
      <c r="AT165" s="230">
        <v>-560000</v>
      </c>
      <c r="AU165" s="229">
        <v>-1.44E-2</v>
      </c>
      <c r="AV165" s="230">
        <v>35248000</v>
      </c>
      <c r="AW165" s="230">
        <v>35696000</v>
      </c>
      <c r="AX165" s="230">
        <v>-448000</v>
      </c>
      <c r="AY165" s="229">
        <v>-1.26E-2</v>
      </c>
      <c r="AZ165" s="230">
        <v>2744000</v>
      </c>
      <c r="BA165" s="230">
        <v>2840000</v>
      </c>
      <c r="BB165" s="230">
        <v>-96000</v>
      </c>
      <c r="BC165" s="229">
        <v>-3.3799999999999997E-2</v>
      </c>
      <c r="BD165" s="230">
        <v>424000</v>
      </c>
      <c r="BE165" s="230">
        <v>440000</v>
      </c>
      <c r="BF165" s="230">
        <v>-16000</v>
      </c>
      <c r="BG165" s="229">
        <v>-3.6400000000000002E-2</v>
      </c>
      <c r="BH165" s="230">
        <v>60936000</v>
      </c>
      <c r="BI165" s="230">
        <v>74816000</v>
      </c>
      <c r="BJ165" s="230">
        <v>-13880000</v>
      </c>
      <c r="BK165" s="229">
        <v>-0.1855</v>
      </c>
      <c r="BL165" s="230">
        <v>38696000</v>
      </c>
      <c r="BM165" s="230">
        <v>47600000</v>
      </c>
      <c r="BN165" s="230">
        <v>-8904000</v>
      </c>
      <c r="BO165" s="229">
        <v>-0.18709999999999999</v>
      </c>
      <c r="BP165" s="230">
        <v>138048000</v>
      </c>
      <c r="BQ165" s="230">
        <v>161392000</v>
      </c>
      <c r="BR165" s="230">
        <v>-23344000</v>
      </c>
      <c r="BS165" s="229">
        <v>-0.14460000000000001</v>
      </c>
      <c r="BT165" s="230">
        <v>17243272</v>
      </c>
      <c r="BU165" s="230">
        <v>16818211</v>
      </c>
      <c r="BV165" s="230">
        <v>425061</v>
      </c>
      <c r="BW165" s="229">
        <v>2.53E-2</v>
      </c>
      <c r="BX165" s="230">
        <v>275824000</v>
      </c>
      <c r="BY165" s="230">
        <v>271488000</v>
      </c>
      <c r="BZ165" s="230">
        <v>4336000</v>
      </c>
      <c r="CA165" s="229">
        <v>1.6E-2</v>
      </c>
      <c r="CB165" s="230">
        <v>255448000</v>
      </c>
      <c r="CC165" s="230">
        <v>252992000</v>
      </c>
      <c r="CD165" s="230">
        <v>2456000</v>
      </c>
      <c r="CE165" s="229">
        <v>9.7000000000000003E-3</v>
      </c>
      <c r="CF165" s="230">
        <v>19592000</v>
      </c>
      <c r="CG165" s="230">
        <v>18032000</v>
      </c>
      <c r="CH165" s="230">
        <v>1560000</v>
      </c>
      <c r="CI165" s="229">
        <v>8.6499999999999994E-2</v>
      </c>
      <c r="CJ165" s="230">
        <v>784000</v>
      </c>
      <c r="CK165" s="230">
        <v>464000</v>
      </c>
      <c r="CL165" s="230">
        <v>320000</v>
      </c>
      <c r="CM165" s="229">
        <v>0.68969999999999998</v>
      </c>
      <c r="CN165" s="230">
        <v>70592000</v>
      </c>
      <c r="CO165" s="230">
        <v>62872000</v>
      </c>
      <c r="CP165" s="230">
        <v>7720000</v>
      </c>
      <c r="CQ165" s="229">
        <v>0.12280000000000001</v>
      </c>
      <c r="CR165" s="230">
        <v>57592000</v>
      </c>
      <c r="CS165" s="230">
        <v>52248000</v>
      </c>
      <c r="CT165" s="230">
        <v>5344000</v>
      </c>
      <c r="CU165" s="229">
        <v>0.1023</v>
      </c>
      <c r="CV165" s="230">
        <v>404008000</v>
      </c>
      <c r="CW165" s="230">
        <v>386608000</v>
      </c>
      <c r="CX165" s="230">
        <v>17400000</v>
      </c>
      <c r="CY165" s="229">
        <v>4.4999999999999998E-2</v>
      </c>
      <c r="CZ165" s="228">
        <v>39.6</v>
      </c>
      <c r="DA165" s="228">
        <v>37.409999999999997</v>
      </c>
      <c r="DB165" s="228">
        <v>2.19</v>
      </c>
      <c r="DC165" s="228">
        <v>2.19</v>
      </c>
      <c r="DD165" s="228">
        <v>37.369999999999997</v>
      </c>
      <c r="DE165" s="228">
        <v>37.450000000000003</v>
      </c>
      <c r="DF165" s="228">
        <v>2.23</v>
      </c>
      <c r="DG165" s="228">
        <v>-0.08</v>
      </c>
      <c r="DH165" s="228">
        <v>39.299999999999997</v>
      </c>
      <c r="DI165" s="228">
        <v>36.979999999999997</v>
      </c>
      <c r="DJ165" s="228">
        <v>2.3199999999999998</v>
      </c>
      <c r="DK165" s="228">
        <v>2.3199999999999998</v>
      </c>
      <c r="DL165" s="228">
        <v>40.090000000000003</v>
      </c>
      <c r="DM165" s="228">
        <v>38.1</v>
      </c>
      <c r="DN165" s="228">
        <v>1.99</v>
      </c>
      <c r="DO165" s="228">
        <v>1.99</v>
      </c>
      <c r="DP165" s="228">
        <v>0.82</v>
      </c>
      <c r="DQ165" s="228">
        <v>0.83</v>
      </c>
      <c r="DR165" s="228">
        <v>-0.01</v>
      </c>
      <c r="DS165" s="229">
        <v>-1.2E-2</v>
      </c>
      <c r="DT165" s="228">
        <v>120</v>
      </c>
      <c r="DU165" s="228">
        <v>110</v>
      </c>
      <c r="DV165" s="228">
        <v>0.64</v>
      </c>
      <c r="DW165" s="228">
        <v>0.64</v>
      </c>
      <c r="DX165" s="228">
        <v>0</v>
      </c>
      <c r="DY165" s="229">
        <v>0</v>
      </c>
      <c r="DZ165" s="229">
        <v>7.3899999999999993E-2</v>
      </c>
      <c r="EA165" s="230">
        <v>18496000</v>
      </c>
      <c r="EB165" s="229">
        <v>6.7999999999999996E-3</v>
      </c>
      <c r="EC165" s="229">
        <v>7.3899999999999993E-2</v>
      </c>
      <c r="ED165" s="228">
        <v>1.05</v>
      </c>
      <c r="EE165" s="229">
        <v>9.4999999999999998E-3</v>
      </c>
      <c r="EF165" s="230">
        <v>6704860</v>
      </c>
      <c r="EG165" s="230">
        <v>6291200</v>
      </c>
      <c r="EH165" s="229">
        <v>6.5799999999999997E-2</v>
      </c>
      <c r="EI165" s="229">
        <v>0.38879999999999998</v>
      </c>
      <c r="EJ165" s="231">
        <v>71905.63</v>
      </c>
      <c r="EK165" s="231">
        <v>41927.53</v>
      </c>
      <c r="EL165" s="231">
        <v>42302.29</v>
      </c>
      <c r="EM165" s="231">
        <v>10981</v>
      </c>
      <c r="EN165" s="231">
        <v>156135.45000000001</v>
      </c>
      <c r="EO165" s="231">
        <v>182776.59</v>
      </c>
      <c r="EP165" s="231">
        <v>-26641.14</v>
      </c>
      <c r="EQ165" s="229">
        <v>-0.14580000000000001</v>
      </c>
      <c r="ER165" s="231">
        <v>83242</v>
      </c>
      <c r="ES165" s="231">
        <v>63106</v>
      </c>
      <c r="ET165" s="231">
        <v>301355</v>
      </c>
      <c r="EU165" s="231">
        <v>515822637</v>
      </c>
      <c r="EV165" s="231">
        <v>447703</v>
      </c>
      <c r="EW165" s="231">
        <v>429889</v>
      </c>
      <c r="EX165" s="231">
        <v>17814</v>
      </c>
      <c r="EY165" s="229">
        <v>4.1399999999999999E-2</v>
      </c>
      <c r="EZ165" s="229">
        <v>0.78320000000000001</v>
      </c>
      <c r="FA165" s="227" t="s">
        <v>566</v>
      </c>
      <c r="FB165" s="161">
        <f t="shared" si="4"/>
        <v>0</v>
      </c>
    </row>
    <row r="166" spans="1:158" ht="17.25" thickBot="1" x14ac:dyDescent="0.3">
      <c r="A166" s="226">
        <v>46146</v>
      </c>
      <c r="B166" s="227" t="s">
        <v>175</v>
      </c>
      <c r="C166" s="227" t="s">
        <v>667</v>
      </c>
      <c r="D166" s="228">
        <v>650</v>
      </c>
      <c r="E166" s="231">
        <v>1047.8</v>
      </c>
      <c r="F166" s="231">
        <v>1051.05</v>
      </c>
      <c r="G166" s="228">
        <v>-3.25</v>
      </c>
      <c r="H166" s="229">
        <v>-3.0999999999999999E-3</v>
      </c>
      <c r="I166" s="231">
        <v>1042.2</v>
      </c>
      <c r="J166" s="231">
        <v>1045.6500000000001</v>
      </c>
      <c r="K166" s="228">
        <v>-3.45</v>
      </c>
      <c r="L166" s="229">
        <v>-3.3E-3</v>
      </c>
      <c r="M166" s="231">
        <v>1047.8</v>
      </c>
      <c r="N166" s="231">
        <v>1051.05</v>
      </c>
      <c r="O166" s="228">
        <v>-3.25</v>
      </c>
      <c r="P166" s="229">
        <v>-3.0999999999999999E-3</v>
      </c>
      <c r="Q166" s="231">
        <v>1052</v>
      </c>
      <c r="R166" s="231">
        <v>1055.5999999999999</v>
      </c>
      <c r="S166" s="228">
        <v>-3.6</v>
      </c>
      <c r="T166" s="229">
        <v>-3.3999999999999998E-3</v>
      </c>
      <c r="U166" s="231">
        <v>1058</v>
      </c>
      <c r="V166" s="231">
        <v>1058</v>
      </c>
      <c r="W166" s="228">
        <v>0</v>
      </c>
      <c r="X166" s="229">
        <v>0</v>
      </c>
      <c r="Y166" s="228">
        <v>5.6</v>
      </c>
      <c r="Z166" s="228">
        <v>5.4</v>
      </c>
      <c r="AA166" s="228">
        <v>0.2</v>
      </c>
      <c r="AB166" s="229">
        <v>5.4000000000000003E-3</v>
      </c>
      <c r="AC166" s="228">
        <v>5.6</v>
      </c>
      <c r="AD166" s="228">
        <v>5.4</v>
      </c>
      <c r="AE166" s="228">
        <v>0.2</v>
      </c>
      <c r="AF166" s="229">
        <v>5.4000000000000003E-3</v>
      </c>
      <c r="AG166" s="228">
        <v>9.8000000000000007</v>
      </c>
      <c r="AH166" s="228">
        <v>9.9499999999999993</v>
      </c>
      <c r="AI166" s="228">
        <v>-0.15</v>
      </c>
      <c r="AJ166" s="229">
        <v>9.4000000000000004E-3</v>
      </c>
      <c r="AK166" s="228">
        <v>15.8</v>
      </c>
      <c r="AL166" s="228">
        <v>12.35</v>
      </c>
      <c r="AM166" s="228">
        <v>3.45</v>
      </c>
      <c r="AN166" s="229">
        <v>1.52E-2</v>
      </c>
      <c r="AO166" s="231">
        <v>1051.29</v>
      </c>
      <c r="AP166" s="231">
        <v>1058.46</v>
      </c>
      <c r="AQ166" s="228">
        <v>0</v>
      </c>
      <c r="AR166" s="230">
        <v>858650</v>
      </c>
      <c r="AS166" s="230">
        <v>1710800</v>
      </c>
      <c r="AT166" s="230">
        <v>-852150</v>
      </c>
      <c r="AU166" s="229">
        <v>-0.49809999999999999</v>
      </c>
      <c r="AV166" s="230">
        <v>843050</v>
      </c>
      <c r="AW166" s="230">
        <v>1671800</v>
      </c>
      <c r="AX166" s="230">
        <v>-828750</v>
      </c>
      <c r="AY166" s="229">
        <v>-0.49569999999999997</v>
      </c>
      <c r="AZ166" s="230">
        <v>15600</v>
      </c>
      <c r="BA166" s="230">
        <v>37050</v>
      </c>
      <c r="BB166" s="230">
        <v>-21450</v>
      </c>
      <c r="BC166" s="229">
        <v>-0.57889999999999997</v>
      </c>
      <c r="BD166" s="228">
        <v>0</v>
      </c>
      <c r="BE166" s="230">
        <v>1950</v>
      </c>
      <c r="BF166" s="230">
        <v>-1950</v>
      </c>
      <c r="BG166" s="229">
        <v>-1</v>
      </c>
      <c r="BH166" s="230">
        <v>1088100</v>
      </c>
      <c r="BI166" s="230">
        <v>1353300</v>
      </c>
      <c r="BJ166" s="230">
        <v>-265200</v>
      </c>
      <c r="BK166" s="229">
        <v>-0.19600000000000001</v>
      </c>
      <c r="BL166" s="230">
        <v>601250</v>
      </c>
      <c r="BM166" s="230">
        <v>1099800</v>
      </c>
      <c r="BN166" s="230">
        <v>-498550</v>
      </c>
      <c r="BO166" s="229">
        <v>-0.45329999999999998</v>
      </c>
      <c r="BP166" s="230">
        <v>2548000</v>
      </c>
      <c r="BQ166" s="230">
        <v>4163900</v>
      </c>
      <c r="BR166" s="230">
        <v>-1615900</v>
      </c>
      <c r="BS166" s="229">
        <v>-0.3881</v>
      </c>
      <c r="BT166" s="230">
        <v>447266</v>
      </c>
      <c r="BU166" s="230">
        <v>1562450</v>
      </c>
      <c r="BV166" s="230">
        <v>-1115184</v>
      </c>
      <c r="BW166" s="229">
        <v>-0.7137</v>
      </c>
      <c r="BX166" s="230">
        <v>10725650</v>
      </c>
      <c r="BY166" s="230">
        <v>10816000</v>
      </c>
      <c r="BZ166" s="230">
        <v>-90350</v>
      </c>
      <c r="CA166" s="229">
        <v>-8.3999999999999995E-3</v>
      </c>
      <c r="CB166" s="230">
        <v>10670400</v>
      </c>
      <c r="CC166" s="230">
        <v>10764650</v>
      </c>
      <c r="CD166" s="230">
        <v>-94250</v>
      </c>
      <c r="CE166" s="229">
        <v>-8.8000000000000005E-3</v>
      </c>
      <c r="CF166" s="230">
        <v>54600</v>
      </c>
      <c r="CG166" s="230">
        <v>50700</v>
      </c>
      <c r="CH166" s="230">
        <v>3900</v>
      </c>
      <c r="CI166" s="229">
        <v>7.6899999999999996E-2</v>
      </c>
      <c r="CJ166" s="228">
        <v>650</v>
      </c>
      <c r="CK166" s="228">
        <v>650</v>
      </c>
      <c r="CL166" s="228">
        <v>0</v>
      </c>
      <c r="CM166" s="229">
        <v>0</v>
      </c>
      <c r="CN166" s="230">
        <v>1641250</v>
      </c>
      <c r="CO166" s="230">
        <v>1486550</v>
      </c>
      <c r="CP166" s="230">
        <v>154700</v>
      </c>
      <c r="CQ166" s="229">
        <v>0.1041</v>
      </c>
      <c r="CR166" s="230">
        <v>1286350</v>
      </c>
      <c r="CS166" s="230">
        <v>1153100</v>
      </c>
      <c r="CT166" s="230">
        <v>133250</v>
      </c>
      <c r="CU166" s="229">
        <v>0.11559999999999999</v>
      </c>
      <c r="CV166" s="230">
        <v>13653250</v>
      </c>
      <c r="CW166" s="230">
        <v>13455650</v>
      </c>
      <c r="CX166" s="230">
        <v>197600</v>
      </c>
      <c r="CY166" s="229">
        <v>1.47E-2</v>
      </c>
      <c r="CZ166" s="228">
        <v>33.99</v>
      </c>
      <c r="DA166" s="228">
        <v>33.65</v>
      </c>
      <c r="DB166" s="228">
        <v>0.34</v>
      </c>
      <c r="DC166" s="228">
        <v>0.34</v>
      </c>
      <c r="DD166" s="228">
        <v>47.49</v>
      </c>
      <c r="DE166" s="228">
        <v>47.61</v>
      </c>
      <c r="DF166" s="228">
        <v>-13.5</v>
      </c>
      <c r="DG166" s="228">
        <v>-0.12</v>
      </c>
      <c r="DH166" s="228">
        <v>33.020000000000003</v>
      </c>
      <c r="DI166" s="228">
        <v>32.89</v>
      </c>
      <c r="DJ166" s="228">
        <v>0.13</v>
      </c>
      <c r="DK166" s="228">
        <v>0.13</v>
      </c>
      <c r="DL166" s="228">
        <v>35.74</v>
      </c>
      <c r="DM166" s="228">
        <v>34.58</v>
      </c>
      <c r="DN166" s="228">
        <v>1.1599999999999999</v>
      </c>
      <c r="DO166" s="228">
        <v>1.1599999999999999</v>
      </c>
      <c r="DP166" s="228">
        <v>0.78</v>
      </c>
      <c r="DQ166" s="228">
        <v>0.78</v>
      </c>
      <c r="DR166" s="228">
        <v>0</v>
      </c>
      <c r="DS166" s="229">
        <v>0</v>
      </c>
      <c r="DT166" s="231">
        <v>1100</v>
      </c>
      <c r="DU166" s="231">
        <v>1000</v>
      </c>
      <c r="DV166" s="228">
        <v>0.55000000000000004</v>
      </c>
      <c r="DW166" s="228">
        <v>0.81</v>
      </c>
      <c r="DX166" s="228">
        <v>-0.26</v>
      </c>
      <c r="DY166" s="229">
        <v>-0.32100000000000001</v>
      </c>
      <c r="DZ166" s="229">
        <v>5.1999999999999998E-3</v>
      </c>
      <c r="EA166" s="230">
        <v>51350</v>
      </c>
      <c r="EB166" s="229">
        <v>4.0000000000000001E-3</v>
      </c>
      <c r="EC166" s="229">
        <v>5.1999999999999998E-3</v>
      </c>
      <c r="ED166" s="228">
        <v>7.17</v>
      </c>
      <c r="EE166" s="229">
        <v>6.7999999999999996E-3</v>
      </c>
      <c r="EF166" s="230">
        <v>222234</v>
      </c>
      <c r="EG166" s="230">
        <v>771140</v>
      </c>
      <c r="EH166" s="229">
        <v>-0.71179999999999999</v>
      </c>
      <c r="EI166" s="229">
        <v>0.49690000000000001</v>
      </c>
      <c r="EJ166" s="231">
        <v>12099.17</v>
      </c>
      <c r="EK166" s="231">
        <v>6196.98</v>
      </c>
      <c r="EL166" s="231">
        <v>9028.01</v>
      </c>
      <c r="EM166" s="231">
        <v>5465</v>
      </c>
      <c r="EN166" s="231">
        <v>27324.16</v>
      </c>
      <c r="EO166" s="231">
        <v>44132.92</v>
      </c>
      <c r="EP166" s="231">
        <v>-16808.759999999998</v>
      </c>
      <c r="EQ166" s="229">
        <v>-0.38090000000000002</v>
      </c>
      <c r="ER166" s="231">
        <v>17545</v>
      </c>
      <c r="ES166" s="231">
        <v>12695</v>
      </c>
      <c r="ET166" s="231">
        <v>112386</v>
      </c>
      <c r="EU166" s="231">
        <v>28118603</v>
      </c>
      <c r="EV166" s="231">
        <v>142626</v>
      </c>
      <c r="EW166" s="231">
        <v>140847</v>
      </c>
      <c r="EX166" s="231">
        <v>1779</v>
      </c>
      <c r="EY166" s="229">
        <v>1.26E-2</v>
      </c>
      <c r="EZ166" s="229">
        <v>0.48559999999999998</v>
      </c>
      <c r="FA166" s="227" t="s">
        <v>567</v>
      </c>
      <c r="FB166" s="161">
        <f t="shared" si="4"/>
        <v>0</v>
      </c>
    </row>
    <row r="167" spans="1:158" ht="17.25" thickBot="1" x14ac:dyDescent="0.3">
      <c r="A167" s="226">
        <v>46146</v>
      </c>
      <c r="B167" s="227" t="s">
        <v>614</v>
      </c>
      <c r="C167" s="227" t="s">
        <v>572</v>
      </c>
      <c r="D167" s="228">
        <v>350</v>
      </c>
      <c r="E167" s="231">
        <v>1676.8</v>
      </c>
      <c r="F167" s="231">
        <v>1671</v>
      </c>
      <c r="G167" s="228">
        <v>5.8</v>
      </c>
      <c r="H167" s="229">
        <v>3.5000000000000001E-3</v>
      </c>
      <c r="I167" s="231">
        <v>1670.8</v>
      </c>
      <c r="J167" s="231">
        <v>1666.2</v>
      </c>
      <c r="K167" s="228">
        <v>4.5999999999999996</v>
      </c>
      <c r="L167" s="229">
        <v>2.8E-3</v>
      </c>
      <c r="M167" s="231">
        <v>1676.8</v>
      </c>
      <c r="N167" s="231">
        <v>1671</v>
      </c>
      <c r="O167" s="228">
        <v>5.8</v>
      </c>
      <c r="P167" s="229">
        <v>3.5000000000000001E-3</v>
      </c>
      <c r="Q167" s="231">
        <v>1687.2</v>
      </c>
      <c r="R167" s="231">
        <v>1680</v>
      </c>
      <c r="S167" s="228">
        <v>7.2</v>
      </c>
      <c r="T167" s="229">
        <v>4.3E-3</v>
      </c>
      <c r="U167" s="231">
        <v>1685</v>
      </c>
      <c r="V167" s="231">
        <v>1687.4</v>
      </c>
      <c r="W167" s="228">
        <v>-2.4</v>
      </c>
      <c r="X167" s="229">
        <v>-1.4E-3</v>
      </c>
      <c r="Y167" s="228">
        <v>6</v>
      </c>
      <c r="Z167" s="228">
        <v>4.8</v>
      </c>
      <c r="AA167" s="228">
        <v>1.2</v>
      </c>
      <c r="AB167" s="229">
        <v>3.5999999999999999E-3</v>
      </c>
      <c r="AC167" s="228">
        <v>6</v>
      </c>
      <c r="AD167" s="228">
        <v>4.8</v>
      </c>
      <c r="AE167" s="228">
        <v>1.2</v>
      </c>
      <c r="AF167" s="229">
        <v>3.5999999999999999E-3</v>
      </c>
      <c r="AG167" s="228">
        <v>16.399999999999999</v>
      </c>
      <c r="AH167" s="228">
        <v>13.8</v>
      </c>
      <c r="AI167" s="228">
        <v>2.6</v>
      </c>
      <c r="AJ167" s="229">
        <v>9.7999999999999997E-3</v>
      </c>
      <c r="AK167" s="228">
        <v>14.2</v>
      </c>
      <c r="AL167" s="228">
        <v>21.2</v>
      </c>
      <c r="AM167" s="228">
        <v>-7</v>
      </c>
      <c r="AN167" s="229">
        <v>8.5000000000000006E-3</v>
      </c>
      <c r="AO167" s="231">
        <v>1668.1</v>
      </c>
      <c r="AP167" s="231">
        <v>1677.81</v>
      </c>
      <c r="AQ167" s="228">
        <v>0</v>
      </c>
      <c r="AR167" s="230">
        <v>620550</v>
      </c>
      <c r="AS167" s="230">
        <v>643650</v>
      </c>
      <c r="AT167" s="230">
        <v>-23100</v>
      </c>
      <c r="AU167" s="229">
        <v>-3.5900000000000001E-2</v>
      </c>
      <c r="AV167" s="230">
        <v>609700</v>
      </c>
      <c r="AW167" s="230">
        <v>621600</v>
      </c>
      <c r="AX167" s="230">
        <v>-11900</v>
      </c>
      <c r="AY167" s="229">
        <v>-1.9099999999999999E-2</v>
      </c>
      <c r="AZ167" s="230">
        <v>10500</v>
      </c>
      <c r="BA167" s="230">
        <v>21000</v>
      </c>
      <c r="BB167" s="230">
        <v>-10500</v>
      </c>
      <c r="BC167" s="229">
        <v>-0.5</v>
      </c>
      <c r="BD167" s="228">
        <v>350</v>
      </c>
      <c r="BE167" s="230">
        <v>1050</v>
      </c>
      <c r="BF167" s="228">
        <v>-700</v>
      </c>
      <c r="BG167" s="229">
        <v>-0.66669999999999996</v>
      </c>
      <c r="BH167" s="230">
        <v>1002750</v>
      </c>
      <c r="BI167" s="230">
        <v>733250</v>
      </c>
      <c r="BJ167" s="230">
        <v>269500</v>
      </c>
      <c r="BK167" s="229">
        <v>0.36749999999999999</v>
      </c>
      <c r="BL167" s="230">
        <v>411250</v>
      </c>
      <c r="BM167" s="230">
        <v>519400</v>
      </c>
      <c r="BN167" s="230">
        <v>-108150</v>
      </c>
      <c r="BO167" s="229">
        <v>-0.2082</v>
      </c>
      <c r="BP167" s="230">
        <v>2034550</v>
      </c>
      <c r="BQ167" s="230">
        <v>1896300</v>
      </c>
      <c r="BR167" s="230">
        <v>138250</v>
      </c>
      <c r="BS167" s="229">
        <v>7.2900000000000006E-2</v>
      </c>
      <c r="BT167" s="230">
        <v>711522</v>
      </c>
      <c r="BU167" s="230">
        <v>750568</v>
      </c>
      <c r="BV167" s="230">
        <v>-39046</v>
      </c>
      <c r="BW167" s="229">
        <v>-5.1999999999999998E-2</v>
      </c>
      <c r="BX167" s="230">
        <v>8170750</v>
      </c>
      <c r="BY167" s="230">
        <v>8211000</v>
      </c>
      <c r="BZ167" s="230">
        <v>-40250</v>
      </c>
      <c r="CA167" s="229">
        <v>-4.8999999999999998E-3</v>
      </c>
      <c r="CB167" s="230">
        <v>8000650</v>
      </c>
      <c r="CC167" s="230">
        <v>8044750</v>
      </c>
      <c r="CD167" s="230">
        <v>-44100</v>
      </c>
      <c r="CE167" s="229">
        <v>-5.4999999999999997E-3</v>
      </c>
      <c r="CF167" s="230">
        <v>168700</v>
      </c>
      <c r="CG167" s="230">
        <v>165200</v>
      </c>
      <c r="CH167" s="230">
        <v>3500</v>
      </c>
      <c r="CI167" s="229">
        <v>2.12E-2</v>
      </c>
      <c r="CJ167" s="230">
        <v>1400</v>
      </c>
      <c r="CK167" s="230">
        <v>1050</v>
      </c>
      <c r="CL167" s="228">
        <v>350</v>
      </c>
      <c r="CM167" s="229">
        <v>0.33329999999999999</v>
      </c>
      <c r="CN167" s="230">
        <v>968800</v>
      </c>
      <c r="CO167" s="230">
        <v>783300</v>
      </c>
      <c r="CP167" s="230">
        <v>185500</v>
      </c>
      <c r="CQ167" s="229">
        <v>0.23680000000000001</v>
      </c>
      <c r="CR167" s="230">
        <v>632800</v>
      </c>
      <c r="CS167" s="230">
        <v>574000</v>
      </c>
      <c r="CT167" s="230">
        <v>58800</v>
      </c>
      <c r="CU167" s="229">
        <v>0.1024</v>
      </c>
      <c r="CV167" s="230">
        <v>9772350</v>
      </c>
      <c r="CW167" s="230">
        <v>9568300</v>
      </c>
      <c r="CX167" s="230">
        <v>204050</v>
      </c>
      <c r="CY167" s="229">
        <v>2.1299999999999999E-2</v>
      </c>
      <c r="CZ167" s="228">
        <v>43.54</v>
      </c>
      <c r="DA167" s="228">
        <v>42.17</v>
      </c>
      <c r="DB167" s="228">
        <v>1.37</v>
      </c>
      <c r="DC167" s="228">
        <v>1.37</v>
      </c>
      <c r="DD167" s="228">
        <v>45.12</v>
      </c>
      <c r="DE167" s="228">
        <v>45.23</v>
      </c>
      <c r="DF167" s="228">
        <v>-1.58</v>
      </c>
      <c r="DG167" s="228">
        <v>-0.11</v>
      </c>
      <c r="DH167" s="228">
        <v>42.98</v>
      </c>
      <c r="DI167" s="228">
        <v>42.02</v>
      </c>
      <c r="DJ167" s="228">
        <v>0.96</v>
      </c>
      <c r="DK167" s="228">
        <v>0.96</v>
      </c>
      <c r="DL167" s="228">
        <v>44.9</v>
      </c>
      <c r="DM167" s="228">
        <v>42.39</v>
      </c>
      <c r="DN167" s="228">
        <v>2.5099999999999998</v>
      </c>
      <c r="DO167" s="228">
        <v>2.5099999999999998</v>
      </c>
      <c r="DP167" s="228">
        <v>0.65</v>
      </c>
      <c r="DQ167" s="228">
        <v>0.73</v>
      </c>
      <c r="DR167" s="228">
        <v>-0.08</v>
      </c>
      <c r="DS167" s="229">
        <v>-0.1096</v>
      </c>
      <c r="DT167" s="231">
        <v>1700</v>
      </c>
      <c r="DU167" s="231">
        <v>1660</v>
      </c>
      <c r="DV167" s="228">
        <v>0.41</v>
      </c>
      <c r="DW167" s="228">
        <v>0.71</v>
      </c>
      <c r="DX167" s="228">
        <v>-0.3</v>
      </c>
      <c r="DY167" s="229">
        <v>-0.42249999999999999</v>
      </c>
      <c r="DZ167" s="229">
        <v>2.0799999999999999E-2</v>
      </c>
      <c r="EA167" s="230">
        <v>166250</v>
      </c>
      <c r="EB167" s="229">
        <v>6.1999999999999998E-3</v>
      </c>
      <c r="EC167" s="229">
        <v>2.0799999999999999E-2</v>
      </c>
      <c r="ED167" s="228">
        <v>9.7100000000000009</v>
      </c>
      <c r="EE167" s="229">
        <v>5.7999999999999996E-3</v>
      </c>
      <c r="EF167" s="230">
        <v>321081</v>
      </c>
      <c r="EG167" s="230">
        <v>334317</v>
      </c>
      <c r="EH167" s="229">
        <v>-3.9600000000000003E-2</v>
      </c>
      <c r="EI167" s="229">
        <v>0.45129999999999998</v>
      </c>
      <c r="EJ167" s="231">
        <v>17828.72</v>
      </c>
      <c r="EK167" s="231">
        <v>7038.25</v>
      </c>
      <c r="EL167" s="231">
        <v>10352.49</v>
      </c>
      <c r="EM167" s="231">
        <v>6436</v>
      </c>
      <c r="EN167" s="231">
        <v>35219.46</v>
      </c>
      <c r="EO167" s="231">
        <v>32678.17</v>
      </c>
      <c r="EP167" s="231">
        <v>2541.29</v>
      </c>
      <c r="EQ167" s="229">
        <v>7.7799999999999994E-2</v>
      </c>
      <c r="ER167" s="231">
        <v>16733</v>
      </c>
      <c r="ES167" s="231">
        <v>10332</v>
      </c>
      <c r="ET167" s="231">
        <v>137025</v>
      </c>
      <c r="EU167" s="231">
        <v>69300607</v>
      </c>
      <c r="EV167" s="231">
        <v>164090</v>
      </c>
      <c r="EW167" s="231">
        <v>160081</v>
      </c>
      <c r="EX167" s="231">
        <v>4009</v>
      </c>
      <c r="EY167" s="229">
        <v>2.5000000000000001E-2</v>
      </c>
      <c r="EZ167" s="229">
        <v>0.14099999999999999</v>
      </c>
      <c r="FA167" s="227" t="s">
        <v>691</v>
      </c>
      <c r="FB167" s="161">
        <f t="shared" si="4"/>
        <v>0</v>
      </c>
    </row>
    <row r="168" spans="1:158" ht="17.25" thickBot="1" x14ac:dyDescent="0.3">
      <c r="A168" s="226">
        <v>46146</v>
      </c>
      <c r="B168" s="227" t="s">
        <v>184</v>
      </c>
      <c r="C168" s="227" t="s">
        <v>519</v>
      </c>
      <c r="D168" s="228">
        <v>125</v>
      </c>
      <c r="E168" s="231">
        <v>8391.5</v>
      </c>
      <c r="F168" s="231">
        <v>8159.5</v>
      </c>
      <c r="G168" s="228">
        <v>232</v>
      </c>
      <c r="H168" s="229">
        <v>2.8400000000000002E-2</v>
      </c>
      <c r="I168" s="231">
        <v>8344.5</v>
      </c>
      <c r="J168" s="231">
        <v>8110.5</v>
      </c>
      <c r="K168" s="228">
        <v>234</v>
      </c>
      <c r="L168" s="229">
        <v>2.8899999999999999E-2</v>
      </c>
      <c r="M168" s="231">
        <v>8391.5</v>
      </c>
      <c r="N168" s="231">
        <v>8159.5</v>
      </c>
      <c r="O168" s="228">
        <v>232</v>
      </c>
      <c r="P168" s="229">
        <v>2.8400000000000002E-2</v>
      </c>
      <c r="Q168" s="231">
        <v>8393.5</v>
      </c>
      <c r="R168" s="231">
        <v>8145</v>
      </c>
      <c r="S168" s="228">
        <v>248.5</v>
      </c>
      <c r="T168" s="229">
        <v>3.0499999999999999E-2</v>
      </c>
      <c r="U168" s="231">
        <v>8390.5</v>
      </c>
      <c r="V168" s="231">
        <v>8176</v>
      </c>
      <c r="W168" s="228">
        <v>214.5</v>
      </c>
      <c r="X168" s="229">
        <v>2.6200000000000001E-2</v>
      </c>
      <c r="Y168" s="228">
        <v>47</v>
      </c>
      <c r="Z168" s="228">
        <v>49</v>
      </c>
      <c r="AA168" s="228">
        <v>-2</v>
      </c>
      <c r="AB168" s="229">
        <v>5.5999999999999999E-3</v>
      </c>
      <c r="AC168" s="228">
        <v>47</v>
      </c>
      <c r="AD168" s="228">
        <v>49</v>
      </c>
      <c r="AE168" s="228">
        <v>-2</v>
      </c>
      <c r="AF168" s="229">
        <v>5.5999999999999999E-3</v>
      </c>
      <c r="AG168" s="228">
        <v>49</v>
      </c>
      <c r="AH168" s="228">
        <v>34.5</v>
      </c>
      <c r="AI168" s="228">
        <v>14.5</v>
      </c>
      <c r="AJ168" s="229">
        <v>5.8999999999999999E-3</v>
      </c>
      <c r="AK168" s="228">
        <v>46</v>
      </c>
      <c r="AL168" s="228">
        <v>65.5</v>
      </c>
      <c r="AM168" s="228">
        <v>-19.5</v>
      </c>
      <c r="AN168" s="229">
        <v>5.4999999999999997E-3</v>
      </c>
      <c r="AO168" s="231">
        <v>8295.9</v>
      </c>
      <c r="AP168" s="231">
        <v>8314.5400000000009</v>
      </c>
      <c r="AQ168" s="228">
        <v>0</v>
      </c>
      <c r="AR168" s="230">
        <v>615375</v>
      </c>
      <c r="AS168" s="230">
        <v>553625</v>
      </c>
      <c r="AT168" s="230">
        <v>61750</v>
      </c>
      <c r="AU168" s="229">
        <v>0.1115</v>
      </c>
      <c r="AV168" s="230">
        <v>595250</v>
      </c>
      <c r="AW168" s="230">
        <v>532375</v>
      </c>
      <c r="AX168" s="230">
        <v>62875</v>
      </c>
      <c r="AY168" s="229">
        <v>0.1181</v>
      </c>
      <c r="AZ168" s="230">
        <v>18875</v>
      </c>
      <c r="BA168" s="230">
        <v>18875</v>
      </c>
      <c r="BB168" s="228">
        <v>0</v>
      </c>
      <c r="BC168" s="229">
        <v>0</v>
      </c>
      <c r="BD168" s="230">
        <v>1250</v>
      </c>
      <c r="BE168" s="230">
        <v>2375</v>
      </c>
      <c r="BF168" s="230">
        <v>-1125</v>
      </c>
      <c r="BG168" s="229">
        <v>-0.47370000000000001</v>
      </c>
      <c r="BH168" s="230">
        <v>1541000</v>
      </c>
      <c r="BI168" s="230">
        <v>592375</v>
      </c>
      <c r="BJ168" s="230">
        <v>948625</v>
      </c>
      <c r="BK168" s="229">
        <v>1.6013999999999999</v>
      </c>
      <c r="BL168" s="230">
        <v>1871125</v>
      </c>
      <c r="BM168" s="230">
        <v>474750</v>
      </c>
      <c r="BN168" s="230">
        <v>1396375</v>
      </c>
      <c r="BO168" s="229">
        <v>2.9413</v>
      </c>
      <c r="BP168" s="230">
        <v>4027500</v>
      </c>
      <c r="BQ168" s="230">
        <v>1620750</v>
      </c>
      <c r="BR168" s="230">
        <v>2406750</v>
      </c>
      <c r="BS168" s="229">
        <v>1.4850000000000001</v>
      </c>
      <c r="BT168" s="230">
        <v>461642</v>
      </c>
      <c r="BU168" s="230">
        <v>423460</v>
      </c>
      <c r="BV168" s="230">
        <v>38182</v>
      </c>
      <c r="BW168" s="229">
        <v>9.0200000000000002E-2</v>
      </c>
      <c r="BX168" s="230">
        <v>1923250</v>
      </c>
      <c r="BY168" s="230">
        <v>1846375</v>
      </c>
      <c r="BZ168" s="230">
        <v>76875</v>
      </c>
      <c r="CA168" s="229">
        <v>4.1599999999999998E-2</v>
      </c>
      <c r="CB168" s="230">
        <v>1894125</v>
      </c>
      <c r="CC168" s="230">
        <v>1819500</v>
      </c>
      <c r="CD168" s="230">
        <v>74625</v>
      </c>
      <c r="CE168" s="229">
        <v>4.1000000000000002E-2</v>
      </c>
      <c r="CF168" s="230">
        <v>27250</v>
      </c>
      <c r="CG168" s="230">
        <v>24750</v>
      </c>
      <c r="CH168" s="230">
        <v>2500</v>
      </c>
      <c r="CI168" s="229">
        <v>0.10100000000000001</v>
      </c>
      <c r="CJ168" s="230">
        <v>1875</v>
      </c>
      <c r="CK168" s="230">
        <v>2125</v>
      </c>
      <c r="CL168" s="228">
        <v>-250</v>
      </c>
      <c r="CM168" s="229">
        <v>-0.1176</v>
      </c>
      <c r="CN168" s="230">
        <v>834500</v>
      </c>
      <c r="CO168" s="230">
        <v>664375</v>
      </c>
      <c r="CP168" s="230">
        <v>170125</v>
      </c>
      <c r="CQ168" s="229">
        <v>0.25609999999999999</v>
      </c>
      <c r="CR168" s="230">
        <v>1164875</v>
      </c>
      <c r="CS168" s="230">
        <v>960375</v>
      </c>
      <c r="CT168" s="230">
        <v>204500</v>
      </c>
      <c r="CU168" s="229">
        <v>0.21290000000000001</v>
      </c>
      <c r="CV168" s="230">
        <v>3922625</v>
      </c>
      <c r="CW168" s="230">
        <v>3471125</v>
      </c>
      <c r="CX168" s="230">
        <v>451500</v>
      </c>
      <c r="CY168" s="229">
        <v>0.13009999999999999</v>
      </c>
      <c r="CZ168" s="228">
        <v>42.74</v>
      </c>
      <c r="DA168" s="228">
        <v>38.200000000000003</v>
      </c>
      <c r="DB168" s="228">
        <v>4.54</v>
      </c>
      <c r="DC168" s="228">
        <v>4.54</v>
      </c>
      <c r="DD168" s="228">
        <v>41.28</v>
      </c>
      <c r="DE168" s="228">
        <v>41.2</v>
      </c>
      <c r="DF168" s="228">
        <v>1.46</v>
      </c>
      <c r="DG168" s="228">
        <v>0.08</v>
      </c>
      <c r="DH168" s="228">
        <v>37.770000000000003</v>
      </c>
      <c r="DI168" s="228">
        <v>36.21</v>
      </c>
      <c r="DJ168" s="228">
        <v>1.56</v>
      </c>
      <c r="DK168" s="228">
        <v>1.56</v>
      </c>
      <c r="DL168" s="228">
        <v>46.82</v>
      </c>
      <c r="DM168" s="228">
        <v>40.68</v>
      </c>
      <c r="DN168" s="228">
        <v>6.14</v>
      </c>
      <c r="DO168" s="228">
        <v>6.14</v>
      </c>
      <c r="DP168" s="228">
        <v>1.4</v>
      </c>
      <c r="DQ168" s="228">
        <v>1.45</v>
      </c>
      <c r="DR168" s="228">
        <v>-0.05</v>
      </c>
      <c r="DS168" s="229">
        <v>-3.4500000000000003E-2</v>
      </c>
      <c r="DT168" s="231">
        <v>9000</v>
      </c>
      <c r="DU168" s="231">
        <v>7500</v>
      </c>
      <c r="DV168" s="228">
        <v>1.21</v>
      </c>
      <c r="DW168" s="228">
        <v>0.8</v>
      </c>
      <c r="DX168" s="228">
        <v>0.41</v>
      </c>
      <c r="DY168" s="229">
        <v>0.51249999999999996</v>
      </c>
      <c r="DZ168" s="229">
        <v>1.5100000000000001E-2</v>
      </c>
      <c r="EA168" s="230">
        <v>26875</v>
      </c>
      <c r="EB168" s="229">
        <v>2.0000000000000001E-4</v>
      </c>
      <c r="EC168" s="229">
        <v>1.5100000000000001E-2</v>
      </c>
      <c r="ED168" s="228">
        <v>18.64</v>
      </c>
      <c r="EE168" s="229">
        <v>2.2000000000000001E-3</v>
      </c>
      <c r="EF168" s="230">
        <v>232007</v>
      </c>
      <c r="EG168" s="230">
        <v>255536</v>
      </c>
      <c r="EH168" s="229">
        <v>-9.2100000000000001E-2</v>
      </c>
      <c r="EI168" s="229">
        <v>0.50260000000000005</v>
      </c>
      <c r="EJ168" s="231">
        <v>135993.47</v>
      </c>
      <c r="EK168" s="231">
        <v>140896.19</v>
      </c>
      <c r="EL168" s="231">
        <v>51054.98</v>
      </c>
      <c r="EM168" s="231">
        <v>7149</v>
      </c>
      <c r="EN168" s="231">
        <v>327944.64</v>
      </c>
      <c r="EO168" s="231">
        <v>134033.85999999999</v>
      </c>
      <c r="EP168" s="231">
        <v>193910.78</v>
      </c>
      <c r="EQ168" s="229">
        <v>1.4467000000000001</v>
      </c>
      <c r="ER168" s="231">
        <v>70884</v>
      </c>
      <c r="ES168" s="231">
        <v>87630</v>
      </c>
      <c r="ET168" s="231">
        <v>161390</v>
      </c>
      <c r="EU168" s="231">
        <v>8693344</v>
      </c>
      <c r="EV168" s="231">
        <v>319904</v>
      </c>
      <c r="EW168" s="231">
        <v>277488</v>
      </c>
      <c r="EX168" s="231">
        <v>42416</v>
      </c>
      <c r="EY168" s="229">
        <v>0.15290000000000001</v>
      </c>
      <c r="EZ168" s="229">
        <v>0.45119999999999999</v>
      </c>
      <c r="FA168" s="227" t="s">
        <v>555</v>
      </c>
      <c r="FB168" s="161">
        <f t="shared" si="4"/>
        <v>0</v>
      </c>
    </row>
    <row r="169" spans="1:158" ht="17.25" thickBot="1" x14ac:dyDescent="0.3">
      <c r="A169" s="226">
        <v>46146</v>
      </c>
      <c r="B169" s="227" t="s">
        <v>161</v>
      </c>
      <c r="C169" s="227" t="s">
        <v>276</v>
      </c>
      <c r="D169" s="228">
        <v>1900</v>
      </c>
      <c r="E169" s="228">
        <v>320.10000000000002</v>
      </c>
      <c r="F169" s="228">
        <v>319.14999999999998</v>
      </c>
      <c r="G169" s="228">
        <v>0.95</v>
      </c>
      <c r="H169" s="229">
        <v>3.0000000000000001E-3</v>
      </c>
      <c r="I169" s="228">
        <v>319.05</v>
      </c>
      <c r="J169" s="228">
        <v>318.35000000000002</v>
      </c>
      <c r="K169" s="228">
        <v>0.7</v>
      </c>
      <c r="L169" s="229">
        <v>2.2000000000000001E-3</v>
      </c>
      <c r="M169" s="228">
        <v>320.10000000000002</v>
      </c>
      <c r="N169" s="228">
        <v>319.14999999999998</v>
      </c>
      <c r="O169" s="228">
        <v>0.95</v>
      </c>
      <c r="P169" s="229">
        <v>3.0000000000000001E-3</v>
      </c>
      <c r="Q169" s="228">
        <v>322.39999999999998</v>
      </c>
      <c r="R169" s="228">
        <v>321.3</v>
      </c>
      <c r="S169" s="228">
        <v>1.1000000000000001</v>
      </c>
      <c r="T169" s="229">
        <v>3.3999999999999998E-3</v>
      </c>
      <c r="U169" s="228">
        <v>323.2</v>
      </c>
      <c r="V169" s="228">
        <v>323.2</v>
      </c>
      <c r="W169" s="228">
        <v>0</v>
      </c>
      <c r="X169" s="229">
        <v>0</v>
      </c>
      <c r="Y169" s="228">
        <v>1.05</v>
      </c>
      <c r="Z169" s="228">
        <v>0.8</v>
      </c>
      <c r="AA169" s="228">
        <v>0.25</v>
      </c>
      <c r="AB169" s="229">
        <v>3.3E-3</v>
      </c>
      <c r="AC169" s="228">
        <v>1.05</v>
      </c>
      <c r="AD169" s="228">
        <v>0.8</v>
      </c>
      <c r="AE169" s="228">
        <v>0.25</v>
      </c>
      <c r="AF169" s="229">
        <v>3.3E-3</v>
      </c>
      <c r="AG169" s="228">
        <v>3.35</v>
      </c>
      <c r="AH169" s="228">
        <v>2.95</v>
      </c>
      <c r="AI169" s="228">
        <v>0.4</v>
      </c>
      <c r="AJ169" s="229">
        <v>1.0500000000000001E-2</v>
      </c>
      <c r="AK169" s="228">
        <v>4.1500000000000004</v>
      </c>
      <c r="AL169" s="228">
        <v>4.8499999999999996</v>
      </c>
      <c r="AM169" s="228">
        <v>-0.7</v>
      </c>
      <c r="AN169" s="229">
        <v>1.2999999999999999E-2</v>
      </c>
      <c r="AO169" s="228">
        <v>321.08</v>
      </c>
      <c r="AP169" s="228">
        <v>322.89999999999998</v>
      </c>
      <c r="AQ169" s="228">
        <v>0</v>
      </c>
      <c r="AR169" s="230">
        <v>7100300</v>
      </c>
      <c r="AS169" s="230">
        <v>8703900</v>
      </c>
      <c r="AT169" s="230">
        <v>-1603600</v>
      </c>
      <c r="AU169" s="229">
        <v>-0.1842</v>
      </c>
      <c r="AV169" s="230">
        <v>6589200</v>
      </c>
      <c r="AW169" s="230">
        <v>8350500</v>
      </c>
      <c r="AX169" s="230">
        <v>-1761300</v>
      </c>
      <c r="AY169" s="229">
        <v>-0.2109</v>
      </c>
      <c r="AZ169" s="230">
        <v>480700</v>
      </c>
      <c r="BA169" s="230">
        <v>300200</v>
      </c>
      <c r="BB169" s="230">
        <v>180500</v>
      </c>
      <c r="BC169" s="229">
        <v>0.60129999999999995</v>
      </c>
      <c r="BD169" s="230">
        <v>30400</v>
      </c>
      <c r="BE169" s="230">
        <v>53200</v>
      </c>
      <c r="BF169" s="230">
        <v>-22800</v>
      </c>
      <c r="BG169" s="229">
        <v>-0.42859999999999998</v>
      </c>
      <c r="BH169" s="230">
        <v>21732200</v>
      </c>
      <c r="BI169" s="230">
        <v>20573200</v>
      </c>
      <c r="BJ169" s="230">
        <v>1159000</v>
      </c>
      <c r="BK169" s="229">
        <v>5.6300000000000003E-2</v>
      </c>
      <c r="BL169" s="230">
        <v>10385400</v>
      </c>
      <c r="BM169" s="230">
        <v>10089000</v>
      </c>
      <c r="BN169" s="230">
        <v>296400</v>
      </c>
      <c r="BO169" s="229">
        <v>2.9399999999999999E-2</v>
      </c>
      <c r="BP169" s="230">
        <v>39217900</v>
      </c>
      <c r="BQ169" s="230">
        <v>39366100</v>
      </c>
      <c r="BR169" s="230">
        <v>-148200</v>
      </c>
      <c r="BS169" s="229">
        <v>-3.8E-3</v>
      </c>
      <c r="BT169" s="230">
        <v>7657796</v>
      </c>
      <c r="BU169" s="230">
        <v>10028580</v>
      </c>
      <c r="BV169" s="230">
        <v>-2370784</v>
      </c>
      <c r="BW169" s="229">
        <v>-0.2364</v>
      </c>
      <c r="BX169" s="230">
        <v>80687300</v>
      </c>
      <c r="BY169" s="230">
        <v>79991900</v>
      </c>
      <c r="BZ169" s="230">
        <v>695400</v>
      </c>
      <c r="CA169" s="229">
        <v>8.6999999999999994E-3</v>
      </c>
      <c r="CB169" s="230">
        <v>68603300</v>
      </c>
      <c r="CC169" s="230">
        <v>68208100</v>
      </c>
      <c r="CD169" s="230">
        <v>395200</v>
      </c>
      <c r="CE169" s="229">
        <v>5.7999999999999996E-3</v>
      </c>
      <c r="CF169" s="230">
        <v>12015600</v>
      </c>
      <c r="CG169" s="230">
        <v>11723000</v>
      </c>
      <c r="CH169" s="230">
        <v>292600</v>
      </c>
      <c r="CI169" s="229">
        <v>2.5000000000000001E-2</v>
      </c>
      <c r="CJ169" s="230">
        <v>68400</v>
      </c>
      <c r="CK169" s="230">
        <v>60800</v>
      </c>
      <c r="CL169" s="230">
        <v>7600</v>
      </c>
      <c r="CM169" s="229">
        <v>0.125</v>
      </c>
      <c r="CN169" s="230">
        <v>19001900</v>
      </c>
      <c r="CO169" s="230">
        <v>16245000</v>
      </c>
      <c r="CP169" s="230">
        <v>2756900</v>
      </c>
      <c r="CQ169" s="229">
        <v>0.16969999999999999</v>
      </c>
      <c r="CR169" s="230">
        <v>12348100</v>
      </c>
      <c r="CS169" s="230">
        <v>11344900</v>
      </c>
      <c r="CT169" s="230">
        <v>1003200</v>
      </c>
      <c r="CU169" s="229">
        <v>8.8400000000000006E-2</v>
      </c>
      <c r="CV169" s="230">
        <v>112037300</v>
      </c>
      <c r="CW169" s="230">
        <v>107581800</v>
      </c>
      <c r="CX169" s="230">
        <v>4455500</v>
      </c>
      <c r="CY169" s="229">
        <v>4.1399999999999999E-2</v>
      </c>
      <c r="CZ169" s="228">
        <v>26.14</v>
      </c>
      <c r="DA169" s="228">
        <v>26.7</v>
      </c>
      <c r="DB169" s="228">
        <v>-0.56000000000000005</v>
      </c>
      <c r="DC169" s="228">
        <v>-0.56000000000000005</v>
      </c>
      <c r="DD169" s="228">
        <v>28.44</v>
      </c>
      <c r="DE169" s="228">
        <v>28.51</v>
      </c>
      <c r="DF169" s="228">
        <v>-2.2999999999999998</v>
      </c>
      <c r="DG169" s="228">
        <v>-7.0000000000000007E-2</v>
      </c>
      <c r="DH169" s="228">
        <v>26.07</v>
      </c>
      <c r="DI169" s="228">
        <v>26.89</v>
      </c>
      <c r="DJ169" s="228">
        <v>-0.82</v>
      </c>
      <c r="DK169" s="228">
        <v>-0.82</v>
      </c>
      <c r="DL169" s="228">
        <v>26.29</v>
      </c>
      <c r="DM169" s="228">
        <v>26.32</v>
      </c>
      <c r="DN169" s="228">
        <v>-0.03</v>
      </c>
      <c r="DO169" s="228">
        <v>-0.03</v>
      </c>
      <c r="DP169" s="228">
        <v>0.65</v>
      </c>
      <c r="DQ169" s="228">
        <v>0.7</v>
      </c>
      <c r="DR169" s="228">
        <v>-0.05</v>
      </c>
      <c r="DS169" s="229">
        <v>-7.1400000000000005E-2</v>
      </c>
      <c r="DT169" s="228">
        <v>320</v>
      </c>
      <c r="DU169" s="228">
        <v>320</v>
      </c>
      <c r="DV169" s="228">
        <v>0.48</v>
      </c>
      <c r="DW169" s="228">
        <v>0.49</v>
      </c>
      <c r="DX169" s="228">
        <v>-0.01</v>
      </c>
      <c r="DY169" s="229">
        <v>-2.0400000000000001E-2</v>
      </c>
      <c r="DZ169" s="229">
        <v>0.14979999999999999</v>
      </c>
      <c r="EA169" s="230">
        <v>11783800</v>
      </c>
      <c r="EB169" s="229">
        <v>7.1999999999999998E-3</v>
      </c>
      <c r="EC169" s="229">
        <v>0.14979999999999999</v>
      </c>
      <c r="ED169" s="228">
        <v>1.82</v>
      </c>
      <c r="EE169" s="229">
        <v>5.7000000000000002E-3</v>
      </c>
      <c r="EF169" s="230">
        <v>4185458</v>
      </c>
      <c r="EG169" s="230">
        <v>5898180</v>
      </c>
      <c r="EH169" s="229">
        <v>-0.29039999999999999</v>
      </c>
      <c r="EI169" s="229">
        <v>0.54659999999999997</v>
      </c>
      <c r="EJ169" s="231">
        <v>72803.460000000006</v>
      </c>
      <c r="EK169" s="231">
        <v>32989.71</v>
      </c>
      <c r="EL169" s="231">
        <v>22807.34</v>
      </c>
      <c r="EM169" s="231">
        <v>12429</v>
      </c>
      <c r="EN169" s="231">
        <v>128600.51</v>
      </c>
      <c r="EO169" s="231">
        <v>128963.88</v>
      </c>
      <c r="EP169" s="228">
        <v>-363.37</v>
      </c>
      <c r="EQ169" s="229">
        <v>-2.8E-3</v>
      </c>
      <c r="ER169" s="231">
        <v>62674</v>
      </c>
      <c r="ES169" s="231">
        <v>38187</v>
      </c>
      <c r="ET169" s="231">
        <v>258559</v>
      </c>
      <c r="EU169" s="231">
        <v>660840864</v>
      </c>
      <c r="EV169" s="231">
        <v>359419</v>
      </c>
      <c r="EW169" s="231">
        <v>344010</v>
      </c>
      <c r="EX169" s="231">
        <v>15409</v>
      </c>
      <c r="EY169" s="229">
        <v>4.48E-2</v>
      </c>
      <c r="EZ169" s="229">
        <v>0.16950000000000001</v>
      </c>
      <c r="FA169" s="227" t="s">
        <v>555</v>
      </c>
      <c r="FB169" s="161">
        <f t="shared" si="4"/>
        <v>0</v>
      </c>
    </row>
    <row r="170" spans="1:158" ht="17.25" thickBot="1" x14ac:dyDescent="0.3">
      <c r="A170" s="226">
        <v>46146</v>
      </c>
      <c r="B170" s="227" t="s">
        <v>184</v>
      </c>
      <c r="C170" s="227" t="s">
        <v>683</v>
      </c>
      <c r="D170" s="228">
        <v>25</v>
      </c>
      <c r="E170" s="231">
        <v>33890</v>
      </c>
      <c r="F170" s="231">
        <v>33725</v>
      </c>
      <c r="G170" s="228">
        <v>165</v>
      </c>
      <c r="H170" s="229">
        <v>4.8999999999999998E-3</v>
      </c>
      <c r="I170" s="231">
        <v>33730</v>
      </c>
      <c r="J170" s="231">
        <v>33550</v>
      </c>
      <c r="K170" s="228">
        <v>180</v>
      </c>
      <c r="L170" s="229">
        <v>5.4000000000000003E-3</v>
      </c>
      <c r="M170" s="231">
        <v>33890</v>
      </c>
      <c r="N170" s="231">
        <v>33725</v>
      </c>
      <c r="O170" s="228">
        <v>165</v>
      </c>
      <c r="P170" s="229">
        <v>4.8999999999999998E-3</v>
      </c>
      <c r="Q170" s="231">
        <v>33995</v>
      </c>
      <c r="R170" s="231">
        <v>33780</v>
      </c>
      <c r="S170" s="228">
        <v>215</v>
      </c>
      <c r="T170" s="229">
        <v>6.4000000000000003E-3</v>
      </c>
      <c r="U170" s="231">
        <v>34050</v>
      </c>
      <c r="V170" s="231">
        <v>33805</v>
      </c>
      <c r="W170" s="228">
        <v>245</v>
      </c>
      <c r="X170" s="229">
        <v>7.1999999999999998E-3</v>
      </c>
      <c r="Y170" s="228">
        <v>160</v>
      </c>
      <c r="Z170" s="228">
        <v>175</v>
      </c>
      <c r="AA170" s="228">
        <v>-15</v>
      </c>
      <c r="AB170" s="229">
        <v>4.7000000000000002E-3</v>
      </c>
      <c r="AC170" s="228">
        <v>160</v>
      </c>
      <c r="AD170" s="228">
        <v>175</v>
      </c>
      <c r="AE170" s="228">
        <v>-15</v>
      </c>
      <c r="AF170" s="229">
        <v>4.7000000000000002E-3</v>
      </c>
      <c r="AG170" s="228">
        <v>265</v>
      </c>
      <c r="AH170" s="228">
        <v>230</v>
      </c>
      <c r="AI170" s="228">
        <v>35</v>
      </c>
      <c r="AJ170" s="229">
        <v>7.9000000000000008E-3</v>
      </c>
      <c r="AK170" s="228">
        <v>320</v>
      </c>
      <c r="AL170" s="228">
        <v>255</v>
      </c>
      <c r="AM170" s="228">
        <v>65</v>
      </c>
      <c r="AN170" s="229">
        <v>9.4999999999999998E-3</v>
      </c>
      <c r="AO170" s="231">
        <v>33770.85</v>
      </c>
      <c r="AP170" s="231">
        <v>33823.050000000003</v>
      </c>
      <c r="AQ170" s="228">
        <v>0</v>
      </c>
      <c r="AR170" s="230">
        <v>98275</v>
      </c>
      <c r="AS170" s="230">
        <v>101750</v>
      </c>
      <c r="AT170" s="230">
        <v>-3475</v>
      </c>
      <c r="AU170" s="229">
        <v>-3.4200000000000001E-2</v>
      </c>
      <c r="AV170" s="230">
        <v>92175</v>
      </c>
      <c r="AW170" s="230">
        <v>97000</v>
      </c>
      <c r="AX170" s="230">
        <v>-4825</v>
      </c>
      <c r="AY170" s="229">
        <v>-4.9700000000000001E-2</v>
      </c>
      <c r="AZ170" s="230">
        <v>5250</v>
      </c>
      <c r="BA170" s="230">
        <v>3850</v>
      </c>
      <c r="BB170" s="230">
        <v>1400</v>
      </c>
      <c r="BC170" s="229">
        <v>0.36359999999999998</v>
      </c>
      <c r="BD170" s="228">
        <v>850</v>
      </c>
      <c r="BE170" s="228">
        <v>900</v>
      </c>
      <c r="BF170" s="228">
        <v>-50</v>
      </c>
      <c r="BG170" s="229">
        <v>-5.5599999999999997E-2</v>
      </c>
      <c r="BH170" s="230">
        <v>271875</v>
      </c>
      <c r="BI170" s="230">
        <v>252750</v>
      </c>
      <c r="BJ170" s="230">
        <v>19125</v>
      </c>
      <c r="BK170" s="229">
        <v>7.5700000000000003E-2</v>
      </c>
      <c r="BL170" s="230">
        <v>167750</v>
      </c>
      <c r="BM170" s="230">
        <v>211075</v>
      </c>
      <c r="BN170" s="230">
        <v>-43325</v>
      </c>
      <c r="BO170" s="229">
        <v>-0.20530000000000001</v>
      </c>
      <c r="BP170" s="230">
        <v>537900</v>
      </c>
      <c r="BQ170" s="230">
        <v>565575</v>
      </c>
      <c r="BR170" s="230">
        <v>-27675</v>
      </c>
      <c r="BS170" s="229">
        <v>-4.8899999999999999E-2</v>
      </c>
      <c r="BT170" s="230">
        <v>168778</v>
      </c>
      <c r="BU170" s="230">
        <v>138820</v>
      </c>
      <c r="BV170" s="230">
        <v>29958</v>
      </c>
      <c r="BW170" s="229">
        <v>0.21579999999999999</v>
      </c>
      <c r="BX170" s="230">
        <v>391250</v>
      </c>
      <c r="BY170" s="230">
        <v>397175</v>
      </c>
      <c r="BZ170" s="230">
        <v>-5925</v>
      </c>
      <c r="CA170" s="229">
        <v>-1.49E-2</v>
      </c>
      <c r="CB170" s="230">
        <v>380500</v>
      </c>
      <c r="CC170" s="230">
        <v>386975</v>
      </c>
      <c r="CD170" s="230">
        <v>-6475</v>
      </c>
      <c r="CE170" s="229">
        <v>-1.67E-2</v>
      </c>
      <c r="CF170" s="230">
        <v>9825</v>
      </c>
      <c r="CG170" s="230">
        <v>9775</v>
      </c>
      <c r="CH170" s="228">
        <v>50</v>
      </c>
      <c r="CI170" s="229">
        <v>5.1000000000000004E-3</v>
      </c>
      <c r="CJ170" s="228">
        <v>925</v>
      </c>
      <c r="CK170" s="228">
        <v>425</v>
      </c>
      <c r="CL170" s="228">
        <v>500</v>
      </c>
      <c r="CM170" s="229">
        <v>1.1765000000000001</v>
      </c>
      <c r="CN170" s="230">
        <v>235900</v>
      </c>
      <c r="CO170" s="230">
        <v>208625</v>
      </c>
      <c r="CP170" s="230">
        <v>27275</v>
      </c>
      <c r="CQ170" s="229">
        <v>0.13070000000000001</v>
      </c>
      <c r="CR170" s="230">
        <v>198575</v>
      </c>
      <c r="CS170" s="230">
        <v>181600</v>
      </c>
      <c r="CT170" s="230">
        <v>16975</v>
      </c>
      <c r="CU170" s="229">
        <v>9.35E-2</v>
      </c>
      <c r="CV170" s="230">
        <v>825725</v>
      </c>
      <c r="CW170" s="230">
        <v>787400</v>
      </c>
      <c r="CX170" s="230">
        <v>38325</v>
      </c>
      <c r="CY170" s="229">
        <v>4.87E-2</v>
      </c>
      <c r="CZ170" s="228">
        <v>44.74</v>
      </c>
      <c r="DA170" s="228">
        <v>44.3</v>
      </c>
      <c r="DB170" s="228">
        <v>0.44</v>
      </c>
      <c r="DC170" s="228">
        <v>0.44</v>
      </c>
      <c r="DD170" s="228">
        <v>56.7</v>
      </c>
      <c r="DE170" s="228">
        <v>56.83</v>
      </c>
      <c r="DF170" s="228">
        <v>-11.96</v>
      </c>
      <c r="DG170" s="228">
        <v>-0.13</v>
      </c>
      <c r="DH170" s="228">
        <v>43.34</v>
      </c>
      <c r="DI170" s="228">
        <v>42.37</v>
      </c>
      <c r="DJ170" s="228">
        <v>0.97</v>
      </c>
      <c r="DK170" s="228">
        <v>0.97</v>
      </c>
      <c r="DL170" s="228">
        <v>47.01</v>
      </c>
      <c r="DM170" s="228">
        <v>46.61</v>
      </c>
      <c r="DN170" s="228">
        <v>0.4</v>
      </c>
      <c r="DO170" s="228">
        <v>0.4</v>
      </c>
      <c r="DP170" s="228">
        <v>0.84</v>
      </c>
      <c r="DQ170" s="228">
        <v>0.87</v>
      </c>
      <c r="DR170" s="228">
        <v>-0.03</v>
      </c>
      <c r="DS170" s="229">
        <v>-3.4500000000000003E-2</v>
      </c>
      <c r="DT170" s="231">
        <v>33000</v>
      </c>
      <c r="DU170" s="231">
        <v>30000</v>
      </c>
      <c r="DV170" s="228">
        <v>0.62</v>
      </c>
      <c r="DW170" s="228">
        <v>0.84</v>
      </c>
      <c r="DX170" s="228">
        <v>-0.22</v>
      </c>
      <c r="DY170" s="229">
        <v>-0.26190000000000002</v>
      </c>
      <c r="DZ170" s="229">
        <v>2.75E-2</v>
      </c>
      <c r="EA170" s="230">
        <v>10200</v>
      </c>
      <c r="EB170" s="229">
        <v>3.0999999999999999E-3</v>
      </c>
      <c r="EC170" s="229">
        <v>2.75E-2</v>
      </c>
      <c r="ED170" s="228">
        <v>52.2</v>
      </c>
      <c r="EE170" s="229">
        <v>1.5E-3</v>
      </c>
      <c r="EF170" s="230">
        <v>48583</v>
      </c>
      <c r="EG170" s="230">
        <v>41370</v>
      </c>
      <c r="EH170" s="229">
        <v>0.1744</v>
      </c>
      <c r="EI170" s="229">
        <v>0.28789999999999999</v>
      </c>
      <c r="EJ170" s="231">
        <v>98318.59</v>
      </c>
      <c r="EK170" s="231">
        <v>53022.16</v>
      </c>
      <c r="EL170" s="231">
        <v>33192.51</v>
      </c>
      <c r="EM170" s="231">
        <v>4773</v>
      </c>
      <c r="EN170" s="231">
        <v>184533.26</v>
      </c>
      <c r="EO170" s="231">
        <v>188821.89</v>
      </c>
      <c r="EP170" s="231">
        <v>-4288.63</v>
      </c>
      <c r="EQ170" s="229">
        <v>-2.2700000000000001E-2</v>
      </c>
      <c r="ER170" s="231">
        <v>78976</v>
      </c>
      <c r="ES170" s="231">
        <v>60444</v>
      </c>
      <c r="ET170" s="231">
        <v>132606</v>
      </c>
      <c r="EU170" s="231">
        <v>1917916</v>
      </c>
      <c r="EV170" s="231">
        <v>272027</v>
      </c>
      <c r="EW170" s="231">
        <v>258070</v>
      </c>
      <c r="EX170" s="231">
        <v>13957</v>
      </c>
      <c r="EY170" s="229">
        <v>5.4100000000000002E-2</v>
      </c>
      <c r="EZ170" s="229">
        <v>0.43049999999999999</v>
      </c>
      <c r="FA170" s="227" t="s">
        <v>691</v>
      </c>
      <c r="FB170" s="161">
        <f t="shared" si="4"/>
        <v>0</v>
      </c>
    </row>
    <row r="171" spans="1:158" ht="17.25" thickBot="1" x14ac:dyDescent="0.3">
      <c r="A171" s="226">
        <v>46146</v>
      </c>
      <c r="B171" s="227" t="s">
        <v>184</v>
      </c>
      <c r="C171" s="227" t="s">
        <v>686</v>
      </c>
      <c r="D171" s="228">
        <v>575</v>
      </c>
      <c r="E171" s="231">
        <v>1028.8</v>
      </c>
      <c r="F171" s="231">
        <v>1005.35</v>
      </c>
      <c r="G171" s="228">
        <v>23.45</v>
      </c>
      <c r="H171" s="229">
        <v>2.3300000000000001E-2</v>
      </c>
      <c r="I171" s="231">
        <v>1035.0999999999999</v>
      </c>
      <c r="J171" s="231">
        <v>1018.15</v>
      </c>
      <c r="K171" s="228">
        <v>16.95</v>
      </c>
      <c r="L171" s="229">
        <v>1.66E-2</v>
      </c>
      <c r="M171" s="231">
        <v>1028.8</v>
      </c>
      <c r="N171" s="231">
        <v>1005.35</v>
      </c>
      <c r="O171" s="228">
        <v>23.45</v>
      </c>
      <c r="P171" s="229">
        <v>2.3300000000000001E-2</v>
      </c>
      <c r="Q171" s="231">
        <v>1016.9</v>
      </c>
      <c r="R171" s="228">
        <v>995</v>
      </c>
      <c r="S171" s="228">
        <v>21.9</v>
      </c>
      <c r="T171" s="229">
        <v>2.1999999999999999E-2</v>
      </c>
      <c r="U171" s="231">
        <v>1010.3</v>
      </c>
      <c r="V171" s="231">
        <v>1003.35</v>
      </c>
      <c r="W171" s="228">
        <v>6.95</v>
      </c>
      <c r="X171" s="229">
        <v>6.8999999999999999E-3</v>
      </c>
      <c r="Y171" s="228">
        <v>-6.3</v>
      </c>
      <c r="Z171" s="228">
        <v>-12.8</v>
      </c>
      <c r="AA171" s="228">
        <v>6.5</v>
      </c>
      <c r="AB171" s="229">
        <v>-6.1000000000000004E-3</v>
      </c>
      <c r="AC171" s="228">
        <v>-6.3</v>
      </c>
      <c r="AD171" s="228">
        <v>-12.8</v>
      </c>
      <c r="AE171" s="228">
        <v>6.5</v>
      </c>
      <c r="AF171" s="229">
        <v>-6.1000000000000004E-3</v>
      </c>
      <c r="AG171" s="228">
        <v>-18.2</v>
      </c>
      <c r="AH171" s="228">
        <v>-23.15</v>
      </c>
      <c r="AI171" s="228">
        <v>4.95</v>
      </c>
      <c r="AJ171" s="229">
        <v>-1.7600000000000001E-2</v>
      </c>
      <c r="AK171" s="228">
        <v>-24.8</v>
      </c>
      <c r="AL171" s="228">
        <v>-14.8</v>
      </c>
      <c r="AM171" s="228">
        <v>-10</v>
      </c>
      <c r="AN171" s="229">
        <v>-2.4E-2</v>
      </c>
      <c r="AO171" s="231">
        <v>1024.27</v>
      </c>
      <c r="AP171" s="231">
        <v>1013.32</v>
      </c>
      <c r="AQ171" s="228">
        <v>0</v>
      </c>
      <c r="AR171" s="230">
        <v>1072375</v>
      </c>
      <c r="AS171" s="230">
        <v>2680650</v>
      </c>
      <c r="AT171" s="230">
        <v>-1608275</v>
      </c>
      <c r="AU171" s="229">
        <v>-0.6</v>
      </c>
      <c r="AV171" s="230">
        <v>1040750</v>
      </c>
      <c r="AW171" s="230">
        <v>2367850</v>
      </c>
      <c r="AX171" s="230">
        <v>-1327100</v>
      </c>
      <c r="AY171" s="229">
        <v>-0.5605</v>
      </c>
      <c r="AZ171" s="230">
        <v>30475</v>
      </c>
      <c r="BA171" s="230">
        <v>311650</v>
      </c>
      <c r="BB171" s="230">
        <v>-281175</v>
      </c>
      <c r="BC171" s="229">
        <v>-0.9022</v>
      </c>
      <c r="BD171" s="230">
        <v>1150</v>
      </c>
      <c r="BE171" s="230">
        <v>1150</v>
      </c>
      <c r="BF171" s="228">
        <v>0</v>
      </c>
      <c r="BG171" s="229">
        <v>0</v>
      </c>
      <c r="BH171" s="230">
        <v>2195350</v>
      </c>
      <c r="BI171" s="230">
        <v>2456400</v>
      </c>
      <c r="BJ171" s="230">
        <v>-261050</v>
      </c>
      <c r="BK171" s="229">
        <v>-0.10630000000000001</v>
      </c>
      <c r="BL171" s="230">
        <v>1149425</v>
      </c>
      <c r="BM171" s="230">
        <v>1854375</v>
      </c>
      <c r="BN171" s="230">
        <v>-704950</v>
      </c>
      <c r="BO171" s="229">
        <v>-0.38019999999999998</v>
      </c>
      <c r="BP171" s="230">
        <v>4417150</v>
      </c>
      <c r="BQ171" s="230">
        <v>6991425</v>
      </c>
      <c r="BR171" s="230">
        <v>-2574275</v>
      </c>
      <c r="BS171" s="229">
        <v>-0.36820000000000003</v>
      </c>
      <c r="BT171" s="230">
        <v>839815</v>
      </c>
      <c r="BU171" s="230">
        <v>2043351</v>
      </c>
      <c r="BV171" s="230">
        <v>-1203536</v>
      </c>
      <c r="BW171" s="229">
        <v>-0.58899999999999997</v>
      </c>
      <c r="BX171" s="230">
        <v>10630825</v>
      </c>
      <c r="BY171" s="230">
        <v>10689975</v>
      </c>
      <c r="BZ171" s="230">
        <v>-59150</v>
      </c>
      <c r="CA171" s="229">
        <v>-5.4999999999999997E-3</v>
      </c>
      <c r="CB171" s="230">
        <v>10272950</v>
      </c>
      <c r="CC171" s="230">
        <v>10343100</v>
      </c>
      <c r="CD171" s="230">
        <v>-70150</v>
      </c>
      <c r="CE171" s="229">
        <v>-6.7999999999999996E-3</v>
      </c>
      <c r="CF171" s="230">
        <v>355925</v>
      </c>
      <c r="CG171" s="230">
        <v>345575</v>
      </c>
      <c r="CH171" s="230">
        <v>10350</v>
      </c>
      <c r="CI171" s="229">
        <v>0.03</v>
      </c>
      <c r="CJ171" s="230">
        <v>1950</v>
      </c>
      <c r="CK171" s="230">
        <v>1300</v>
      </c>
      <c r="CL171" s="228">
        <v>650</v>
      </c>
      <c r="CM171" s="229">
        <v>0.5</v>
      </c>
      <c r="CN171" s="230">
        <v>1361025</v>
      </c>
      <c r="CO171" s="230">
        <v>1328825</v>
      </c>
      <c r="CP171" s="230">
        <v>32200</v>
      </c>
      <c r="CQ171" s="229">
        <v>2.4199999999999999E-2</v>
      </c>
      <c r="CR171" s="230">
        <v>1444975</v>
      </c>
      <c r="CS171" s="230">
        <v>1183350</v>
      </c>
      <c r="CT171" s="230">
        <v>261625</v>
      </c>
      <c r="CU171" s="229">
        <v>0.22109999999999999</v>
      </c>
      <c r="CV171" s="230">
        <v>13436825</v>
      </c>
      <c r="CW171" s="230">
        <v>13202150</v>
      </c>
      <c r="CX171" s="230">
        <v>234675</v>
      </c>
      <c r="CY171" s="229">
        <v>1.78E-2</v>
      </c>
      <c r="CZ171" s="228">
        <v>42.04</v>
      </c>
      <c r="DA171" s="228">
        <v>42.16</v>
      </c>
      <c r="DB171" s="228">
        <v>-0.12</v>
      </c>
      <c r="DC171" s="228">
        <v>-0.12</v>
      </c>
      <c r="DD171" s="228">
        <v>48.06</v>
      </c>
      <c r="DE171" s="228">
        <v>48.08</v>
      </c>
      <c r="DF171" s="228">
        <v>-6.02</v>
      </c>
      <c r="DG171" s="228">
        <v>-0.02</v>
      </c>
      <c r="DH171" s="228">
        <v>41.84</v>
      </c>
      <c r="DI171" s="228">
        <v>42</v>
      </c>
      <c r="DJ171" s="228">
        <v>-0.16</v>
      </c>
      <c r="DK171" s="228">
        <v>-0.16</v>
      </c>
      <c r="DL171" s="228">
        <v>42.41</v>
      </c>
      <c r="DM171" s="228">
        <v>42.37</v>
      </c>
      <c r="DN171" s="228">
        <v>0.04</v>
      </c>
      <c r="DO171" s="228">
        <v>0.04</v>
      </c>
      <c r="DP171" s="228">
        <v>1.06</v>
      </c>
      <c r="DQ171" s="228">
        <v>0.89</v>
      </c>
      <c r="DR171" s="228">
        <v>0.17</v>
      </c>
      <c r="DS171" s="229">
        <v>0.191</v>
      </c>
      <c r="DT171" s="231">
        <v>1060</v>
      </c>
      <c r="DU171" s="228">
        <v>900</v>
      </c>
      <c r="DV171" s="228">
        <v>0.52</v>
      </c>
      <c r="DW171" s="228">
        <v>0.75</v>
      </c>
      <c r="DX171" s="228">
        <v>-0.23</v>
      </c>
      <c r="DY171" s="229">
        <v>-0.30669999999999997</v>
      </c>
      <c r="DZ171" s="229">
        <v>3.3700000000000001E-2</v>
      </c>
      <c r="EA171" s="230">
        <v>346875</v>
      </c>
      <c r="EB171" s="229">
        <v>-1.1599999999999999E-2</v>
      </c>
      <c r="EC171" s="229">
        <v>3.3700000000000001E-2</v>
      </c>
      <c r="ED171" s="228">
        <v>-10.95</v>
      </c>
      <c r="EE171" s="229">
        <v>-1.0699999999999999E-2</v>
      </c>
      <c r="EF171" s="230">
        <v>280023</v>
      </c>
      <c r="EG171" s="230">
        <v>677323</v>
      </c>
      <c r="EH171" s="229">
        <v>-0.58660000000000001</v>
      </c>
      <c r="EI171" s="229">
        <v>0.33339999999999997</v>
      </c>
      <c r="EJ171" s="231">
        <v>23878.6</v>
      </c>
      <c r="EK171" s="231">
        <v>11561.1</v>
      </c>
      <c r="EL171" s="231">
        <v>10981.99</v>
      </c>
      <c r="EM171" s="231">
        <v>9520</v>
      </c>
      <c r="EN171" s="231">
        <v>46421.69</v>
      </c>
      <c r="EO171" s="231">
        <v>71314.070000000007</v>
      </c>
      <c r="EP171" s="231">
        <v>-24892.38</v>
      </c>
      <c r="EQ171" s="229">
        <v>-0.34910000000000002</v>
      </c>
      <c r="ER171" s="231">
        <v>14453</v>
      </c>
      <c r="ES171" s="231">
        <v>13854</v>
      </c>
      <c r="ET171" s="231">
        <v>109327</v>
      </c>
      <c r="EU171" s="231">
        <v>23961540</v>
      </c>
      <c r="EV171" s="231">
        <v>137633</v>
      </c>
      <c r="EW171" s="231">
        <v>132823</v>
      </c>
      <c r="EX171" s="231">
        <v>4810</v>
      </c>
      <c r="EY171" s="229">
        <v>3.6200000000000003E-2</v>
      </c>
      <c r="EZ171" s="229">
        <v>0.56079999999999997</v>
      </c>
      <c r="FA171" s="227" t="s">
        <v>691</v>
      </c>
      <c r="FB171" s="161">
        <f t="shared" si="4"/>
        <v>0</v>
      </c>
    </row>
    <row r="172" spans="1:158" ht="17.25" thickBot="1" x14ac:dyDescent="0.3">
      <c r="A172" s="226">
        <v>46146</v>
      </c>
      <c r="B172" s="227" t="s">
        <v>206</v>
      </c>
      <c r="C172" s="227" t="s">
        <v>604</v>
      </c>
      <c r="D172" s="228">
        <v>450</v>
      </c>
      <c r="E172" s="231">
        <v>1458.6</v>
      </c>
      <c r="F172" s="231">
        <v>1423.2</v>
      </c>
      <c r="G172" s="228">
        <v>35.4</v>
      </c>
      <c r="H172" s="229">
        <v>2.4899999999999999E-2</v>
      </c>
      <c r="I172" s="231">
        <v>1454.4</v>
      </c>
      <c r="J172" s="231">
        <v>1414.4</v>
      </c>
      <c r="K172" s="228">
        <v>40</v>
      </c>
      <c r="L172" s="229">
        <v>2.8299999999999999E-2</v>
      </c>
      <c r="M172" s="231">
        <v>1458.6</v>
      </c>
      <c r="N172" s="231">
        <v>1423.2</v>
      </c>
      <c r="O172" s="228">
        <v>35.4</v>
      </c>
      <c r="P172" s="229">
        <v>2.4899999999999999E-2</v>
      </c>
      <c r="Q172" s="231">
        <v>1468.2</v>
      </c>
      <c r="R172" s="231">
        <v>1431.7</v>
      </c>
      <c r="S172" s="228">
        <v>36.5</v>
      </c>
      <c r="T172" s="229">
        <v>2.5499999999999998E-2</v>
      </c>
      <c r="U172" s="231">
        <v>1435</v>
      </c>
      <c r="V172" s="231">
        <v>1435</v>
      </c>
      <c r="W172" s="228">
        <v>0</v>
      </c>
      <c r="X172" s="229">
        <v>0</v>
      </c>
      <c r="Y172" s="228">
        <v>4.2</v>
      </c>
      <c r="Z172" s="228">
        <v>8.8000000000000007</v>
      </c>
      <c r="AA172" s="228">
        <v>-4.5999999999999996</v>
      </c>
      <c r="AB172" s="229">
        <v>2.8999999999999998E-3</v>
      </c>
      <c r="AC172" s="228">
        <v>4.2</v>
      </c>
      <c r="AD172" s="228">
        <v>8.8000000000000007</v>
      </c>
      <c r="AE172" s="228">
        <v>-4.5999999999999996</v>
      </c>
      <c r="AF172" s="229">
        <v>2.8999999999999998E-3</v>
      </c>
      <c r="AG172" s="228">
        <v>13.8</v>
      </c>
      <c r="AH172" s="228">
        <v>17.3</v>
      </c>
      <c r="AI172" s="228">
        <v>-3.5</v>
      </c>
      <c r="AJ172" s="229">
        <v>9.4999999999999998E-3</v>
      </c>
      <c r="AK172" s="228">
        <v>-19.399999999999999</v>
      </c>
      <c r="AL172" s="228">
        <v>20.6</v>
      </c>
      <c r="AM172" s="228">
        <v>-40</v>
      </c>
      <c r="AN172" s="229">
        <v>-1.3299999999999999E-2</v>
      </c>
      <c r="AO172" s="231">
        <v>1457.55</v>
      </c>
      <c r="AP172" s="231">
        <v>1469.96</v>
      </c>
      <c r="AQ172" s="228">
        <v>0</v>
      </c>
      <c r="AR172" s="230">
        <v>794250</v>
      </c>
      <c r="AS172" s="230">
        <v>558900</v>
      </c>
      <c r="AT172" s="230">
        <v>235350</v>
      </c>
      <c r="AU172" s="229">
        <v>0.42109999999999997</v>
      </c>
      <c r="AV172" s="230">
        <v>780300</v>
      </c>
      <c r="AW172" s="230">
        <v>553950</v>
      </c>
      <c r="AX172" s="230">
        <v>226350</v>
      </c>
      <c r="AY172" s="229">
        <v>0.40860000000000002</v>
      </c>
      <c r="AZ172" s="230">
        <v>13950</v>
      </c>
      <c r="BA172" s="230">
        <v>4500</v>
      </c>
      <c r="BB172" s="230">
        <v>9450</v>
      </c>
      <c r="BC172" s="229">
        <v>2.1</v>
      </c>
      <c r="BD172" s="228">
        <v>0</v>
      </c>
      <c r="BE172" s="228">
        <v>450</v>
      </c>
      <c r="BF172" s="228">
        <v>-450</v>
      </c>
      <c r="BG172" s="229">
        <v>-1</v>
      </c>
      <c r="BH172" s="230">
        <v>963450</v>
      </c>
      <c r="BI172" s="230">
        <v>505800</v>
      </c>
      <c r="BJ172" s="230">
        <v>457650</v>
      </c>
      <c r="BK172" s="229">
        <v>0.90480000000000005</v>
      </c>
      <c r="BL172" s="230">
        <v>261450</v>
      </c>
      <c r="BM172" s="230">
        <v>504000</v>
      </c>
      <c r="BN172" s="230">
        <v>-242550</v>
      </c>
      <c r="BO172" s="229">
        <v>-0.48130000000000001</v>
      </c>
      <c r="BP172" s="230">
        <v>2019150</v>
      </c>
      <c r="BQ172" s="230">
        <v>1568700</v>
      </c>
      <c r="BR172" s="230">
        <v>450450</v>
      </c>
      <c r="BS172" s="229">
        <v>0.28710000000000002</v>
      </c>
      <c r="BT172" s="230">
        <v>446529</v>
      </c>
      <c r="BU172" s="230">
        <v>317195</v>
      </c>
      <c r="BV172" s="230">
        <v>129334</v>
      </c>
      <c r="BW172" s="229">
        <v>0.40770000000000001</v>
      </c>
      <c r="BX172" s="230">
        <v>5806800</v>
      </c>
      <c r="BY172" s="230">
        <v>5827050</v>
      </c>
      <c r="BZ172" s="230">
        <v>-20250</v>
      </c>
      <c r="CA172" s="229">
        <v>-3.5000000000000001E-3</v>
      </c>
      <c r="CB172" s="230">
        <v>5560200</v>
      </c>
      <c r="CC172" s="230">
        <v>5581350</v>
      </c>
      <c r="CD172" s="230">
        <v>-21150</v>
      </c>
      <c r="CE172" s="229">
        <v>-3.8E-3</v>
      </c>
      <c r="CF172" s="230">
        <v>246150</v>
      </c>
      <c r="CG172" s="230">
        <v>245250</v>
      </c>
      <c r="CH172" s="228">
        <v>900</v>
      </c>
      <c r="CI172" s="229">
        <v>3.7000000000000002E-3</v>
      </c>
      <c r="CJ172" s="228">
        <v>450</v>
      </c>
      <c r="CK172" s="228">
        <v>450</v>
      </c>
      <c r="CL172" s="228">
        <v>0</v>
      </c>
      <c r="CM172" s="229">
        <v>0</v>
      </c>
      <c r="CN172" s="230">
        <v>842850</v>
      </c>
      <c r="CO172" s="230">
        <v>629100</v>
      </c>
      <c r="CP172" s="230">
        <v>213750</v>
      </c>
      <c r="CQ172" s="229">
        <v>0.33979999999999999</v>
      </c>
      <c r="CR172" s="230">
        <v>733950</v>
      </c>
      <c r="CS172" s="230">
        <v>720450</v>
      </c>
      <c r="CT172" s="230">
        <v>13500</v>
      </c>
      <c r="CU172" s="229">
        <v>1.8700000000000001E-2</v>
      </c>
      <c r="CV172" s="230">
        <v>7383600</v>
      </c>
      <c r="CW172" s="230">
        <v>7176600</v>
      </c>
      <c r="CX172" s="230">
        <v>207000</v>
      </c>
      <c r="CY172" s="229">
        <v>2.8799999999999999E-2</v>
      </c>
      <c r="CZ172" s="228">
        <v>38.54</v>
      </c>
      <c r="DA172" s="228">
        <v>38.770000000000003</v>
      </c>
      <c r="DB172" s="228">
        <v>-0.23</v>
      </c>
      <c r="DC172" s="228">
        <v>-0.23</v>
      </c>
      <c r="DD172" s="228">
        <v>44.31</v>
      </c>
      <c r="DE172" s="228">
        <v>44.29</v>
      </c>
      <c r="DF172" s="228">
        <v>-5.77</v>
      </c>
      <c r="DG172" s="228">
        <v>0.02</v>
      </c>
      <c r="DH172" s="228">
        <v>37.93</v>
      </c>
      <c r="DI172" s="228">
        <v>37.909999999999997</v>
      </c>
      <c r="DJ172" s="228">
        <v>0.02</v>
      </c>
      <c r="DK172" s="228">
        <v>0.02</v>
      </c>
      <c r="DL172" s="228">
        <v>40.78</v>
      </c>
      <c r="DM172" s="228">
        <v>39.630000000000003</v>
      </c>
      <c r="DN172" s="228">
        <v>1.1499999999999999</v>
      </c>
      <c r="DO172" s="228">
        <v>1.1499999999999999</v>
      </c>
      <c r="DP172" s="228">
        <v>0.87</v>
      </c>
      <c r="DQ172" s="228">
        <v>1.1499999999999999</v>
      </c>
      <c r="DR172" s="228">
        <v>-0.28000000000000003</v>
      </c>
      <c r="DS172" s="229">
        <v>-0.24349999999999999</v>
      </c>
      <c r="DT172" s="231">
        <v>1600</v>
      </c>
      <c r="DU172" s="231">
        <v>1400</v>
      </c>
      <c r="DV172" s="228">
        <v>0.27</v>
      </c>
      <c r="DW172" s="228">
        <v>1</v>
      </c>
      <c r="DX172" s="228">
        <v>-0.73</v>
      </c>
      <c r="DY172" s="229">
        <v>-0.73</v>
      </c>
      <c r="DZ172" s="229">
        <v>4.2500000000000003E-2</v>
      </c>
      <c r="EA172" s="230">
        <v>245700</v>
      </c>
      <c r="EB172" s="229">
        <v>6.6E-3</v>
      </c>
      <c r="EC172" s="229">
        <v>4.2500000000000003E-2</v>
      </c>
      <c r="ED172" s="228">
        <v>12.41</v>
      </c>
      <c r="EE172" s="229">
        <v>8.5000000000000006E-3</v>
      </c>
      <c r="EF172" s="230">
        <v>146688</v>
      </c>
      <c r="EG172" s="230">
        <v>142667</v>
      </c>
      <c r="EH172" s="229">
        <v>2.8199999999999999E-2</v>
      </c>
      <c r="EI172" s="229">
        <v>0.32850000000000001</v>
      </c>
      <c r="EJ172" s="231">
        <v>14951.52</v>
      </c>
      <c r="EK172" s="231">
        <v>3722.71</v>
      </c>
      <c r="EL172" s="231">
        <v>11578.29</v>
      </c>
      <c r="EM172" s="231">
        <v>4592</v>
      </c>
      <c r="EN172" s="231">
        <v>30252.52</v>
      </c>
      <c r="EO172" s="231">
        <v>22648.31</v>
      </c>
      <c r="EP172" s="231">
        <v>7604.21</v>
      </c>
      <c r="EQ172" s="229">
        <v>0.33579999999999999</v>
      </c>
      <c r="ER172" s="231">
        <v>12492</v>
      </c>
      <c r="ES172" s="231">
        <v>10008</v>
      </c>
      <c r="ET172" s="231">
        <v>84722</v>
      </c>
      <c r="EU172" s="231">
        <v>25234534</v>
      </c>
      <c r="EV172" s="231">
        <v>107221</v>
      </c>
      <c r="EW172" s="231">
        <v>101880</v>
      </c>
      <c r="EX172" s="231">
        <v>5341</v>
      </c>
      <c r="EY172" s="229">
        <v>5.2400000000000002E-2</v>
      </c>
      <c r="EZ172" s="229">
        <v>0.29260000000000003</v>
      </c>
      <c r="FA172" s="227" t="s">
        <v>691</v>
      </c>
      <c r="FB172" s="161">
        <f t="shared" si="4"/>
        <v>0</v>
      </c>
    </row>
    <row r="173" spans="1:158" ht="17.25" thickBot="1" x14ac:dyDescent="0.3">
      <c r="A173" s="226">
        <v>46146</v>
      </c>
      <c r="B173" s="227" t="s">
        <v>172</v>
      </c>
      <c r="C173" s="227" t="s">
        <v>279</v>
      </c>
      <c r="D173" s="228">
        <v>3175</v>
      </c>
      <c r="E173" s="228">
        <v>332.3</v>
      </c>
      <c r="F173" s="228">
        <v>338.65</v>
      </c>
      <c r="G173" s="228">
        <v>-6.35</v>
      </c>
      <c r="H173" s="229">
        <v>-1.8800000000000001E-2</v>
      </c>
      <c r="I173" s="228">
        <v>330.2</v>
      </c>
      <c r="J173" s="228">
        <v>336.55</v>
      </c>
      <c r="K173" s="228">
        <v>-6.35</v>
      </c>
      <c r="L173" s="229">
        <v>-1.89E-2</v>
      </c>
      <c r="M173" s="228">
        <v>332.3</v>
      </c>
      <c r="N173" s="228">
        <v>338.65</v>
      </c>
      <c r="O173" s="228">
        <v>-6.35</v>
      </c>
      <c r="P173" s="229">
        <v>-1.8800000000000001E-2</v>
      </c>
      <c r="Q173" s="228">
        <v>334.65</v>
      </c>
      <c r="R173" s="228">
        <v>340.85</v>
      </c>
      <c r="S173" s="228">
        <v>-6.2</v>
      </c>
      <c r="T173" s="229">
        <v>-1.8200000000000001E-2</v>
      </c>
      <c r="U173" s="228">
        <v>341.75</v>
      </c>
      <c r="V173" s="228">
        <v>341.75</v>
      </c>
      <c r="W173" s="228">
        <v>0</v>
      </c>
      <c r="X173" s="229">
        <v>0</v>
      </c>
      <c r="Y173" s="228">
        <v>2.1</v>
      </c>
      <c r="Z173" s="228">
        <v>2.1</v>
      </c>
      <c r="AA173" s="228">
        <v>0</v>
      </c>
      <c r="AB173" s="229">
        <v>6.4000000000000003E-3</v>
      </c>
      <c r="AC173" s="228">
        <v>2.1</v>
      </c>
      <c r="AD173" s="228">
        <v>2.1</v>
      </c>
      <c r="AE173" s="228">
        <v>0</v>
      </c>
      <c r="AF173" s="229">
        <v>6.4000000000000003E-3</v>
      </c>
      <c r="AG173" s="228">
        <v>4.45</v>
      </c>
      <c r="AH173" s="228">
        <v>4.3</v>
      </c>
      <c r="AI173" s="228">
        <v>0.15</v>
      </c>
      <c r="AJ173" s="229">
        <v>1.35E-2</v>
      </c>
      <c r="AK173" s="228">
        <v>11.55</v>
      </c>
      <c r="AL173" s="228">
        <v>5.2</v>
      </c>
      <c r="AM173" s="228">
        <v>6.35</v>
      </c>
      <c r="AN173" s="229">
        <v>3.5000000000000003E-2</v>
      </c>
      <c r="AO173" s="228">
        <v>336.89</v>
      </c>
      <c r="AP173" s="228">
        <v>338.79</v>
      </c>
      <c r="AQ173" s="228">
        <v>0</v>
      </c>
      <c r="AR173" s="230">
        <v>15046325</v>
      </c>
      <c r="AS173" s="230">
        <v>14309725</v>
      </c>
      <c r="AT173" s="230">
        <v>736600</v>
      </c>
      <c r="AU173" s="229">
        <v>5.1499999999999997E-2</v>
      </c>
      <c r="AV173" s="230">
        <v>14668500</v>
      </c>
      <c r="AW173" s="230">
        <v>14046200</v>
      </c>
      <c r="AX173" s="230">
        <v>622300</v>
      </c>
      <c r="AY173" s="229">
        <v>4.4299999999999999E-2</v>
      </c>
      <c r="AZ173" s="230">
        <v>374650</v>
      </c>
      <c r="BA173" s="230">
        <v>260350</v>
      </c>
      <c r="BB173" s="230">
        <v>114300</v>
      </c>
      <c r="BC173" s="229">
        <v>0.439</v>
      </c>
      <c r="BD173" s="230">
        <v>3175</v>
      </c>
      <c r="BE173" s="230">
        <v>3175</v>
      </c>
      <c r="BF173" s="228">
        <v>0</v>
      </c>
      <c r="BG173" s="229">
        <v>0</v>
      </c>
      <c r="BH173" s="230">
        <v>33877250</v>
      </c>
      <c r="BI173" s="230">
        <v>31118175</v>
      </c>
      <c r="BJ173" s="230">
        <v>2759075</v>
      </c>
      <c r="BK173" s="229">
        <v>8.8700000000000001E-2</v>
      </c>
      <c r="BL173" s="230">
        <v>20659725</v>
      </c>
      <c r="BM173" s="230">
        <v>21894800</v>
      </c>
      <c r="BN173" s="230">
        <v>-1235075</v>
      </c>
      <c r="BO173" s="229">
        <v>-5.6399999999999999E-2</v>
      </c>
      <c r="BP173" s="230">
        <v>69583300</v>
      </c>
      <c r="BQ173" s="230">
        <v>67322700</v>
      </c>
      <c r="BR173" s="230">
        <v>2260600</v>
      </c>
      <c r="BS173" s="229">
        <v>3.3599999999999998E-2</v>
      </c>
      <c r="BT173" s="230">
        <v>7093115</v>
      </c>
      <c r="BU173" s="230">
        <v>6948144</v>
      </c>
      <c r="BV173" s="230">
        <v>144971</v>
      </c>
      <c r="BW173" s="229">
        <v>2.0899999999999998E-2</v>
      </c>
      <c r="BX173" s="230">
        <v>65655825</v>
      </c>
      <c r="BY173" s="230">
        <v>63858775</v>
      </c>
      <c r="BZ173" s="230">
        <v>1797050</v>
      </c>
      <c r="CA173" s="229">
        <v>2.81E-2</v>
      </c>
      <c r="CB173" s="230">
        <v>65170050</v>
      </c>
      <c r="CC173" s="230">
        <v>63433325</v>
      </c>
      <c r="CD173" s="230">
        <v>1736725</v>
      </c>
      <c r="CE173" s="229">
        <v>2.7400000000000001E-2</v>
      </c>
      <c r="CF173" s="230">
        <v>473075</v>
      </c>
      <c r="CG173" s="230">
        <v>415925</v>
      </c>
      <c r="CH173" s="230">
        <v>57150</v>
      </c>
      <c r="CI173" s="229">
        <v>0.13739999999999999</v>
      </c>
      <c r="CJ173" s="230">
        <v>12700</v>
      </c>
      <c r="CK173" s="230">
        <v>9525</v>
      </c>
      <c r="CL173" s="230">
        <v>3175</v>
      </c>
      <c r="CM173" s="229">
        <v>0.33329999999999999</v>
      </c>
      <c r="CN173" s="230">
        <v>19186525</v>
      </c>
      <c r="CO173" s="230">
        <v>16751300</v>
      </c>
      <c r="CP173" s="230">
        <v>2435225</v>
      </c>
      <c r="CQ173" s="229">
        <v>0.1454</v>
      </c>
      <c r="CR173" s="230">
        <v>14208125</v>
      </c>
      <c r="CS173" s="230">
        <v>13160375</v>
      </c>
      <c r="CT173" s="230">
        <v>1047750</v>
      </c>
      <c r="CU173" s="229">
        <v>7.9600000000000004E-2</v>
      </c>
      <c r="CV173" s="230">
        <v>99050475</v>
      </c>
      <c r="CW173" s="230">
        <v>93770450</v>
      </c>
      <c r="CX173" s="230">
        <v>5280025</v>
      </c>
      <c r="CY173" s="229">
        <v>5.6300000000000003E-2</v>
      </c>
      <c r="CZ173" s="228">
        <v>36.35</v>
      </c>
      <c r="DA173" s="228">
        <v>32.72</v>
      </c>
      <c r="DB173" s="228">
        <v>3.63</v>
      </c>
      <c r="DC173" s="228">
        <v>3.63</v>
      </c>
      <c r="DD173" s="228">
        <v>43.59</v>
      </c>
      <c r="DE173" s="228">
        <v>43.63</v>
      </c>
      <c r="DF173" s="228">
        <v>-7.24</v>
      </c>
      <c r="DG173" s="228">
        <v>-0.04</v>
      </c>
      <c r="DH173" s="228">
        <v>36.26</v>
      </c>
      <c r="DI173" s="228">
        <v>32.869999999999997</v>
      </c>
      <c r="DJ173" s="228">
        <v>3.39</v>
      </c>
      <c r="DK173" s="228">
        <v>3.39</v>
      </c>
      <c r="DL173" s="228">
        <v>36.49</v>
      </c>
      <c r="DM173" s="228">
        <v>32.5</v>
      </c>
      <c r="DN173" s="228">
        <v>3.99</v>
      </c>
      <c r="DO173" s="228">
        <v>3.99</v>
      </c>
      <c r="DP173" s="228">
        <v>0.74</v>
      </c>
      <c r="DQ173" s="228">
        <v>0.79</v>
      </c>
      <c r="DR173" s="228">
        <v>-0.05</v>
      </c>
      <c r="DS173" s="229">
        <v>-6.3299999999999995E-2</v>
      </c>
      <c r="DT173" s="228">
        <v>350</v>
      </c>
      <c r="DU173" s="228">
        <v>300</v>
      </c>
      <c r="DV173" s="228">
        <v>0.61</v>
      </c>
      <c r="DW173" s="228">
        <v>0.7</v>
      </c>
      <c r="DX173" s="228">
        <v>-0.09</v>
      </c>
      <c r="DY173" s="229">
        <v>-0.12859999999999999</v>
      </c>
      <c r="DZ173" s="229">
        <v>7.4000000000000003E-3</v>
      </c>
      <c r="EA173" s="230">
        <v>425450</v>
      </c>
      <c r="EB173" s="229">
        <v>7.1000000000000004E-3</v>
      </c>
      <c r="EC173" s="229">
        <v>7.4000000000000003E-3</v>
      </c>
      <c r="ED173" s="228">
        <v>1.9</v>
      </c>
      <c r="EE173" s="229">
        <v>5.5999999999999999E-3</v>
      </c>
      <c r="EF173" s="230">
        <v>2353108</v>
      </c>
      <c r="EG173" s="230">
        <v>2614223</v>
      </c>
      <c r="EH173" s="229">
        <v>-9.9900000000000003E-2</v>
      </c>
      <c r="EI173" s="229">
        <v>0.33169999999999999</v>
      </c>
      <c r="EJ173" s="231">
        <v>121097.07</v>
      </c>
      <c r="EK173" s="231">
        <v>67519.360000000001</v>
      </c>
      <c r="EL173" s="231">
        <v>50697.36</v>
      </c>
      <c r="EM173" s="231">
        <v>13987</v>
      </c>
      <c r="EN173" s="231">
        <v>239313.79</v>
      </c>
      <c r="EO173" s="231">
        <v>232871.03</v>
      </c>
      <c r="EP173" s="231">
        <v>6442.76</v>
      </c>
      <c r="EQ173" s="229">
        <v>2.7699999999999999E-2</v>
      </c>
      <c r="ER173" s="231">
        <v>66041</v>
      </c>
      <c r="ES173" s="231">
        <v>44549</v>
      </c>
      <c r="ET173" s="231">
        <v>218187</v>
      </c>
      <c r="EU173" s="231">
        <v>92573471</v>
      </c>
      <c r="EV173" s="231">
        <v>328777</v>
      </c>
      <c r="EW173" s="231">
        <v>315068</v>
      </c>
      <c r="EX173" s="231">
        <v>13709</v>
      </c>
      <c r="EY173" s="229">
        <v>4.3499999999999997E-2</v>
      </c>
      <c r="EZ173" s="229">
        <v>1.07</v>
      </c>
      <c r="FA173" s="227" t="s">
        <v>566</v>
      </c>
      <c r="FB173" s="161">
        <f t="shared" si="4"/>
        <v>0</v>
      </c>
    </row>
    <row r="174" spans="1:158" ht="17.25" thickBot="1" x14ac:dyDescent="0.3">
      <c r="A174" s="226">
        <v>46146</v>
      </c>
      <c r="B174" s="227" t="s">
        <v>175</v>
      </c>
      <c r="C174" s="227" t="s">
        <v>280</v>
      </c>
      <c r="D174" s="228">
        <v>1400</v>
      </c>
      <c r="E174" s="228">
        <v>355.6</v>
      </c>
      <c r="F174" s="228">
        <v>355.35</v>
      </c>
      <c r="G174" s="228">
        <v>0.25</v>
      </c>
      <c r="H174" s="229">
        <v>6.9999999999999999E-4</v>
      </c>
      <c r="I174" s="228">
        <v>353.5</v>
      </c>
      <c r="J174" s="228">
        <v>354.3</v>
      </c>
      <c r="K174" s="228">
        <v>-0.8</v>
      </c>
      <c r="L174" s="229">
        <v>-2.3E-3</v>
      </c>
      <c r="M174" s="228">
        <v>355.6</v>
      </c>
      <c r="N174" s="228">
        <v>355.35</v>
      </c>
      <c r="O174" s="228">
        <v>0.25</v>
      </c>
      <c r="P174" s="229">
        <v>6.9999999999999999E-4</v>
      </c>
      <c r="Q174" s="228">
        <v>357.75</v>
      </c>
      <c r="R174" s="228">
        <v>357.75</v>
      </c>
      <c r="S174" s="228">
        <v>0</v>
      </c>
      <c r="T174" s="229">
        <v>0</v>
      </c>
      <c r="U174" s="228">
        <v>360.75</v>
      </c>
      <c r="V174" s="228">
        <v>359.8</v>
      </c>
      <c r="W174" s="228">
        <v>0.95</v>
      </c>
      <c r="X174" s="229">
        <v>2.5999999999999999E-3</v>
      </c>
      <c r="Y174" s="228">
        <v>2.1</v>
      </c>
      <c r="Z174" s="228">
        <v>1.05</v>
      </c>
      <c r="AA174" s="228">
        <v>1.05</v>
      </c>
      <c r="AB174" s="229">
        <v>5.8999999999999999E-3</v>
      </c>
      <c r="AC174" s="228">
        <v>2.1</v>
      </c>
      <c r="AD174" s="228">
        <v>1.05</v>
      </c>
      <c r="AE174" s="228">
        <v>1.05</v>
      </c>
      <c r="AF174" s="229">
        <v>5.8999999999999999E-3</v>
      </c>
      <c r="AG174" s="228">
        <v>4.25</v>
      </c>
      <c r="AH174" s="228">
        <v>3.45</v>
      </c>
      <c r="AI174" s="228">
        <v>0.8</v>
      </c>
      <c r="AJ174" s="229">
        <v>1.2E-2</v>
      </c>
      <c r="AK174" s="228">
        <v>7.25</v>
      </c>
      <c r="AL174" s="228">
        <v>5.5</v>
      </c>
      <c r="AM174" s="228">
        <v>1.75</v>
      </c>
      <c r="AN174" s="229">
        <v>2.0500000000000001E-2</v>
      </c>
      <c r="AO174" s="228">
        <v>357.89</v>
      </c>
      <c r="AP174" s="228">
        <v>359.97</v>
      </c>
      <c r="AQ174" s="228">
        <v>0</v>
      </c>
      <c r="AR174" s="230">
        <v>4950400</v>
      </c>
      <c r="AS174" s="230">
        <v>9119600</v>
      </c>
      <c r="AT174" s="230">
        <v>-4169200</v>
      </c>
      <c r="AU174" s="229">
        <v>-0.4572</v>
      </c>
      <c r="AV174" s="230">
        <v>4342800</v>
      </c>
      <c r="AW174" s="230">
        <v>8482600</v>
      </c>
      <c r="AX174" s="230">
        <v>-4139800</v>
      </c>
      <c r="AY174" s="229">
        <v>-0.48799999999999999</v>
      </c>
      <c r="AZ174" s="230">
        <v>532000</v>
      </c>
      <c r="BA174" s="230">
        <v>530600</v>
      </c>
      <c r="BB174" s="230">
        <v>1400</v>
      </c>
      <c r="BC174" s="229">
        <v>2.5999999999999999E-3</v>
      </c>
      <c r="BD174" s="230">
        <v>75600</v>
      </c>
      <c r="BE174" s="230">
        <v>106400</v>
      </c>
      <c r="BF174" s="230">
        <v>-30800</v>
      </c>
      <c r="BG174" s="229">
        <v>-0.28949999999999998</v>
      </c>
      <c r="BH174" s="230">
        <v>19349400</v>
      </c>
      <c r="BI174" s="230">
        <v>36397200</v>
      </c>
      <c r="BJ174" s="230">
        <v>-17047800</v>
      </c>
      <c r="BK174" s="229">
        <v>-0.46839999999999998</v>
      </c>
      <c r="BL174" s="230">
        <v>8594600</v>
      </c>
      <c r="BM174" s="230">
        <v>20361600</v>
      </c>
      <c r="BN174" s="230">
        <v>-11767000</v>
      </c>
      <c r="BO174" s="229">
        <v>-0.57789999999999997</v>
      </c>
      <c r="BP174" s="230">
        <v>32894400</v>
      </c>
      <c r="BQ174" s="230">
        <v>65878400</v>
      </c>
      <c r="BR174" s="230">
        <v>-32984000</v>
      </c>
      <c r="BS174" s="229">
        <v>-0.50070000000000003</v>
      </c>
      <c r="BT174" s="230">
        <v>5326084</v>
      </c>
      <c r="BU174" s="230">
        <v>9606915</v>
      </c>
      <c r="BV174" s="230">
        <v>-4280831</v>
      </c>
      <c r="BW174" s="229">
        <v>-0.4456</v>
      </c>
      <c r="BX174" s="230">
        <v>66319050</v>
      </c>
      <c r="BY174" s="230">
        <v>65816275</v>
      </c>
      <c r="BZ174" s="230">
        <v>502775</v>
      </c>
      <c r="CA174" s="229">
        <v>7.6E-3</v>
      </c>
      <c r="CB174" s="230">
        <v>62515600</v>
      </c>
      <c r="CC174" s="230">
        <v>62171200</v>
      </c>
      <c r="CD174" s="230">
        <v>344400</v>
      </c>
      <c r="CE174" s="229">
        <v>5.4999999999999997E-3</v>
      </c>
      <c r="CF174" s="230">
        <v>3605000</v>
      </c>
      <c r="CG174" s="230">
        <v>3511200</v>
      </c>
      <c r="CH174" s="230">
        <v>93800</v>
      </c>
      <c r="CI174" s="229">
        <v>2.6700000000000002E-2</v>
      </c>
      <c r="CJ174" s="230">
        <v>198450</v>
      </c>
      <c r="CK174" s="230">
        <v>133875</v>
      </c>
      <c r="CL174" s="230">
        <v>64575</v>
      </c>
      <c r="CM174" s="229">
        <v>0.4824</v>
      </c>
      <c r="CN174" s="230">
        <v>26754000</v>
      </c>
      <c r="CO174" s="230">
        <v>24659600</v>
      </c>
      <c r="CP174" s="230">
        <v>2094400</v>
      </c>
      <c r="CQ174" s="229">
        <v>8.4900000000000003E-2</v>
      </c>
      <c r="CR174" s="230">
        <v>15864800</v>
      </c>
      <c r="CS174" s="230">
        <v>15243200</v>
      </c>
      <c r="CT174" s="230">
        <v>621600</v>
      </c>
      <c r="CU174" s="229">
        <v>4.0800000000000003E-2</v>
      </c>
      <c r="CV174" s="230">
        <v>108937850</v>
      </c>
      <c r="CW174" s="230">
        <v>105719075</v>
      </c>
      <c r="CX174" s="230">
        <v>3218775</v>
      </c>
      <c r="CY174" s="229">
        <v>3.04E-2</v>
      </c>
      <c r="CZ174" s="228">
        <v>33.07</v>
      </c>
      <c r="DA174" s="228">
        <v>32.35</v>
      </c>
      <c r="DB174" s="228">
        <v>0.72</v>
      </c>
      <c r="DC174" s="228">
        <v>0.72</v>
      </c>
      <c r="DD174" s="228">
        <v>42.33</v>
      </c>
      <c r="DE174" s="228">
        <v>42.44</v>
      </c>
      <c r="DF174" s="228">
        <v>-9.26</v>
      </c>
      <c r="DG174" s="228">
        <v>-0.11</v>
      </c>
      <c r="DH174" s="228">
        <v>33.5</v>
      </c>
      <c r="DI174" s="228">
        <v>32.93</v>
      </c>
      <c r="DJ174" s="228">
        <v>0.56999999999999995</v>
      </c>
      <c r="DK174" s="228">
        <v>0.56999999999999995</v>
      </c>
      <c r="DL174" s="228">
        <v>32.08</v>
      </c>
      <c r="DM174" s="228">
        <v>31.31</v>
      </c>
      <c r="DN174" s="228">
        <v>0.77</v>
      </c>
      <c r="DO174" s="228">
        <v>0.77</v>
      </c>
      <c r="DP174" s="228">
        <v>0.59</v>
      </c>
      <c r="DQ174" s="228">
        <v>0.62</v>
      </c>
      <c r="DR174" s="228">
        <v>-0.03</v>
      </c>
      <c r="DS174" s="229">
        <v>-4.8399999999999999E-2</v>
      </c>
      <c r="DT174" s="228">
        <v>400</v>
      </c>
      <c r="DU174" s="228">
        <v>360</v>
      </c>
      <c r="DV174" s="228">
        <v>0.44</v>
      </c>
      <c r="DW174" s="228">
        <v>0.56000000000000005</v>
      </c>
      <c r="DX174" s="228">
        <v>-0.12</v>
      </c>
      <c r="DY174" s="229">
        <v>-0.21429999999999999</v>
      </c>
      <c r="DZ174" s="229">
        <v>5.74E-2</v>
      </c>
      <c r="EA174" s="230">
        <v>3645075</v>
      </c>
      <c r="EB174" s="229">
        <v>6.0000000000000001E-3</v>
      </c>
      <c r="EC174" s="229">
        <v>5.74E-2</v>
      </c>
      <c r="ED174" s="228">
        <v>2.08</v>
      </c>
      <c r="EE174" s="229">
        <v>5.7999999999999996E-3</v>
      </c>
      <c r="EF174" s="230">
        <v>2497901</v>
      </c>
      <c r="EG174" s="230">
        <v>4374703</v>
      </c>
      <c r="EH174" s="229">
        <v>-0.42899999999999999</v>
      </c>
      <c r="EI174" s="229">
        <v>0.46899999999999997</v>
      </c>
      <c r="EJ174" s="231">
        <v>74404.63</v>
      </c>
      <c r="EK174" s="231">
        <v>30434.94</v>
      </c>
      <c r="EL174" s="231">
        <v>17765.47</v>
      </c>
      <c r="EM174" s="231">
        <v>20467</v>
      </c>
      <c r="EN174" s="231">
        <v>122605.04</v>
      </c>
      <c r="EO174" s="231">
        <v>245457.34</v>
      </c>
      <c r="EP174" s="231">
        <v>-122852.3</v>
      </c>
      <c r="EQ174" s="229">
        <v>-0.50049999999999994</v>
      </c>
      <c r="ER174" s="231">
        <v>103393</v>
      </c>
      <c r="ES174" s="231">
        <v>56581</v>
      </c>
      <c r="ET174" s="231">
        <v>235918</v>
      </c>
      <c r="EU174" s="231">
        <v>187084550</v>
      </c>
      <c r="EV174" s="231">
        <v>395893</v>
      </c>
      <c r="EW174" s="231">
        <v>383909</v>
      </c>
      <c r="EX174" s="231">
        <v>11984</v>
      </c>
      <c r="EY174" s="229">
        <v>3.1199999999999999E-2</v>
      </c>
      <c r="EZ174" s="229">
        <v>0.58230000000000004</v>
      </c>
      <c r="FA174" s="227" t="s">
        <v>555</v>
      </c>
      <c r="FB174" s="161">
        <f t="shared" si="4"/>
        <v>0</v>
      </c>
    </row>
    <row r="175" spans="1:158" ht="17.25" thickBot="1" x14ac:dyDescent="0.3">
      <c r="A175" s="226">
        <v>46146</v>
      </c>
      <c r="B175" s="227" t="s">
        <v>193</v>
      </c>
      <c r="C175" s="227" t="s">
        <v>281</v>
      </c>
      <c r="D175" s="228">
        <v>500</v>
      </c>
      <c r="E175" s="231">
        <v>1467</v>
      </c>
      <c r="F175" s="231">
        <v>1435.2</v>
      </c>
      <c r="G175" s="228">
        <v>31.8</v>
      </c>
      <c r="H175" s="229">
        <v>2.2200000000000001E-2</v>
      </c>
      <c r="I175" s="231">
        <v>1463.1</v>
      </c>
      <c r="J175" s="231">
        <v>1430.8</v>
      </c>
      <c r="K175" s="228">
        <v>32.299999999999997</v>
      </c>
      <c r="L175" s="229">
        <v>2.2599999999999999E-2</v>
      </c>
      <c r="M175" s="231">
        <v>1467</v>
      </c>
      <c r="N175" s="231">
        <v>1435.2</v>
      </c>
      <c r="O175" s="228">
        <v>31.8</v>
      </c>
      <c r="P175" s="229">
        <v>2.2200000000000001E-2</v>
      </c>
      <c r="Q175" s="231">
        <v>1476.3</v>
      </c>
      <c r="R175" s="231">
        <v>1444</v>
      </c>
      <c r="S175" s="228">
        <v>32.299999999999997</v>
      </c>
      <c r="T175" s="229">
        <v>2.24E-2</v>
      </c>
      <c r="U175" s="231">
        <v>1483.7</v>
      </c>
      <c r="V175" s="231">
        <v>1451.9</v>
      </c>
      <c r="W175" s="228">
        <v>31.8</v>
      </c>
      <c r="X175" s="229">
        <v>2.1899999999999999E-2</v>
      </c>
      <c r="Y175" s="228">
        <v>3.9</v>
      </c>
      <c r="Z175" s="228">
        <v>4.4000000000000004</v>
      </c>
      <c r="AA175" s="228">
        <v>-0.5</v>
      </c>
      <c r="AB175" s="229">
        <v>2.7000000000000001E-3</v>
      </c>
      <c r="AC175" s="228">
        <v>3.9</v>
      </c>
      <c r="AD175" s="228">
        <v>4.4000000000000004</v>
      </c>
      <c r="AE175" s="228">
        <v>-0.5</v>
      </c>
      <c r="AF175" s="229">
        <v>2.7000000000000001E-3</v>
      </c>
      <c r="AG175" s="228">
        <v>13.2</v>
      </c>
      <c r="AH175" s="228">
        <v>13.2</v>
      </c>
      <c r="AI175" s="228">
        <v>0</v>
      </c>
      <c r="AJ175" s="229">
        <v>8.9999999999999993E-3</v>
      </c>
      <c r="AK175" s="228">
        <v>20.6</v>
      </c>
      <c r="AL175" s="228">
        <v>21.1</v>
      </c>
      <c r="AM175" s="228">
        <v>-0.5</v>
      </c>
      <c r="AN175" s="229">
        <v>1.41E-2</v>
      </c>
      <c r="AO175" s="231">
        <v>1457.18</v>
      </c>
      <c r="AP175" s="231">
        <v>1465.24</v>
      </c>
      <c r="AQ175" s="228">
        <v>0</v>
      </c>
      <c r="AR175" s="230">
        <v>18166000</v>
      </c>
      <c r="AS175" s="230">
        <v>17235000</v>
      </c>
      <c r="AT175" s="230">
        <v>931000</v>
      </c>
      <c r="AU175" s="229">
        <v>5.3999999999999999E-2</v>
      </c>
      <c r="AV175" s="230">
        <v>16491500</v>
      </c>
      <c r="AW175" s="230">
        <v>15953000</v>
      </c>
      <c r="AX175" s="230">
        <v>538500</v>
      </c>
      <c r="AY175" s="229">
        <v>3.3799999999999997E-2</v>
      </c>
      <c r="AZ175" s="230">
        <v>1490000</v>
      </c>
      <c r="BA175" s="230">
        <v>1074500</v>
      </c>
      <c r="BB175" s="230">
        <v>415500</v>
      </c>
      <c r="BC175" s="229">
        <v>0.38669999999999999</v>
      </c>
      <c r="BD175" s="230">
        <v>184500</v>
      </c>
      <c r="BE175" s="230">
        <v>207500</v>
      </c>
      <c r="BF175" s="230">
        <v>-23000</v>
      </c>
      <c r="BG175" s="229">
        <v>-0.1108</v>
      </c>
      <c r="BH175" s="230">
        <v>94791500</v>
      </c>
      <c r="BI175" s="230">
        <v>82327500</v>
      </c>
      <c r="BJ175" s="230">
        <v>12464000</v>
      </c>
      <c r="BK175" s="229">
        <v>0.15140000000000001</v>
      </c>
      <c r="BL175" s="230">
        <v>62494500</v>
      </c>
      <c r="BM175" s="230">
        <v>55741500</v>
      </c>
      <c r="BN175" s="230">
        <v>6753000</v>
      </c>
      <c r="BO175" s="229">
        <v>0.1211</v>
      </c>
      <c r="BP175" s="230">
        <v>175452000</v>
      </c>
      <c r="BQ175" s="230">
        <v>155304000</v>
      </c>
      <c r="BR175" s="230">
        <v>20148000</v>
      </c>
      <c r="BS175" s="229">
        <v>0.12970000000000001</v>
      </c>
      <c r="BT175" s="230">
        <v>26893422</v>
      </c>
      <c r="BU175" s="230">
        <v>35699233</v>
      </c>
      <c r="BV175" s="230">
        <v>-8805811</v>
      </c>
      <c r="BW175" s="229">
        <v>-0.2467</v>
      </c>
      <c r="BX175" s="230">
        <v>98839500</v>
      </c>
      <c r="BY175" s="230">
        <v>100750000</v>
      </c>
      <c r="BZ175" s="230">
        <v>-1910500</v>
      </c>
      <c r="CA175" s="229">
        <v>-1.9E-2</v>
      </c>
      <c r="CB175" s="230">
        <v>79726500</v>
      </c>
      <c r="CC175" s="230">
        <v>82265000</v>
      </c>
      <c r="CD175" s="230">
        <v>-2538500</v>
      </c>
      <c r="CE175" s="229">
        <v>-3.09E-2</v>
      </c>
      <c r="CF175" s="230">
        <v>18848000</v>
      </c>
      <c r="CG175" s="230">
        <v>18272000</v>
      </c>
      <c r="CH175" s="230">
        <v>576000</v>
      </c>
      <c r="CI175" s="229">
        <v>3.15E-2</v>
      </c>
      <c r="CJ175" s="230">
        <v>265000</v>
      </c>
      <c r="CK175" s="230">
        <v>213000</v>
      </c>
      <c r="CL175" s="230">
        <v>52000</v>
      </c>
      <c r="CM175" s="229">
        <v>0.24410000000000001</v>
      </c>
      <c r="CN175" s="230">
        <v>40771000</v>
      </c>
      <c r="CO175" s="230">
        <v>40413500</v>
      </c>
      <c r="CP175" s="230">
        <v>357500</v>
      </c>
      <c r="CQ175" s="229">
        <v>8.8000000000000005E-3</v>
      </c>
      <c r="CR175" s="230">
        <v>37435500</v>
      </c>
      <c r="CS175" s="230">
        <v>34506500</v>
      </c>
      <c r="CT175" s="230">
        <v>2929000</v>
      </c>
      <c r="CU175" s="229">
        <v>8.4900000000000003E-2</v>
      </c>
      <c r="CV175" s="230">
        <v>177046000</v>
      </c>
      <c r="CW175" s="230">
        <v>175670000</v>
      </c>
      <c r="CX175" s="230">
        <v>1376000</v>
      </c>
      <c r="CY175" s="229">
        <v>7.7999999999999996E-3</v>
      </c>
      <c r="CZ175" s="228">
        <v>21.84</v>
      </c>
      <c r="DA175" s="228">
        <v>21.93</v>
      </c>
      <c r="DB175" s="228">
        <v>-0.09</v>
      </c>
      <c r="DC175" s="228">
        <v>-0.09</v>
      </c>
      <c r="DD175" s="228">
        <v>26.73</v>
      </c>
      <c r="DE175" s="228">
        <v>26.63</v>
      </c>
      <c r="DF175" s="228">
        <v>-4.8899999999999997</v>
      </c>
      <c r="DG175" s="228">
        <v>0.1</v>
      </c>
      <c r="DH175" s="228">
        <v>20.190000000000001</v>
      </c>
      <c r="DI175" s="228">
        <v>20.73</v>
      </c>
      <c r="DJ175" s="228">
        <v>-0.54</v>
      </c>
      <c r="DK175" s="228">
        <v>-0.54</v>
      </c>
      <c r="DL175" s="228">
        <v>24.35</v>
      </c>
      <c r="DM175" s="228">
        <v>23.7</v>
      </c>
      <c r="DN175" s="228">
        <v>0.65</v>
      </c>
      <c r="DO175" s="228">
        <v>0.65</v>
      </c>
      <c r="DP175" s="228">
        <v>0.92</v>
      </c>
      <c r="DQ175" s="228">
        <v>0.85</v>
      </c>
      <c r="DR175" s="228">
        <v>7.0000000000000007E-2</v>
      </c>
      <c r="DS175" s="229">
        <v>8.2400000000000001E-2</v>
      </c>
      <c r="DT175" s="231">
        <v>1500</v>
      </c>
      <c r="DU175" s="231">
        <v>1400</v>
      </c>
      <c r="DV175" s="228">
        <v>0.66</v>
      </c>
      <c r="DW175" s="228">
        <v>0.68</v>
      </c>
      <c r="DX175" s="228">
        <v>-0.02</v>
      </c>
      <c r="DY175" s="229">
        <v>-2.9399999999999999E-2</v>
      </c>
      <c r="DZ175" s="229">
        <v>0.19339999999999999</v>
      </c>
      <c r="EA175" s="230">
        <v>18485000</v>
      </c>
      <c r="EB175" s="229">
        <v>6.3E-3</v>
      </c>
      <c r="EC175" s="229">
        <v>0.19339999999999999</v>
      </c>
      <c r="ED175" s="228">
        <v>8.06</v>
      </c>
      <c r="EE175" s="229">
        <v>5.4999999999999997E-3</v>
      </c>
      <c r="EF175" s="230">
        <v>18837998</v>
      </c>
      <c r="EG175" s="230">
        <v>19090599</v>
      </c>
      <c r="EH175" s="229">
        <v>-1.32E-2</v>
      </c>
      <c r="EI175" s="229">
        <v>0.70050000000000001</v>
      </c>
      <c r="EJ175" s="231">
        <v>1430891.06</v>
      </c>
      <c r="EK175" s="231">
        <v>884578.36</v>
      </c>
      <c r="EL175" s="231">
        <v>264859.36</v>
      </c>
      <c r="EM175" s="231">
        <v>82601</v>
      </c>
      <c r="EN175" s="231">
        <v>2580328.7799999998</v>
      </c>
      <c r="EO175" s="231">
        <v>2242280.17</v>
      </c>
      <c r="EP175" s="231">
        <v>338048.61</v>
      </c>
      <c r="EQ175" s="229">
        <v>0.15079999999999999</v>
      </c>
      <c r="ER175" s="231">
        <v>599461</v>
      </c>
      <c r="ES175" s="231">
        <v>513031</v>
      </c>
      <c r="ET175" s="231">
        <v>1451773</v>
      </c>
      <c r="EU175" s="231">
        <v>664381721</v>
      </c>
      <c r="EV175" s="231">
        <v>2564265</v>
      </c>
      <c r="EW175" s="231">
        <v>2503567</v>
      </c>
      <c r="EX175" s="231">
        <v>60698</v>
      </c>
      <c r="EY175" s="229">
        <v>2.4199999999999999E-2</v>
      </c>
      <c r="EZ175" s="229">
        <v>0.26650000000000001</v>
      </c>
      <c r="FA175" s="227" t="s">
        <v>691</v>
      </c>
      <c r="FB175" s="161">
        <f t="shared" si="4"/>
        <v>0</v>
      </c>
    </row>
    <row r="176" spans="1:158" ht="17.25" thickBot="1" x14ac:dyDescent="0.3">
      <c r="A176" s="226">
        <v>46146</v>
      </c>
      <c r="B176" s="227" t="s">
        <v>215</v>
      </c>
      <c r="C176" s="227" t="s">
        <v>672</v>
      </c>
      <c r="D176" s="228">
        <v>1525</v>
      </c>
      <c r="E176" s="228">
        <v>293.3</v>
      </c>
      <c r="F176" s="228">
        <v>297.16000000000003</v>
      </c>
      <c r="G176" s="228">
        <v>-3.86</v>
      </c>
      <c r="H176" s="229">
        <v>-1.2999999999999999E-2</v>
      </c>
      <c r="I176" s="228">
        <v>296.64999999999998</v>
      </c>
      <c r="J176" s="228">
        <v>297.64999999999998</v>
      </c>
      <c r="K176" s="228">
        <v>-1</v>
      </c>
      <c r="L176" s="229">
        <v>-3.3999999999999998E-3</v>
      </c>
      <c r="M176" s="228">
        <v>293.3</v>
      </c>
      <c r="N176" s="228">
        <v>297.16000000000003</v>
      </c>
      <c r="O176" s="228">
        <v>-3.86</v>
      </c>
      <c r="P176" s="229">
        <v>-1.2999999999999999E-2</v>
      </c>
      <c r="Q176" s="228">
        <v>283.10000000000002</v>
      </c>
      <c r="R176" s="228">
        <v>287.39999999999998</v>
      </c>
      <c r="S176" s="228">
        <v>-4.3</v>
      </c>
      <c r="T176" s="229">
        <v>-1.4999999999999999E-2</v>
      </c>
      <c r="U176" s="228">
        <v>278.14999999999998</v>
      </c>
      <c r="V176" s="228">
        <v>282.14</v>
      </c>
      <c r="W176" s="228">
        <v>-3.99</v>
      </c>
      <c r="X176" s="229">
        <v>-1.41E-2</v>
      </c>
      <c r="Y176" s="228">
        <v>-3.35</v>
      </c>
      <c r="Z176" s="228">
        <v>-0.49</v>
      </c>
      <c r="AA176" s="228">
        <v>-2.86</v>
      </c>
      <c r="AB176" s="229">
        <v>-1.1299999999999999E-2</v>
      </c>
      <c r="AC176" s="228">
        <v>-3.35</v>
      </c>
      <c r="AD176" s="228">
        <v>-0.49</v>
      </c>
      <c r="AE176" s="228">
        <v>-2.86</v>
      </c>
      <c r="AF176" s="229">
        <v>-1.1299999999999999E-2</v>
      </c>
      <c r="AG176" s="228">
        <v>-13.55</v>
      </c>
      <c r="AH176" s="228">
        <v>-10.25</v>
      </c>
      <c r="AI176" s="228">
        <v>-3.3</v>
      </c>
      <c r="AJ176" s="229">
        <v>-4.5699999999999998E-2</v>
      </c>
      <c r="AK176" s="228">
        <v>-18.5</v>
      </c>
      <c r="AL176" s="228">
        <v>-15.51</v>
      </c>
      <c r="AM176" s="228">
        <v>-2.99</v>
      </c>
      <c r="AN176" s="229">
        <v>-6.2399999999999997E-2</v>
      </c>
      <c r="AO176" s="228">
        <v>295.29000000000002</v>
      </c>
      <c r="AP176" s="228">
        <v>286.51</v>
      </c>
      <c r="AQ176" s="228">
        <v>0</v>
      </c>
      <c r="AR176" s="230">
        <v>11152325</v>
      </c>
      <c r="AS176" s="230">
        <v>6299775</v>
      </c>
      <c r="AT176" s="230">
        <v>4852550</v>
      </c>
      <c r="AU176" s="229">
        <v>0.77029999999999998</v>
      </c>
      <c r="AV176" s="230">
        <v>8169425</v>
      </c>
      <c r="AW176" s="230">
        <v>4631425</v>
      </c>
      <c r="AX176" s="230">
        <v>3538000</v>
      </c>
      <c r="AY176" s="229">
        <v>0.76390000000000002</v>
      </c>
      <c r="AZ176" s="230">
        <v>2491850</v>
      </c>
      <c r="BA176" s="230">
        <v>1210850</v>
      </c>
      <c r="BB176" s="230">
        <v>1281000</v>
      </c>
      <c r="BC176" s="229">
        <v>1.0579000000000001</v>
      </c>
      <c r="BD176" s="230">
        <v>491050</v>
      </c>
      <c r="BE176" s="230">
        <v>457500</v>
      </c>
      <c r="BF176" s="230">
        <v>33550</v>
      </c>
      <c r="BG176" s="229">
        <v>7.3300000000000004E-2</v>
      </c>
      <c r="BH176" s="230">
        <v>13734150</v>
      </c>
      <c r="BI176" s="230">
        <v>7451150</v>
      </c>
      <c r="BJ176" s="230">
        <v>6283000</v>
      </c>
      <c r="BK176" s="229">
        <v>0.84319999999999995</v>
      </c>
      <c r="BL176" s="230">
        <v>5133150</v>
      </c>
      <c r="BM176" s="230">
        <v>3565450</v>
      </c>
      <c r="BN176" s="230">
        <v>1567700</v>
      </c>
      <c r="BO176" s="229">
        <v>0.43969999999999998</v>
      </c>
      <c r="BP176" s="230">
        <v>30019625</v>
      </c>
      <c r="BQ176" s="230">
        <v>17316375</v>
      </c>
      <c r="BR176" s="230">
        <v>12703250</v>
      </c>
      <c r="BS176" s="229">
        <v>0.73360000000000003</v>
      </c>
      <c r="BT176" s="230">
        <v>5544034</v>
      </c>
      <c r="BU176" s="230">
        <v>6126484</v>
      </c>
      <c r="BV176" s="230">
        <v>-582450</v>
      </c>
      <c r="BW176" s="229">
        <v>-9.5100000000000004E-2</v>
      </c>
      <c r="BX176" s="230">
        <v>53929000</v>
      </c>
      <c r="BY176" s="230">
        <v>49514025</v>
      </c>
      <c r="BZ176" s="230">
        <v>4414975</v>
      </c>
      <c r="CA176" s="229">
        <v>8.9200000000000002E-2</v>
      </c>
      <c r="CB176" s="230">
        <v>48011575</v>
      </c>
      <c r="CC176" s="230">
        <v>45022575</v>
      </c>
      <c r="CD176" s="230">
        <v>2989000</v>
      </c>
      <c r="CE176" s="229">
        <v>6.6400000000000001E-2</v>
      </c>
      <c r="CF176" s="230">
        <v>4190700</v>
      </c>
      <c r="CG176" s="230">
        <v>3322975</v>
      </c>
      <c r="CH176" s="230">
        <v>867725</v>
      </c>
      <c r="CI176" s="229">
        <v>0.2611</v>
      </c>
      <c r="CJ176" s="230">
        <v>1726725</v>
      </c>
      <c r="CK176" s="230">
        <v>1168475</v>
      </c>
      <c r="CL176" s="230">
        <v>558250</v>
      </c>
      <c r="CM176" s="229">
        <v>0.4778</v>
      </c>
      <c r="CN176" s="230">
        <v>12849650</v>
      </c>
      <c r="CO176" s="230">
        <v>10720750</v>
      </c>
      <c r="CP176" s="230">
        <v>2128900</v>
      </c>
      <c r="CQ176" s="229">
        <v>0.1986</v>
      </c>
      <c r="CR176" s="230">
        <v>7854150</v>
      </c>
      <c r="CS176" s="230">
        <v>7374900</v>
      </c>
      <c r="CT176" s="230">
        <v>479250</v>
      </c>
      <c r="CU176" s="229">
        <v>6.5000000000000002E-2</v>
      </c>
      <c r="CV176" s="230">
        <v>74632800</v>
      </c>
      <c r="CW176" s="230">
        <v>67609675</v>
      </c>
      <c r="CX176" s="230">
        <v>7023125</v>
      </c>
      <c r="CY176" s="229">
        <v>0.10390000000000001</v>
      </c>
      <c r="CZ176" s="228">
        <v>46.87</v>
      </c>
      <c r="DA176" s="228">
        <v>46.63</v>
      </c>
      <c r="DB176" s="228">
        <v>0.24</v>
      </c>
      <c r="DC176" s="228">
        <v>0.24</v>
      </c>
      <c r="DD176" s="228">
        <v>57.41</v>
      </c>
      <c r="DE176" s="228">
        <v>57.52</v>
      </c>
      <c r="DF176" s="228">
        <v>-10.54</v>
      </c>
      <c r="DG176" s="228">
        <v>-0.11</v>
      </c>
      <c r="DH176" s="228">
        <v>47.32</v>
      </c>
      <c r="DI176" s="228">
        <v>46.68</v>
      </c>
      <c r="DJ176" s="228">
        <v>0.64</v>
      </c>
      <c r="DK176" s="228">
        <v>0.64</v>
      </c>
      <c r="DL176" s="228">
        <v>45.65</v>
      </c>
      <c r="DM176" s="228">
        <v>46.52</v>
      </c>
      <c r="DN176" s="228">
        <v>-0.87</v>
      </c>
      <c r="DO176" s="228">
        <v>-0.87</v>
      </c>
      <c r="DP176" s="228">
        <v>0.61</v>
      </c>
      <c r="DQ176" s="228">
        <v>0.69</v>
      </c>
      <c r="DR176" s="228">
        <v>-0.08</v>
      </c>
      <c r="DS176" s="229">
        <v>-0.1159</v>
      </c>
      <c r="DT176" s="228">
        <v>350</v>
      </c>
      <c r="DU176" s="228">
        <v>290</v>
      </c>
      <c r="DV176" s="228">
        <v>0.37</v>
      </c>
      <c r="DW176" s="228">
        <v>0.48</v>
      </c>
      <c r="DX176" s="228">
        <v>-0.11</v>
      </c>
      <c r="DY176" s="229">
        <v>-0.22919999999999999</v>
      </c>
      <c r="DZ176" s="229">
        <v>0.10970000000000001</v>
      </c>
      <c r="EA176" s="230">
        <v>4491450</v>
      </c>
      <c r="EB176" s="229">
        <v>-3.4799999999999998E-2</v>
      </c>
      <c r="EC176" s="229">
        <v>0.10970000000000001</v>
      </c>
      <c r="ED176" s="228">
        <v>-8.7799999999999994</v>
      </c>
      <c r="EE176" s="229">
        <v>-2.9700000000000001E-2</v>
      </c>
      <c r="EF176" s="230">
        <v>1223390</v>
      </c>
      <c r="EG176" s="230">
        <v>1843425</v>
      </c>
      <c r="EH176" s="229">
        <v>-0.33629999999999999</v>
      </c>
      <c r="EI176" s="229">
        <v>0.22070000000000001</v>
      </c>
      <c r="EJ176" s="231">
        <v>44284.23</v>
      </c>
      <c r="EK176" s="231">
        <v>15331.3</v>
      </c>
      <c r="EL176" s="231">
        <v>32999.26</v>
      </c>
      <c r="EM176" s="231">
        <v>10673</v>
      </c>
      <c r="EN176" s="231">
        <v>92614.79</v>
      </c>
      <c r="EO176" s="231">
        <v>52937.34</v>
      </c>
      <c r="EP176" s="231">
        <v>39677.449999999997</v>
      </c>
      <c r="EQ176" s="229">
        <v>0.74950000000000006</v>
      </c>
      <c r="ER176" s="231">
        <v>40240</v>
      </c>
      <c r="ES176" s="231">
        <v>22761</v>
      </c>
      <c r="ET176" s="231">
        <v>157485</v>
      </c>
      <c r="EU176" s="231">
        <v>84941460</v>
      </c>
      <c r="EV176" s="231">
        <v>220485</v>
      </c>
      <c r="EW176" s="231">
        <v>201633</v>
      </c>
      <c r="EX176" s="231">
        <v>18852</v>
      </c>
      <c r="EY176" s="229">
        <v>9.35E-2</v>
      </c>
      <c r="EZ176" s="229">
        <v>0.87860000000000005</v>
      </c>
      <c r="FA176" s="227" t="s">
        <v>566</v>
      </c>
      <c r="FB176" s="161">
        <f t="shared" si="4"/>
        <v>0</v>
      </c>
    </row>
    <row r="177" spans="1:158" ht="17.25" thickBot="1" x14ac:dyDescent="0.3">
      <c r="A177" s="226">
        <v>46146</v>
      </c>
      <c r="B177" s="227" t="s">
        <v>227</v>
      </c>
      <c r="C177" s="227" t="s">
        <v>282</v>
      </c>
      <c r="D177" s="228">
        <v>4700</v>
      </c>
      <c r="E177" s="228">
        <v>187.43</v>
      </c>
      <c r="F177" s="228">
        <v>185.83</v>
      </c>
      <c r="G177" s="228">
        <v>1.6</v>
      </c>
      <c r="H177" s="229">
        <v>8.6E-3</v>
      </c>
      <c r="I177" s="228">
        <v>186.15</v>
      </c>
      <c r="J177" s="228">
        <v>184.62</v>
      </c>
      <c r="K177" s="228">
        <v>1.53</v>
      </c>
      <c r="L177" s="229">
        <v>8.3000000000000001E-3</v>
      </c>
      <c r="M177" s="228">
        <v>187.43</v>
      </c>
      <c r="N177" s="228">
        <v>185.83</v>
      </c>
      <c r="O177" s="228">
        <v>1.6</v>
      </c>
      <c r="P177" s="229">
        <v>8.6E-3</v>
      </c>
      <c r="Q177" s="228">
        <v>188.63</v>
      </c>
      <c r="R177" s="228">
        <v>187.01</v>
      </c>
      <c r="S177" s="228">
        <v>1.62</v>
      </c>
      <c r="T177" s="229">
        <v>8.6999999999999994E-3</v>
      </c>
      <c r="U177" s="228">
        <v>189.87</v>
      </c>
      <c r="V177" s="228">
        <v>188.12</v>
      </c>
      <c r="W177" s="228">
        <v>1.75</v>
      </c>
      <c r="X177" s="229">
        <v>9.2999999999999992E-3</v>
      </c>
      <c r="Y177" s="228">
        <v>1.28</v>
      </c>
      <c r="Z177" s="228">
        <v>1.21</v>
      </c>
      <c r="AA177" s="228">
        <v>7.0000000000000007E-2</v>
      </c>
      <c r="AB177" s="229">
        <v>6.8999999999999999E-3</v>
      </c>
      <c r="AC177" s="228">
        <v>1.28</v>
      </c>
      <c r="AD177" s="228">
        <v>1.21</v>
      </c>
      <c r="AE177" s="228">
        <v>7.0000000000000007E-2</v>
      </c>
      <c r="AF177" s="229">
        <v>6.8999999999999999E-3</v>
      </c>
      <c r="AG177" s="228">
        <v>2.48</v>
      </c>
      <c r="AH177" s="228">
        <v>2.39</v>
      </c>
      <c r="AI177" s="228">
        <v>0.09</v>
      </c>
      <c r="AJ177" s="229">
        <v>1.3299999999999999E-2</v>
      </c>
      <c r="AK177" s="228">
        <v>3.72</v>
      </c>
      <c r="AL177" s="228">
        <v>3.5</v>
      </c>
      <c r="AM177" s="228">
        <v>0.22</v>
      </c>
      <c r="AN177" s="229">
        <v>0.02</v>
      </c>
      <c r="AO177" s="228">
        <v>187.23</v>
      </c>
      <c r="AP177" s="228">
        <v>188.42</v>
      </c>
      <c r="AQ177" s="228">
        <v>0</v>
      </c>
      <c r="AR177" s="230">
        <v>15918900</v>
      </c>
      <c r="AS177" s="230">
        <v>35532000</v>
      </c>
      <c r="AT177" s="230">
        <v>-19613100</v>
      </c>
      <c r="AU177" s="229">
        <v>-0.55200000000000005</v>
      </c>
      <c r="AV177" s="230">
        <v>14231600</v>
      </c>
      <c r="AW177" s="230">
        <v>33224300</v>
      </c>
      <c r="AX177" s="230">
        <v>-18992700</v>
      </c>
      <c r="AY177" s="229">
        <v>-0.57169999999999999</v>
      </c>
      <c r="AZ177" s="230">
        <v>1438200</v>
      </c>
      <c r="BA177" s="230">
        <v>2091500</v>
      </c>
      <c r="BB177" s="230">
        <v>-653300</v>
      </c>
      <c r="BC177" s="229">
        <v>-0.31240000000000001</v>
      </c>
      <c r="BD177" s="230">
        <v>249100</v>
      </c>
      <c r="BE177" s="230">
        <v>216200</v>
      </c>
      <c r="BF177" s="230">
        <v>32900</v>
      </c>
      <c r="BG177" s="229">
        <v>0.1522</v>
      </c>
      <c r="BH177" s="230">
        <v>8934700</v>
      </c>
      <c r="BI177" s="230">
        <v>14001300</v>
      </c>
      <c r="BJ177" s="230">
        <v>-5066600</v>
      </c>
      <c r="BK177" s="229">
        <v>-0.3619</v>
      </c>
      <c r="BL177" s="230">
        <v>6326200</v>
      </c>
      <c r="BM177" s="230">
        <v>7261500</v>
      </c>
      <c r="BN177" s="230">
        <v>-935300</v>
      </c>
      <c r="BO177" s="229">
        <v>-0.1288</v>
      </c>
      <c r="BP177" s="230">
        <v>31179800</v>
      </c>
      <c r="BQ177" s="230">
        <v>56794800</v>
      </c>
      <c r="BR177" s="230">
        <v>-25615000</v>
      </c>
      <c r="BS177" s="229">
        <v>-0.45100000000000001</v>
      </c>
      <c r="BT177" s="230">
        <v>20745600</v>
      </c>
      <c r="BU177" s="230">
        <v>31290012</v>
      </c>
      <c r="BV177" s="230">
        <v>-10544412</v>
      </c>
      <c r="BW177" s="229">
        <v>-0.33700000000000002</v>
      </c>
      <c r="BX177" s="230">
        <v>193259300</v>
      </c>
      <c r="BY177" s="230">
        <v>186590000</v>
      </c>
      <c r="BZ177" s="230">
        <v>6669300</v>
      </c>
      <c r="CA177" s="229">
        <v>3.5700000000000003E-2</v>
      </c>
      <c r="CB177" s="230">
        <v>190942200</v>
      </c>
      <c r="CC177" s="230">
        <v>184987300</v>
      </c>
      <c r="CD177" s="230">
        <v>5954900</v>
      </c>
      <c r="CE177" s="229">
        <v>3.2199999999999999E-2</v>
      </c>
      <c r="CF177" s="230">
        <v>1955200</v>
      </c>
      <c r="CG177" s="230">
        <v>1447600</v>
      </c>
      <c r="CH177" s="230">
        <v>507600</v>
      </c>
      <c r="CI177" s="229">
        <v>0.35060000000000002</v>
      </c>
      <c r="CJ177" s="230">
        <v>361900</v>
      </c>
      <c r="CK177" s="230">
        <v>155100</v>
      </c>
      <c r="CL177" s="230">
        <v>206800</v>
      </c>
      <c r="CM177" s="229">
        <v>1.3332999999999999</v>
      </c>
      <c r="CN177" s="230">
        <v>6702200</v>
      </c>
      <c r="CO177" s="230">
        <v>6641100</v>
      </c>
      <c r="CP177" s="230">
        <v>61100</v>
      </c>
      <c r="CQ177" s="229">
        <v>9.1999999999999998E-3</v>
      </c>
      <c r="CR177" s="230">
        <v>4761100</v>
      </c>
      <c r="CS177" s="230">
        <v>3684800</v>
      </c>
      <c r="CT177" s="230">
        <v>1076300</v>
      </c>
      <c r="CU177" s="229">
        <v>0.29210000000000003</v>
      </c>
      <c r="CV177" s="230">
        <v>204722600</v>
      </c>
      <c r="CW177" s="230">
        <v>196915900</v>
      </c>
      <c r="CX177" s="230">
        <v>7806700</v>
      </c>
      <c r="CY177" s="229">
        <v>3.9600000000000003E-2</v>
      </c>
      <c r="CZ177" s="228">
        <v>36.99</v>
      </c>
      <c r="DA177" s="228">
        <v>42.63</v>
      </c>
      <c r="DB177" s="228">
        <v>-5.64</v>
      </c>
      <c r="DC177" s="228">
        <v>-5.64</v>
      </c>
      <c r="DD177" s="228">
        <v>43.8</v>
      </c>
      <c r="DE177" s="228">
        <v>43.9</v>
      </c>
      <c r="DF177" s="228">
        <v>-6.81</v>
      </c>
      <c r="DG177" s="228">
        <v>-0.1</v>
      </c>
      <c r="DH177" s="228">
        <v>36.9</v>
      </c>
      <c r="DI177" s="228">
        <v>42.89</v>
      </c>
      <c r="DJ177" s="228">
        <v>-5.99</v>
      </c>
      <c r="DK177" s="228">
        <v>-5.99</v>
      </c>
      <c r="DL177" s="228">
        <v>37.11</v>
      </c>
      <c r="DM177" s="228">
        <v>42.14</v>
      </c>
      <c r="DN177" s="228">
        <v>-5.03</v>
      </c>
      <c r="DO177" s="228">
        <v>-5.03</v>
      </c>
      <c r="DP177" s="228">
        <v>0.71</v>
      </c>
      <c r="DQ177" s="228">
        <v>0.55000000000000004</v>
      </c>
      <c r="DR177" s="228">
        <v>0.16</v>
      </c>
      <c r="DS177" s="229">
        <v>0.29089999999999999</v>
      </c>
      <c r="DT177" s="228">
        <v>180</v>
      </c>
      <c r="DU177" s="228">
        <v>180</v>
      </c>
      <c r="DV177" s="228">
        <v>0.71</v>
      </c>
      <c r="DW177" s="228">
        <v>0.52</v>
      </c>
      <c r="DX177" s="228">
        <v>0.19</v>
      </c>
      <c r="DY177" s="229">
        <v>0.3654</v>
      </c>
      <c r="DZ177" s="229">
        <v>1.2E-2</v>
      </c>
      <c r="EA177" s="230">
        <v>1602700</v>
      </c>
      <c r="EB177" s="229">
        <v>6.4000000000000003E-3</v>
      </c>
      <c r="EC177" s="229">
        <v>1.2E-2</v>
      </c>
      <c r="ED177" s="228">
        <v>1.19</v>
      </c>
      <c r="EE177" s="229">
        <v>6.4000000000000003E-3</v>
      </c>
      <c r="EF177" s="230">
        <v>9098711</v>
      </c>
      <c r="EG177" s="230">
        <v>14131251</v>
      </c>
      <c r="EH177" s="229">
        <v>-0.35610000000000003</v>
      </c>
      <c r="EI177" s="229">
        <v>0.43859999999999999</v>
      </c>
      <c r="EJ177" s="231">
        <v>17949.82</v>
      </c>
      <c r="EK177" s="231">
        <v>11153.19</v>
      </c>
      <c r="EL177" s="231">
        <v>29827.46</v>
      </c>
      <c r="EM177" s="231">
        <v>12381</v>
      </c>
      <c r="EN177" s="231">
        <v>58930.47</v>
      </c>
      <c r="EO177" s="231">
        <v>106430.31</v>
      </c>
      <c r="EP177" s="231">
        <v>-47499.839999999997</v>
      </c>
      <c r="EQ177" s="229">
        <v>-0.44629999999999997</v>
      </c>
      <c r="ER177" s="231">
        <v>12771</v>
      </c>
      <c r="ES177" s="231">
        <v>8418</v>
      </c>
      <c r="ET177" s="231">
        <v>362258</v>
      </c>
      <c r="EU177" s="231">
        <v>216861410</v>
      </c>
      <c r="EV177" s="231">
        <v>383447</v>
      </c>
      <c r="EW177" s="231">
        <v>365975</v>
      </c>
      <c r="EX177" s="231">
        <v>17472</v>
      </c>
      <c r="EY177" s="229">
        <v>4.7699999999999999E-2</v>
      </c>
      <c r="EZ177" s="229">
        <v>0.94399999999999995</v>
      </c>
      <c r="FA177" s="227" t="s">
        <v>555</v>
      </c>
      <c r="FB177" s="161">
        <f t="shared" si="4"/>
        <v>0</v>
      </c>
    </row>
    <row r="178" spans="1:158" ht="17.25" thickBot="1" x14ac:dyDescent="0.3">
      <c r="A178" s="226">
        <v>46146</v>
      </c>
      <c r="B178" s="227" t="s">
        <v>175</v>
      </c>
      <c r="C178" s="227" t="s">
        <v>682</v>
      </c>
      <c r="D178" s="228">
        <v>4300</v>
      </c>
      <c r="E178" s="228">
        <v>148.02000000000001</v>
      </c>
      <c r="F178" s="228">
        <v>145.55000000000001</v>
      </c>
      <c r="G178" s="228">
        <v>2.4700000000000002</v>
      </c>
      <c r="H178" s="229">
        <v>1.7000000000000001E-2</v>
      </c>
      <c r="I178" s="228">
        <v>146.88999999999999</v>
      </c>
      <c r="J178" s="228">
        <v>144.61000000000001</v>
      </c>
      <c r="K178" s="228">
        <v>2.2799999999999998</v>
      </c>
      <c r="L178" s="229">
        <v>1.5800000000000002E-2</v>
      </c>
      <c r="M178" s="228">
        <v>148.02000000000001</v>
      </c>
      <c r="N178" s="228">
        <v>145.55000000000001</v>
      </c>
      <c r="O178" s="228">
        <v>2.4700000000000002</v>
      </c>
      <c r="P178" s="229">
        <v>1.7000000000000001E-2</v>
      </c>
      <c r="Q178" s="228">
        <v>149.01</v>
      </c>
      <c r="R178" s="228">
        <v>146.4</v>
      </c>
      <c r="S178" s="228">
        <v>2.61</v>
      </c>
      <c r="T178" s="229">
        <v>1.78E-2</v>
      </c>
      <c r="U178" s="228">
        <v>0</v>
      </c>
      <c r="V178" s="228">
        <v>0</v>
      </c>
      <c r="W178" s="228">
        <v>0</v>
      </c>
      <c r="X178" s="229">
        <v>0</v>
      </c>
      <c r="Y178" s="228">
        <v>1.1299999999999999</v>
      </c>
      <c r="Z178" s="228">
        <v>0.94</v>
      </c>
      <c r="AA178" s="228">
        <v>0.19</v>
      </c>
      <c r="AB178" s="229">
        <v>7.7000000000000002E-3</v>
      </c>
      <c r="AC178" s="228">
        <v>1.1299999999999999</v>
      </c>
      <c r="AD178" s="228">
        <v>0.94</v>
      </c>
      <c r="AE178" s="228">
        <v>0.19</v>
      </c>
      <c r="AF178" s="229">
        <v>7.7000000000000002E-3</v>
      </c>
      <c r="AG178" s="228">
        <v>2.12</v>
      </c>
      <c r="AH178" s="228">
        <v>1.79</v>
      </c>
      <c r="AI178" s="228">
        <v>0.33</v>
      </c>
      <c r="AJ178" s="229">
        <v>1.44E-2</v>
      </c>
      <c r="AK178" s="228">
        <v>0</v>
      </c>
      <c r="AL178" s="228">
        <v>0</v>
      </c>
      <c r="AM178" s="228">
        <v>0</v>
      </c>
      <c r="AN178" s="229">
        <v>0</v>
      </c>
      <c r="AO178" s="228">
        <v>148.22</v>
      </c>
      <c r="AP178" s="228">
        <v>149.12</v>
      </c>
      <c r="AQ178" s="228">
        <v>0</v>
      </c>
      <c r="AR178" s="230">
        <v>19754200</v>
      </c>
      <c r="AS178" s="230">
        <v>50112200</v>
      </c>
      <c r="AT178" s="230">
        <v>-30358000</v>
      </c>
      <c r="AU178" s="229">
        <v>-0.60580000000000001</v>
      </c>
      <c r="AV178" s="230">
        <v>18077200</v>
      </c>
      <c r="AW178" s="230">
        <v>48693200</v>
      </c>
      <c r="AX178" s="230">
        <v>-30616000</v>
      </c>
      <c r="AY178" s="229">
        <v>-0.62880000000000003</v>
      </c>
      <c r="AZ178" s="230">
        <v>1677000</v>
      </c>
      <c r="BA178" s="230">
        <v>1419000</v>
      </c>
      <c r="BB178" s="230">
        <v>258000</v>
      </c>
      <c r="BC178" s="229">
        <v>0.18179999999999999</v>
      </c>
      <c r="BD178" s="228">
        <v>0</v>
      </c>
      <c r="BE178" s="228">
        <v>0</v>
      </c>
      <c r="BF178" s="228">
        <v>0</v>
      </c>
      <c r="BG178" s="229">
        <v>0</v>
      </c>
      <c r="BH178" s="230">
        <v>20863600</v>
      </c>
      <c r="BI178" s="230">
        <v>45025300</v>
      </c>
      <c r="BJ178" s="230">
        <v>-24161700</v>
      </c>
      <c r="BK178" s="229">
        <v>-0.53659999999999997</v>
      </c>
      <c r="BL178" s="230">
        <v>7955000</v>
      </c>
      <c r="BM178" s="230">
        <v>15080100</v>
      </c>
      <c r="BN178" s="230">
        <v>-7125100</v>
      </c>
      <c r="BO178" s="229">
        <v>-0.47249999999999998</v>
      </c>
      <c r="BP178" s="230">
        <v>48572800</v>
      </c>
      <c r="BQ178" s="230">
        <v>110217600</v>
      </c>
      <c r="BR178" s="230">
        <v>-61644800</v>
      </c>
      <c r="BS178" s="229">
        <v>-0.55930000000000002</v>
      </c>
      <c r="BT178" s="230">
        <v>17877682</v>
      </c>
      <c r="BU178" s="230">
        <v>34222093</v>
      </c>
      <c r="BV178" s="230">
        <v>-16344411</v>
      </c>
      <c r="BW178" s="229">
        <v>-0.47760000000000002</v>
      </c>
      <c r="BX178" s="230">
        <v>108209500</v>
      </c>
      <c r="BY178" s="230">
        <v>110755100</v>
      </c>
      <c r="BZ178" s="230">
        <v>-2545600</v>
      </c>
      <c r="CA178" s="229">
        <v>-2.3E-2</v>
      </c>
      <c r="CB178" s="230">
        <v>103458000</v>
      </c>
      <c r="CC178" s="230">
        <v>106308900</v>
      </c>
      <c r="CD178" s="230">
        <v>-2850900</v>
      </c>
      <c r="CE178" s="229">
        <v>-2.6800000000000001E-2</v>
      </c>
      <c r="CF178" s="230">
        <v>4751500</v>
      </c>
      <c r="CG178" s="230">
        <v>4446200</v>
      </c>
      <c r="CH178" s="230">
        <v>305300</v>
      </c>
      <c r="CI178" s="229">
        <v>6.8699999999999997E-2</v>
      </c>
      <c r="CJ178" s="228">
        <v>0</v>
      </c>
      <c r="CK178" s="228">
        <v>0</v>
      </c>
      <c r="CL178" s="228">
        <v>0</v>
      </c>
      <c r="CM178" s="229">
        <v>0</v>
      </c>
      <c r="CN178" s="230">
        <v>20214300</v>
      </c>
      <c r="CO178" s="230">
        <v>19719800</v>
      </c>
      <c r="CP178" s="230">
        <v>494500</v>
      </c>
      <c r="CQ178" s="229">
        <v>2.5100000000000001E-2</v>
      </c>
      <c r="CR178" s="230">
        <v>13841700</v>
      </c>
      <c r="CS178" s="230">
        <v>13282700</v>
      </c>
      <c r="CT178" s="230">
        <v>559000</v>
      </c>
      <c r="CU178" s="229">
        <v>4.2099999999999999E-2</v>
      </c>
      <c r="CV178" s="230">
        <v>142265500</v>
      </c>
      <c r="CW178" s="230">
        <v>143757600</v>
      </c>
      <c r="CX178" s="230">
        <v>-1492100</v>
      </c>
      <c r="CY178" s="229">
        <v>-1.04E-2</v>
      </c>
      <c r="CZ178" s="228">
        <v>38.85</v>
      </c>
      <c r="DA178" s="228">
        <v>42.52</v>
      </c>
      <c r="DB178" s="228">
        <v>-3.67</v>
      </c>
      <c r="DC178" s="228">
        <v>-3.67</v>
      </c>
      <c r="DD178" s="228">
        <v>52.52</v>
      </c>
      <c r="DE178" s="228">
        <v>52.6</v>
      </c>
      <c r="DF178" s="228">
        <v>-13.67</v>
      </c>
      <c r="DG178" s="228">
        <v>-0.08</v>
      </c>
      <c r="DH178" s="228">
        <v>39.840000000000003</v>
      </c>
      <c r="DI178" s="228">
        <v>43.28</v>
      </c>
      <c r="DJ178" s="228">
        <v>-3.44</v>
      </c>
      <c r="DK178" s="228">
        <v>-3.44</v>
      </c>
      <c r="DL178" s="228">
        <v>36.28</v>
      </c>
      <c r="DM178" s="228">
        <v>40.25</v>
      </c>
      <c r="DN178" s="228">
        <v>-3.97</v>
      </c>
      <c r="DO178" s="228">
        <v>-3.97</v>
      </c>
      <c r="DP178" s="228">
        <v>0.68</v>
      </c>
      <c r="DQ178" s="228">
        <v>0.67</v>
      </c>
      <c r="DR178" s="228">
        <v>0.01</v>
      </c>
      <c r="DS178" s="229">
        <v>1.49E-2</v>
      </c>
      <c r="DT178" s="228">
        <v>150</v>
      </c>
      <c r="DU178" s="228">
        <v>140</v>
      </c>
      <c r="DV178" s="228">
        <v>0.38</v>
      </c>
      <c r="DW178" s="228">
        <v>0.33</v>
      </c>
      <c r="DX178" s="228">
        <v>0.05</v>
      </c>
      <c r="DY178" s="229">
        <v>0.1515</v>
      </c>
      <c r="DZ178" s="229">
        <v>4.3900000000000002E-2</v>
      </c>
      <c r="EA178" s="230">
        <v>4446200</v>
      </c>
      <c r="EB178" s="229">
        <v>6.7000000000000002E-3</v>
      </c>
      <c r="EC178" s="229">
        <v>4.3900000000000002E-2</v>
      </c>
      <c r="ED178" s="228">
        <v>0.9</v>
      </c>
      <c r="EE178" s="229">
        <v>6.1000000000000004E-3</v>
      </c>
      <c r="EF178" s="230">
        <v>6376064</v>
      </c>
      <c r="EG178" s="230">
        <v>11499381</v>
      </c>
      <c r="EH178" s="229">
        <v>-0.44550000000000001</v>
      </c>
      <c r="EI178" s="229">
        <v>0.35659999999999997</v>
      </c>
      <c r="EJ178" s="231">
        <v>33159.08</v>
      </c>
      <c r="EK178" s="231">
        <v>11124.42</v>
      </c>
      <c r="EL178" s="231">
        <v>29294.49</v>
      </c>
      <c r="EM178" s="231">
        <v>11661</v>
      </c>
      <c r="EN178" s="231">
        <v>73577.990000000005</v>
      </c>
      <c r="EO178" s="231">
        <v>163156.92000000001</v>
      </c>
      <c r="EP178" s="231">
        <v>-89578.93</v>
      </c>
      <c r="EQ178" s="229">
        <v>-0.54900000000000004</v>
      </c>
      <c r="ER178" s="231">
        <v>30945</v>
      </c>
      <c r="ES178" s="231">
        <v>19492</v>
      </c>
      <c r="ET178" s="231">
        <v>160219</v>
      </c>
      <c r="EU178" s="231">
        <v>122372064</v>
      </c>
      <c r="EV178" s="231">
        <v>210656</v>
      </c>
      <c r="EW178" s="231">
        <v>210047</v>
      </c>
      <c r="EX178" s="228">
        <v>609</v>
      </c>
      <c r="EY178" s="229">
        <v>2.8999999999999998E-3</v>
      </c>
      <c r="EZ178" s="229">
        <v>1.1626000000000001</v>
      </c>
      <c r="FA178" s="227" t="s">
        <v>691</v>
      </c>
      <c r="FB178" s="161">
        <f t="shared" si="4"/>
        <v>0</v>
      </c>
    </row>
    <row r="179" spans="1:158" ht="17.25" thickBot="1" x14ac:dyDescent="0.3">
      <c r="A179" s="226">
        <v>46146</v>
      </c>
      <c r="B179" s="227" t="s">
        <v>175</v>
      </c>
      <c r="C179" s="227" t="s">
        <v>536</v>
      </c>
      <c r="D179" s="228">
        <v>800</v>
      </c>
      <c r="E179" s="228">
        <v>647.29999999999995</v>
      </c>
      <c r="F179" s="228">
        <v>644.85</v>
      </c>
      <c r="G179" s="228">
        <v>2.4500000000000002</v>
      </c>
      <c r="H179" s="229">
        <v>3.8E-3</v>
      </c>
      <c r="I179" s="228">
        <v>644.79999999999995</v>
      </c>
      <c r="J179" s="228">
        <v>643.9</v>
      </c>
      <c r="K179" s="228">
        <v>0.9</v>
      </c>
      <c r="L179" s="229">
        <v>1.4E-3</v>
      </c>
      <c r="M179" s="228">
        <v>647.29999999999995</v>
      </c>
      <c r="N179" s="228">
        <v>644.85</v>
      </c>
      <c r="O179" s="228">
        <v>2.4500000000000002</v>
      </c>
      <c r="P179" s="229">
        <v>3.8E-3</v>
      </c>
      <c r="Q179" s="228">
        <v>641.70000000000005</v>
      </c>
      <c r="R179" s="228">
        <v>639.15</v>
      </c>
      <c r="S179" s="228">
        <v>2.5499999999999998</v>
      </c>
      <c r="T179" s="229">
        <v>4.0000000000000001E-3</v>
      </c>
      <c r="U179" s="228">
        <v>638.35</v>
      </c>
      <c r="V179" s="228">
        <v>635</v>
      </c>
      <c r="W179" s="228">
        <v>3.35</v>
      </c>
      <c r="X179" s="229">
        <v>5.3E-3</v>
      </c>
      <c r="Y179" s="228">
        <v>2.5</v>
      </c>
      <c r="Z179" s="228">
        <v>0.95</v>
      </c>
      <c r="AA179" s="228">
        <v>1.55</v>
      </c>
      <c r="AB179" s="229">
        <v>3.8999999999999998E-3</v>
      </c>
      <c r="AC179" s="228">
        <v>2.5</v>
      </c>
      <c r="AD179" s="228">
        <v>0.95</v>
      </c>
      <c r="AE179" s="228">
        <v>1.55</v>
      </c>
      <c r="AF179" s="229">
        <v>3.8999999999999998E-3</v>
      </c>
      <c r="AG179" s="228">
        <v>-3.1</v>
      </c>
      <c r="AH179" s="228">
        <v>-4.75</v>
      </c>
      <c r="AI179" s="228">
        <v>1.65</v>
      </c>
      <c r="AJ179" s="229">
        <v>-4.7999999999999996E-3</v>
      </c>
      <c r="AK179" s="228">
        <v>-6.45</v>
      </c>
      <c r="AL179" s="228">
        <v>-8.9</v>
      </c>
      <c r="AM179" s="228">
        <v>2.4500000000000002</v>
      </c>
      <c r="AN179" s="229">
        <v>-0.01</v>
      </c>
      <c r="AO179" s="228">
        <v>645.98</v>
      </c>
      <c r="AP179" s="228">
        <v>639.79</v>
      </c>
      <c r="AQ179" s="228">
        <v>0</v>
      </c>
      <c r="AR179" s="230">
        <v>2286400</v>
      </c>
      <c r="AS179" s="230">
        <v>3284800</v>
      </c>
      <c r="AT179" s="230">
        <v>-998400</v>
      </c>
      <c r="AU179" s="229">
        <v>-0.3039</v>
      </c>
      <c r="AV179" s="230">
        <v>1946400</v>
      </c>
      <c r="AW179" s="230">
        <v>2912000</v>
      </c>
      <c r="AX179" s="230">
        <v>-965600</v>
      </c>
      <c r="AY179" s="229">
        <v>-0.33160000000000001</v>
      </c>
      <c r="AZ179" s="230">
        <v>272000</v>
      </c>
      <c r="BA179" s="230">
        <v>270400</v>
      </c>
      <c r="BB179" s="230">
        <v>1600</v>
      </c>
      <c r="BC179" s="229">
        <v>5.8999999999999999E-3</v>
      </c>
      <c r="BD179" s="230">
        <v>68000</v>
      </c>
      <c r="BE179" s="230">
        <v>102400</v>
      </c>
      <c r="BF179" s="230">
        <v>-34400</v>
      </c>
      <c r="BG179" s="229">
        <v>-0.33589999999999998</v>
      </c>
      <c r="BH179" s="230">
        <v>5613600</v>
      </c>
      <c r="BI179" s="230">
        <v>7839200</v>
      </c>
      <c r="BJ179" s="230">
        <v>-2225600</v>
      </c>
      <c r="BK179" s="229">
        <v>-0.28389999999999999</v>
      </c>
      <c r="BL179" s="230">
        <v>2823200</v>
      </c>
      <c r="BM179" s="230">
        <v>5302400</v>
      </c>
      <c r="BN179" s="230">
        <v>-2479200</v>
      </c>
      <c r="BO179" s="229">
        <v>-0.46760000000000002</v>
      </c>
      <c r="BP179" s="230">
        <v>10723200</v>
      </c>
      <c r="BQ179" s="230">
        <v>16426400</v>
      </c>
      <c r="BR179" s="230">
        <v>-5703200</v>
      </c>
      <c r="BS179" s="229">
        <v>-0.34720000000000001</v>
      </c>
      <c r="BT179" s="230">
        <v>1196455</v>
      </c>
      <c r="BU179" s="230">
        <v>2071416</v>
      </c>
      <c r="BV179" s="230">
        <v>-874961</v>
      </c>
      <c r="BW179" s="229">
        <v>-0.4224</v>
      </c>
      <c r="BX179" s="230">
        <v>26031200</v>
      </c>
      <c r="BY179" s="230">
        <v>25772800</v>
      </c>
      <c r="BZ179" s="230">
        <v>258400</v>
      </c>
      <c r="CA179" s="229">
        <v>0.01</v>
      </c>
      <c r="CB179" s="230">
        <v>23351200</v>
      </c>
      <c r="CC179" s="230">
        <v>23217600</v>
      </c>
      <c r="CD179" s="230">
        <v>133600</v>
      </c>
      <c r="CE179" s="229">
        <v>5.7999999999999996E-3</v>
      </c>
      <c r="CF179" s="230">
        <v>2456800</v>
      </c>
      <c r="CG179" s="230">
        <v>2374400</v>
      </c>
      <c r="CH179" s="230">
        <v>82400</v>
      </c>
      <c r="CI179" s="229">
        <v>3.4700000000000002E-2</v>
      </c>
      <c r="CJ179" s="230">
        <v>223200</v>
      </c>
      <c r="CK179" s="230">
        <v>180800</v>
      </c>
      <c r="CL179" s="230">
        <v>42400</v>
      </c>
      <c r="CM179" s="229">
        <v>0.23449999999999999</v>
      </c>
      <c r="CN179" s="230">
        <v>8842400</v>
      </c>
      <c r="CO179" s="230">
        <v>8273600</v>
      </c>
      <c r="CP179" s="230">
        <v>568800</v>
      </c>
      <c r="CQ179" s="229">
        <v>6.8699999999999997E-2</v>
      </c>
      <c r="CR179" s="230">
        <v>5264000</v>
      </c>
      <c r="CS179" s="230">
        <v>5137600</v>
      </c>
      <c r="CT179" s="230">
        <v>126400</v>
      </c>
      <c r="CU179" s="229">
        <v>2.46E-2</v>
      </c>
      <c r="CV179" s="230">
        <v>40137600</v>
      </c>
      <c r="CW179" s="230">
        <v>39184000</v>
      </c>
      <c r="CX179" s="230">
        <v>953600</v>
      </c>
      <c r="CY179" s="229">
        <v>2.4299999999999999E-2</v>
      </c>
      <c r="CZ179" s="228">
        <v>32</v>
      </c>
      <c r="DA179" s="228">
        <v>32.03</v>
      </c>
      <c r="DB179" s="228">
        <v>-0.03</v>
      </c>
      <c r="DC179" s="228">
        <v>-0.03</v>
      </c>
      <c r="DD179" s="228">
        <v>32.130000000000003</v>
      </c>
      <c r="DE179" s="228">
        <v>32.21</v>
      </c>
      <c r="DF179" s="228">
        <v>-0.13</v>
      </c>
      <c r="DG179" s="228">
        <v>-0.08</v>
      </c>
      <c r="DH179" s="228">
        <v>32.11</v>
      </c>
      <c r="DI179" s="228">
        <v>32.1</v>
      </c>
      <c r="DJ179" s="228">
        <v>0.01</v>
      </c>
      <c r="DK179" s="228">
        <v>0.01</v>
      </c>
      <c r="DL179" s="228">
        <v>31.79</v>
      </c>
      <c r="DM179" s="228">
        <v>31.92</v>
      </c>
      <c r="DN179" s="228">
        <v>-0.13</v>
      </c>
      <c r="DO179" s="228">
        <v>-0.13</v>
      </c>
      <c r="DP179" s="228">
        <v>0.6</v>
      </c>
      <c r="DQ179" s="228">
        <v>0.62</v>
      </c>
      <c r="DR179" s="228">
        <v>-0.02</v>
      </c>
      <c r="DS179" s="229">
        <v>-3.2300000000000002E-2</v>
      </c>
      <c r="DT179" s="228">
        <v>700</v>
      </c>
      <c r="DU179" s="228">
        <v>650</v>
      </c>
      <c r="DV179" s="228">
        <v>0.5</v>
      </c>
      <c r="DW179" s="228">
        <v>0.68</v>
      </c>
      <c r="DX179" s="228">
        <v>-0.18</v>
      </c>
      <c r="DY179" s="229">
        <v>-0.26469999999999999</v>
      </c>
      <c r="DZ179" s="229">
        <v>0.10299999999999999</v>
      </c>
      <c r="EA179" s="230">
        <v>2555200</v>
      </c>
      <c r="EB179" s="229">
        <v>-8.6999999999999994E-3</v>
      </c>
      <c r="EC179" s="229">
        <v>0.10299999999999999</v>
      </c>
      <c r="ED179" s="228">
        <v>-6.19</v>
      </c>
      <c r="EE179" s="229">
        <v>-9.5999999999999992E-3</v>
      </c>
      <c r="EF179" s="230">
        <v>438861</v>
      </c>
      <c r="EG179" s="230">
        <v>977245</v>
      </c>
      <c r="EH179" s="229">
        <v>-0.55089999999999995</v>
      </c>
      <c r="EI179" s="229">
        <v>0.36680000000000001</v>
      </c>
      <c r="EJ179" s="231">
        <v>38809.949999999997</v>
      </c>
      <c r="EK179" s="231">
        <v>17933.77</v>
      </c>
      <c r="EL179" s="231">
        <v>14747.09</v>
      </c>
      <c r="EM179" s="231">
        <v>18157</v>
      </c>
      <c r="EN179" s="231">
        <v>71490.81</v>
      </c>
      <c r="EO179" s="231">
        <v>109178.45</v>
      </c>
      <c r="EP179" s="231">
        <v>-37687.64</v>
      </c>
      <c r="EQ179" s="229">
        <v>-0.34520000000000001</v>
      </c>
      <c r="ER179" s="231">
        <v>61567</v>
      </c>
      <c r="ES179" s="231">
        <v>34309</v>
      </c>
      <c r="ET179" s="231">
        <v>168342</v>
      </c>
      <c r="EU179" s="231">
        <v>44841373</v>
      </c>
      <c r="EV179" s="231">
        <v>264218</v>
      </c>
      <c r="EW179" s="231">
        <v>257278</v>
      </c>
      <c r="EX179" s="231">
        <v>6940</v>
      </c>
      <c r="EY179" s="229">
        <v>2.7E-2</v>
      </c>
      <c r="EZ179" s="229">
        <v>0.89510000000000001</v>
      </c>
      <c r="FA179" s="227" t="s">
        <v>555</v>
      </c>
      <c r="FB179" s="161">
        <f t="shared" si="4"/>
        <v>0</v>
      </c>
    </row>
    <row r="180" spans="1:158" ht="17.25" thickBot="1" x14ac:dyDescent="0.3">
      <c r="A180" s="226">
        <v>46146</v>
      </c>
      <c r="B180" s="227" t="s">
        <v>175</v>
      </c>
      <c r="C180" s="227" t="s">
        <v>462</v>
      </c>
      <c r="D180" s="228">
        <v>375</v>
      </c>
      <c r="E180" s="231">
        <v>1827.4</v>
      </c>
      <c r="F180" s="231">
        <v>1824</v>
      </c>
      <c r="G180" s="228">
        <v>3.4</v>
      </c>
      <c r="H180" s="229">
        <v>1.9E-3</v>
      </c>
      <c r="I180" s="231">
        <v>1820.1</v>
      </c>
      <c r="J180" s="231">
        <v>1819</v>
      </c>
      <c r="K180" s="228">
        <v>1.1000000000000001</v>
      </c>
      <c r="L180" s="229">
        <v>5.9999999999999995E-4</v>
      </c>
      <c r="M180" s="231">
        <v>1827.4</v>
      </c>
      <c r="N180" s="231">
        <v>1824</v>
      </c>
      <c r="O180" s="228">
        <v>3.4</v>
      </c>
      <c r="P180" s="229">
        <v>1.9E-3</v>
      </c>
      <c r="Q180" s="231">
        <v>1841.3</v>
      </c>
      <c r="R180" s="231">
        <v>1837.2</v>
      </c>
      <c r="S180" s="228">
        <v>4.0999999999999996</v>
      </c>
      <c r="T180" s="229">
        <v>2.2000000000000001E-3</v>
      </c>
      <c r="U180" s="231">
        <v>1858.3</v>
      </c>
      <c r="V180" s="231">
        <v>1846.5</v>
      </c>
      <c r="W180" s="228">
        <v>11.8</v>
      </c>
      <c r="X180" s="229">
        <v>6.4000000000000003E-3</v>
      </c>
      <c r="Y180" s="228">
        <v>7.3</v>
      </c>
      <c r="Z180" s="228">
        <v>5</v>
      </c>
      <c r="AA180" s="228">
        <v>2.2999999999999998</v>
      </c>
      <c r="AB180" s="229">
        <v>4.0000000000000001E-3</v>
      </c>
      <c r="AC180" s="228">
        <v>7.3</v>
      </c>
      <c r="AD180" s="228">
        <v>5</v>
      </c>
      <c r="AE180" s="228">
        <v>2.2999999999999998</v>
      </c>
      <c r="AF180" s="229">
        <v>4.0000000000000001E-3</v>
      </c>
      <c r="AG180" s="228">
        <v>21.2</v>
      </c>
      <c r="AH180" s="228">
        <v>18.2</v>
      </c>
      <c r="AI180" s="228">
        <v>3</v>
      </c>
      <c r="AJ180" s="229">
        <v>1.1599999999999999E-2</v>
      </c>
      <c r="AK180" s="228">
        <v>38.200000000000003</v>
      </c>
      <c r="AL180" s="228">
        <v>27.5</v>
      </c>
      <c r="AM180" s="228">
        <v>10.7</v>
      </c>
      <c r="AN180" s="229">
        <v>2.1000000000000001E-2</v>
      </c>
      <c r="AO180" s="231">
        <v>1834.78</v>
      </c>
      <c r="AP180" s="231">
        <v>1846.82</v>
      </c>
      <c r="AQ180" s="228">
        <v>0</v>
      </c>
      <c r="AR180" s="230">
        <v>1058625</v>
      </c>
      <c r="AS180" s="230">
        <v>962250</v>
      </c>
      <c r="AT180" s="230">
        <v>96375</v>
      </c>
      <c r="AU180" s="229">
        <v>0.1002</v>
      </c>
      <c r="AV180" s="230">
        <v>986625</v>
      </c>
      <c r="AW180" s="230">
        <v>937875</v>
      </c>
      <c r="AX180" s="230">
        <v>48750</v>
      </c>
      <c r="AY180" s="229">
        <v>5.1999999999999998E-2</v>
      </c>
      <c r="AZ180" s="230">
        <v>71250</v>
      </c>
      <c r="BA180" s="230">
        <v>22125</v>
      </c>
      <c r="BB180" s="230">
        <v>49125</v>
      </c>
      <c r="BC180" s="229">
        <v>2.2202999999999999</v>
      </c>
      <c r="BD180" s="228">
        <v>750</v>
      </c>
      <c r="BE180" s="230">
        <v>2250</v>
      </c>
      <c r="BF180" s="230">
        <v>-1500</v>
      </c>
      <c r="BG180" s="229">
        <v>-0.66669999999999996</v>
      </c>
      <c r="BH180" s="230">
        <v>2954250</v>
      </c>
      <c r="BI180" s="230">
        <v>1755375</v>
      </c>
      <c r="BJ180" s="230">
        <v>1198875</v>
      </c>
      <c r="BK180" s="229">
        <v>0.68300000000000005</v>
      </c>
      <c r="BL180" s="230">
        <v>1183500</v>
      </c>
      <c r="BM180" s="230">
        <v>955125</v>
      </c>
      <c r="BN180" s="230">
        <v>228375</v>
      </c>
      <c r="BO180" s="229">
        <v>0.23910000000000001</v>
      </c>
      <c r="BP180" s="230">
        <v>5196375</v>
      </c>
      <c r="BQ180" s="230">
        <v>3672750</v>
      </c>
      <c r="BR180" s="230">
        <v>1523625</v>
      </c>
      <c r="BS180" s="229">
        <v>0.4148</v>
      </c>
      <c r="BT180" s="230">
        <v>1963164</v>
      </c>
      <c r="BU180" s="230">
        <v>1121750</v>
      </c>
      <c r="BV180" s="230">
        <v>841414</v>
      </c>
      <c r="BW180" s="229">
        <v>0.75009999999999999</v>
      </c>
      <c r="BX180" s="230">
        <v>10467375</v>
      </c>
      <c r="BY180" s="230">
        <v>10479000</v>
      </c>
      <c r="BZ180" s="230">
        <v>-11625</v>
      </c>
      <c r="CA180" s="229">
        <v>-1.1000000000000001E-3</v>
      </c>
      <c r="CB180" s="230">
        <v>9169500</v>
      </c>
      <c r="CC180" s="230">
        <v>9220125</v>
      </c>
      <c r="CD180" s="230">
        <v>-50625</v>
      </c>
      <c r="CE180" s="229">
        <v>-5.4999999999999997E-3</v>
      </c>
      <c r="CF180" s="230">
        <v>1293750</v>
      </c>
      <c r="CG180" s="230">
        <v>1255125</v>
      </c>
      <c r="CH180" s="230">
        <v>38625</v>
      </c>
      <c r="CI180" s="229">
        <v>3.0800000000000001E-2</v>
      </c>
      <c r="CJ180" s="230">
        <v>4125</v>
      </c>
      <c r="CK180" s="230">
        <v>3750</v>
      </c>
      <c r="CL180" s="228">
        <v>375</v>
      </c>
      <c r="CM180" s="229">
        <v>0.1</v>
      </c>
      <c r="CN180" s="230">
        <v>3123375</v>
      </c>
      <c r="CO180" s="230">
        <v>2560125</v>
      </c>
      <c r="CP180" s="230">
        <v>563250</v>
      </c>
      <c r="CQ180" s="229">
        <v>0.22</v>
      </c>
      <c r="CR180" s="230">
        <v>1788000</v>
      </c>
      <c r="CS180" s="230">
        <v>1765500</v>
      </c>
      <c r="CT180" s="230">
        <v>22500</v>
      </c>
      <c r="CU180" s="229">
        <v>1.2699999999999999E-2</v>
      </c>
      <c r="CV180" s="230">
        <v>15378750</v>
      </c>
      <c r="CW180" s="230">
        <v>14804625</v>
      </c>
      <c r="CX180" s="230">
        <v>574125</v>
      </c>
      <c r="CY180" s="229">
        <v>3.8800000000000001E-2</v>
      </c>
      <c r="CZ180" s="228">
        <v>25.5</v>
      </c>
      <c r="DA180" s="228">
        <v>26.41</v>
      </c>
      <c r="DB180" s="228">
        <v>-0.91</v>
      </c>
      <c r="DC180" s="228">
        <v>-0.91</v>
      </c>
      <c r="DD180" s="228">
        <v>26.74</v>
      </c>
      <c r="DE180" s="228">
        <v>26.8</v>
      </c>
      <c r="DF180" s="228">
        <v>-1.24</v>
      </c>
      <c r="DG180" s="228">
        <v>-0.06</v>
      </c>
      <c r="DH180" s="228">
        <v>25.19</v>
      </c>
      <c r="DI180" s="228">
        <v>26.12</v>
      </c>
      <c r="DJ180" s="228">
        <v>-0.93</v>
      </c>
      <c r="DK180" s="228">
        <v>-0.93</v>
      </c>
      <c r="DL180" s="228">
        <v>26.27</v>
      </c>
      <c r="DM180" s="228">
        <v>26.95</v>
      </c>
      <c r="DN180" s="228">
        <v>-0.68</v>
      </c>
      <c r="DO180" s="228">
        <v>-0.68</v>
      </c>
      <c r="DP180" s="228">
        <v>0.56999999999999995</v>
      </c>
      <c r="DQ180" s="228">
        <v>0.69</v>
      </c>
      <c r="DR180" s="228">
        <v>-0.12</v>
      </c>
      <c r="DS180" s="229">
        <v>-0.1739</v>
      </c>
      <c r="DT180" s="231">
        <v>1860</v>
      </c>
      <c r="DU180" s="231">
        <v>1700</v>
      </c>
      <c r="DV180" s="228">
        <v>0.4</v>
      </c>
      <c r="DW180" s="228">
        <v>0.54</v>
      </c>
      <c r="DX180" s="228">
        <v>-0.14000000000000001</v>
      </c>
      <c r="DY180" s="229">
        <v>-0.25929999999999997</v>
      </c>
      <c r="DZ180" s="229">
        <v>0.124</v>
      </c>
      <c r="EA180" s="230">
        <v>1258875</v>
      </c>
      <c r="EB180" s="229">
        <v>7.6E-3</v>
      </c>
      <c r="EC180" s="229">
        <v>0.124</v>
      </c>
      <c r="ED180" s="228">
        <v>12.04</v>
      </c>
      <c r="EE180" s="229">
        <v>6.6E-3</v>
      </c>
      <c r="EF180" s="230">
        <v>1257858</v>
      </c>
      <c r="EG180" s="230">
        <v>715011</v>
      </c>
      <c r="EH180" s="229">
        <v>0.75919999999999999</v>
      </c>
      <c r="EI180" s="229">
        <v>0.64070000000000005</v>
      </c>
      <c r="EJ180" s="231">
        <v>57146.05</v>
      </c>
      <c r="EK180" s="231">
        <v>21215.99</v>
      </c>
      <c r="EL180" s="231">
        <v>19432.29</v>
      </c>
      <c r="EM180" s="231">
        <v>7342</v>
      </c>
      <c r="EN180" s="231">
        <v>97794.33</v>
      </c>
      <c r="EO180" s="231">
        <v>68072.66</v>
      </c>
      <c r="EP180" s="231">
        <v>29721.67</v>
      </c>
      <c r="EQ180" s="229">
        <v>0.43659999999999999</v>
      </c>
      <c r="ER180" s="231">
        <v>60093</v>
      </c>
      <c r="ES180" s="231">
        <v>31419</v>
      </c>
      <c r="ET180" s="231">
        <v>191462</v>
      </c>
      <c r="EU180" s="231">
        <v>45527821</v>
      </c>
      <c r="EV180" s="231">
        <v>282974</v>
      </c>
      <c r="EW180" s="231">
        <v>271779</v>
      </c>
      <c r="EX180" s="231">
        <v>11195</v>
      </c>
      <c r="EY180" s="229">
        <v>4.1200000000000001E-2</v>
      </c>
      <c r="EZ180" s="229">
        <v>0.33779999999999999</v>
      </c>
      <c r="FA180" s="227" t="s">
        <v>691</v>
      </c>
      <c r="FB180" s="161">
        <f t="shared" si="4"/>
        <v>0</v>
      </c>
    </row>
    <row r="181" spans="1:158" ht="17.25" thickBot="1" x14ac:dyDescent="0.3">
      <c r="A181" s="226">
        <v>46146</v>
      </c>
      <c r="B181" s="227" t="s">
        <v>172</v>
      </c>
      <c r="C181" s="227" t="s">
        <v>283</v>
      </c>
      <c r="D181" s="228">
        <v>750</v>
      </c>
      <c r="E181" s="231">
        <v>1060</v>
      </c>
      <c r="F181" s="231">
        <v>1064.0999999999999</v>
      </c>
      <c r="G181" s="228">
        <v>-4.0999999999999996</v>
      </c>
      <c r="H181" s="229">
        <v>-3.8999999999999998E-3</v>
      </c>
      <c r="I181" s="231">
        <v>1068.4000000000001</v>
      </c>
      <c r="J181" s="231">
        <v>1068.45</v>
      </c>
      <c r="K181" s="228">
        <v>-0.05</v>
      </c>
      <c r="L181" s="229">
        <v>0</v>
      </c>
      <c r="M181" s="231">
        <v>1060</v>
      </c>
      <c r="N181" s="231">
        <v>1064.0999999999999</v>
      </c>
      <c r="O181" s="228">
        <v>-4.0999999999999996</v>
      </c>
      <c r="P181" s="229">
        <v>-3.8999999999999998E-3</v>
      </c>
      <c r="Q181" s="231">
        <v>1065</v>
      </c>
      <c r="R181" s="231">
        <v>1065.3</v>
      </c>
      <c r="S181" s="228">
        <v>-0.3</v>
      </c>
      <c r="T181" s="229">
        <v>-2.9999999999999997E-4</v>
      </c>
      <c r="U181" s="231">
        <v>1070.4000000000001</v>
      </c>
      <c r="V181" s="231">
        <v>1070.4000000000001</v>
      </c>
      <c r="W181" s="228">
        <v>0</v>
      </c>
      <c r="X181" s="229">
        <v>0</v>
      </c>
      <c r="Y181" s="228">
        <v>-8.4</v>
      </c>
      <c r="Z181" s="228">
        <v>-4.3499999999999996</v>
      </c>
      <c r="AA181" s="228">
        <v>-4.05</v>
      </c>
      <c r="AB181" s="229">
        <v>-7.9000000000000008E-3</v>
      </c>
      <c r="AC181" s="228">
        <v>-8.4</v>
      </c>
      <c r="AD181" s="228">
        <v>-4.3499999999999996</v>
      </c>
      <c r="AE181" s="228">
        <v>-4.05</v>
      </c>
      <c r="AF181" s="229">
        <v>-7.9000000000000008E-3</v>
      </c>
      <c r="AG181" s="228">
        <v>-3.4</v>
      </c>
      <c r="AH181" s="228">
        <v>-3.15</v>
      </c>
      <c r="AI181" s="228">
        <v>-0.25</v>
      </c>
      <c r="AJ181" s="229">
        <v>-3.2000000000000002E-3</v>
      </c>
      <c r="AK181" s="228">
        <v>2</v>
      </c>
      <c r="AL181" s="228">
        <v>1.95</v>
      </c>
      <c r="AM181" s="228">
        <v>0.05</v>
      </c>
      <c r="AN181" s="229">
        <v>1.9E-3</v>
      </c>
      <c r="AO181" s="231">
        <v>1069.1500000000001</v>
      </c>
      <c r="AP181" s="231">
        <v>1073.8499999999999</v>
      </c>
      <c r="AQ181" s="228">
        <v>0</v>
      </c>
      <c r="AR181" s="230">
        <v>12159750</v>
      </c>
      <c r="AS181" s="230">
        <v>13386750</v>
      </c>
      <c r="AT181" s="230">
        <v>-1227000</v>
      </c>
      <c r="AU181" s="229">
        <v>-9.1700000000000004E-2</v>
      </c>
      <c r="AV181" s="230">
        <v>10833750</v>
      </c>
      <c r="AW181" s="230">
        <v>12270000</v>
      </c>
      <c r="AX181" s="230">
        <v>-1436250</v>
      </c>
      <c r="AY181" s="229">
        <v>-0.1171</v>
      </c>
      <c r="AZ181" s="230">
        <v>1237500</v>
      </c>
      <c r="BA181" s="230">
        <v>1003500</v>
      </c>
      <c r="BB181" s="230">
        <v>234000</v>
      </c>
      <c r="BC181" s="229">
        <v>0.23319999999999999</v>
      </c>
      <c r="BD181" s="230">
        <v>88500</v>
      </c>
      <c r="BE181" s="230">
        <v>113250</v>
      </c>
      <c r="BF181" s="230">
        <v>-24750</v>
      </c>
      <c r="BG181" s="229">
        <v>-0.2185</v>
      </c>
      <c r="BH181" s="230">
        <v>38614500</v>
      </c>
      <c r="BI181" s="230">
        <v>36181500</v>
      </c>
      <c r="BJ181" s="230">
        <v>2433000</v>
      </c>
      <c r="BK181" s="229">
        <v>6.7199999999999996E-2</v>
      </c>
      <c r="BL181" s="230">
        <v>21923250</v>
      </c>
      <c r="BM181" s="230">
        <v>25614750</v>
      </c>
      <c r="BN181" s="230">
        <v>-3691500</v>
      </c>
      <c r="BO181" s="229">
        <v>-0.14410000000000001</v>
      </c>
      <c r="BP181" s="230">
        <v>72697500</v>
      </c>
      <c r="BQ181" s="230">
        <v>75183000</v>
      </c>
      <c r="BR181" s="230">
        <v>-2485500</v>
      </c>
      <c r="BS181" s="229">
        <v>-3.3099999999999997E-2</v>
      </c>
      <c r="BT181" s="230">
        <v>12126606</v>
      </c>
      <c r="BU181" s="230">
        <v>15668387</v>
      </c>
      <c r="BV181" s="230">
        <v>-3541781</v>
      </c>
      <c r="BW181" s="229">
        <v>-0.22600000000000001</v>
      </c>
      <c r="BX181" s="230">
        <v>94068750</v>
      </c>
      <c r="BY181" s="230">
        <v>90114000</v>
      </c>
      <c r="BZ181" s="230">
        <v>3954750</v>
      </c>
      <c r="CA181" s="229">
        <v>4.3900000000000002E-2</v>
      </c>
      <c r="CB181" s="230">
        <v>73549500</v>
      </c>
      <c r="CC181" s="230">
        <v>70380000</v>
      </c>
      <c r="CD181" s="230">
        <v>3169500</v>
      </c>
      <c r="CE181" s="229">
        <v>4.4999999999999998E-2</v>
      </c>
      <c r="CF181" s="230">
        <v>20370000</v>
      </c>
      <c r="CG181" s="230">
        <v>19624500</v>
      </c>
      <c r="CH181" s="230">
        <v>745500</v>
      </c>
      <c r="CI181" s="229">
        <v>3.7999999999999999E-2</v>
      </c>
      <c r="CJ181" s="230">
        <v>149250</v>
      </c>
      <c r="CK181" s="230">
        <v>109500</v>
      </c>
      <c r="CL181" s="230">
        <v>39750</v>
      </c>
      <c r="CM181" s="229">
        <v>0.36299999999999999</v>
      </c>
      <c r="CN181" s="230">
        <v>31978500</v>
      </c>
      <c r="CO181" s="230">
        <v>27549750</v>
      </c>
      <c r="CP181" s="230">
        <v>4428750</v>
      </c>
      <c r="CQ181" s="229">
        <v>0.1608</v>
      </c>
      <c r="CR181" s="230">
        <v>23210250</v>
      </c>
      <c r="CS181" s="230">
        <v>20792250</v>
      </c>
      <c r="CT181" s="230">
        <v>2418000</v>
      </c>
      <c r="CU181" s="229">
        <v>0.1163</v>
      </c>
      <c r="CV181" s="230">
        <v>149257500</v>
      </c>
      <c r="CW181" s="230">
        <v>138456000</v>
      </c>
      <c r="CX181" s="230">
        <v>10801500</v>
      </c>
      <c r="CY181" s="229">
        <v>7.8E-2</v>
      </c>
      <c r="CZ181" s="228">
        <v>32.43</v>
      </c>
      <c r="DA181" s="228">
        <v>30.63</v>
      </c>
      <c r="DB181" s="228">
        <v>1.8</v>
      </c>
      <c r="DC181" s="228">
        <v>1.8</v>
      </c>
      <c r="DD181" s="228">
        <v>28.94</v>
      </c>
      <c r="DE181" s="228">
        <v>29.02</v>
      </c>
      <c r="DF181" s="228">
        <v>3.49</v>
      </c>
      <c r="DG181" s="228">
        <v>-0.08</v>
      </c>
      <c r="DH181" s="228">
        <v>32.68</v>
      </c>
      <c r="DI181" s="228">
        <v>30.75</v>
      </c>
      <c r="DJ181" s="228">
        <v>1.93</v>
      </c>
      <c r="DK181" s="228">
        <v>1.93</v>
      </c>
      <c r="DL181" s="228">
        <v>31.98</v>
      </c>
      <c r="DM181" s="228">
        <v>30.45</v>
      </c>
      <c r="DN181" s="228">
        <v>1.53</v>
      </c>
      <c r="DO181" s="228">
        <v>1.53</v>
      </c>
      <c r="DP181" s="228">
        <v>0.73</v>
      </c>
      <c r="DQ181" s="228">
        <v>0.75</v>
      </c>
      <c r="DR181" s="228">
        <v>-0.02</v>
      </c>
      <c r="DS181" s="229">
        <v>-2.6700000000000002E-2</v>
      </c>
      <c r="DT181" s="231">
        <v>1100</v>
      </c>
      <c r="DU181" s="231">
        <v>1100</v>
      </c>
      <c r="DV181" s="228">
        <v>0.56999999999999995</v>
      </c>
      <c r="DW181" s="228">
        <v>0.71</v>
      </c>
      <c r="DX181" s="228">
        <v>-0.14000000000000001</v>
      </c>
      <c r="DY181" s="229">
        <v>-0.19719999999999999</v>
      </c>
      <c r="DZ181" s="229">
        <v>0.21809999999999999</v>
      </c>
      <c r="EA181" s="230">
        <v>19734000</v>
      </c>
      <c r="EB181" s="229">
        <v>4.7000000000000002E-3</v>
      </c>
      <c r="EC181" s="229">
        <v>0.21809999999999999</v>
      </c>
      <c r="ED181" s="228">
        <v>4.7</v>
      </c>
      <c r="EE181" s="229">
        <v>4.4000000000000003E-3</v>
      </c>
      <c r="EF181" s="230">
        <v>7047227</v>
      </c>
      <c r="EG181" s="230">
        <v>6903358</v>
      </c>
      <c r="EH181" s="229">
        <v>2.0799999999999999E-2</v>
      </c>
      <c r="EI181" s="229">
        <v>0.58109999999999995</v>
      </c>
      <c r="EJ181" s="231">
        <v>438990.96</v>
      </c>
      <c r="EK181" s="231">
        <v>231392.78</v>
      </c>
      <c r="EL181" s="231">
        <v>130071.52</v>
      </c>
      <c r="EM181" s="231">
        <v>36391</v>
      </c>
      <c r="EN181" s="231">
        <v>800455.26</v>
      </c>
      <c r="EO181" s="231">
        <v>823692.63</v>
      </c>
      <c r="EP181" s="231">
        <v>-23237.37</v>
      </c>
      <c r="EQ181" s="229">
        <v>-2.8199999999999999E-2</v>
      </c>
      <c r="ER181" s="231">
        <v>363397</v>
      </c>
      <c r="ES181" s="231">
        <v>244999</v>
      </c>
      <c r="ET181" s="231">
        <v>998163</v>
      </c>
      <c r="EU181" s="231">
        <v>580324288</v>
      </c>
      <c r="EV181" s="231">
        <v>1606560</v>
      </c>
      <c r="EW181" s="231">
        <v>1493463</v>
      </c>
      <c r="EX181" s="231">
        <v>113097</v>
      </c>
      <c r="EY181" s="229">
        <v>7.5700000000000003E-2</v>
      </c>
      <c r="EZ181" s="229">
        <v>0.25719999999999998</v>
      </c>
      <c r="FA181" s="227" t="s">
        <v>566</v>
      </c>
      <c r="FB181" s="161">
        <f t="shared" si="4"/>
        <v>0</v>
      </c>
    </row>
    <row r="182" spans="1:158" ht="17.25" thickBot="1" x14ac:dyDescent="0.3">
      <c r="A182" s="226">
        <v>46146</v>
      </c>
      <c r="B182" s="227" t="s">
        <v>157</v>
      </c>
      <c r="C182" s="227" t="s">
        <v>284</v>
      </c>
      <c r="D182" s="228">
        <v>25</v>
      </c>
      <c r="E182" s="231">
        <v>24655</v>
      </c>
      <c r="F182" s="231">
        <v>24030</v>
      </c>
      <c r="G182" s="228">
        <v>625</v>
      </c>
      <c r="H182" s="229">
        <v>2.5999999999999999E-2</v>
      </c>
      <c r="I182" s="231">
        <v>24740</v>
      </c>
      <c r="J182" s="231">
        <v>24195</v>
      </c>
      <c r="K182" s="228">
        <v>545</v>
      </c>
      <c r="L182" s="229">
        <v>2.2499999999999999E-2</v>
      </c>
      <c r="M182" s="231">
        <v>24655</v>
      </c>
      <c r="N182" s="231">
        <v>24030</v>
      </c>
      <c r="O182" s="228">
        <v>625</v>
      </c>
      <c r="P182" s="229">
        <v>2.5999999999999999E-2</v>
      </c>
      <c r="Q182" s="231">
        <v>24365</v>
      </c>
      <c r="R182" s="231">
        <v>23825</v>
      </c>
      <c r="S182" s="228">
        <v>540</v>
      </c>
      <c r="T182" s="229">
        <v>2.2700000000000001E-2</v>
      </c>
      <c r="U182" s="231">
        <v>24185</v>
      </c>
      <c r="V182" s="231">
        <v>23470</v>
      </c>
      <c r="W182" s="228">
        <v>715</v>
      </c>
      <c r="X182" s="229">
        <v>3.0499999999999999E-2</v>
      </c>
      <c r="Y182" s="228">
        <v>-85</v>
      </c>
      <c r="Z182" s="228">
        <v>-165</v>
      </c>
      <c r="AA182" s="228">
        <v>80</v>
      </c>
      <c r="AB182" s="229">
        <v>-3.3999999999999998E-3</v>
      </c>
      <c r="AC182" s="228">
        <v>-85</v>
      </c>
      <c r="AD182" s="228">
        <v>-165</v>
      </c>
      <c r="AE182" s="228">
        <v>80</v>
      </c>
      <c r="AF182" s="229">
        <v>-3.3999999999999998E-3</v>
      </c>
      <c r="AG182" s="228">
        <v>-375</v>
      </c>
      <c r="AH182" s="228">
        <v>-370</v>
      </c>
      <c r="AI182" s="228">
        <v>-5</v>
      </c>
      <c r="AJ182" s="229">
        <v>-1.52E-2</v>
      </c>
      <c r="AK182" s="228">
        <v>-555</v>
      </c>
      <c r="AL182" s="228">
        <v>-725</v>
      </c>
      <c r="AM182" s="228">
        <v>170</v>
      </c>
      <c r="AN182" s="229">
        <v>-2.24E-2</v>
      </c>
      <c r="AO182" s="231">
        <v>24535.7</v>
      </c>
      <c r="AP182" s="231">
        <v>24312.16</v>
      </c>
      <c r="AQ182" s="228">
        <v>0</v>
      </c>
      <c r="AR182" s="230">
        <v>55575</v>
      </c>
      <c r="AS182" s="230">
        <v>44325</v>
      </c>
      <c r="AT182" s="230">
        <v>11250</v>
      </c>
      <c r="AU182" s="229">
        <v>0.25380000000000003</v>
      </c>
      <c r="AV182" s="230">
        <v>54200</v>
      </c>
      <c r="AW182" s="230">
        <v>41500</v>
      </c>
      <c r="AX182" s="230">
        <v>12700</v>
      </c>
      <c r="AY182" s="229">
        <v>0.30599999999999999</v>
      </c>
      <c r="AZ182" s="230">
        <v>1275</v>
      </c>
      <c r="BA182" s="230">
        <v>2600</v>
      </c>
      <c r="BB182" s="230">
        <v>-1325</v>
      </c>
      <c r="BC182" s="229">
        <v>-0.50960000000000005</v>
      </c>
      <c r="BD182" s="228">
        <v>100</v>
      </c>
      <c r="BE182" s="228">
        <v>225</v>
      </c>
      <c r="BF182" s="228">
        <v>-125</v>
      </c>
      <c r="BG182" s="229">
        <v>-0.55559999999999998</v>
      </c>
      <c r="BH182" s="230">
        <v>53425</v>
      </c>
      <c r="BI182" s="230">
        <v>60675</v>
      </c>
      <c r="BJ182" s="230">
        <v>-7250</v>
      </c>
      <c r="BK182" s="229">
        <v>-0.1195</v>
      </c>
      <c r="BL182" s="230">
        <v>21350</v>
      </c>
      <c r="BM182" s="230">
        <v>34975</v>
      </c>
      <c r="BN182" s="230">
        <v>-13625</v>
      </c>
      <c r="BO182" s="229">
        <v>-0.3896</v>
      </c>
      <c r="BP182" s="230">
        <v>130350</v>
      </c>
      <c r="BQ182" s="230">
        <v>139975</v>
      </c>
      <c r="BR182" s="230">
        <v>-9625</v>
      </c>
      <c r="BS182" s="229">
        <v>-6.88E-2</v>
      </c>
      <c r="BT182" s="230">
        <v>13061</v>
      </c>
      <c r="BU182" s="230">
        <v>35701</v>
      </c>
      <c r="BV182" s="230">
        <v>-22640</v>
      </c>
      <c r="BW182" s="229">
        <v>-0.63419999999999999</v>
      </c>
      <c r="BX182" s="230">
        <v>404475</v>
      </c>
      <c r="BY182" s="230">
        <v>393500</v>
      </c>
      <c r="BZ182" s="230">
        <v>10975</v>
      </c>
      <c r="CA182" s="229">
        <v>2.7900000000000001E-2</v>
      </c>
      <c r="CB182" s="230">
        <v>399725</v>
      </c>
      <c r="CC182" s="230">
        <v>388675</v>
      </c>
      <c r="CD182" s="230">
        <v>11050</v>
      </c>
      <c r="CE182" s="229">
        <v>2.8400000000000002E-2</v>
      </c>
      <c r="CF182" s="230">
        <v>4475</v>
      </c>
      <c r="CG182" s="230">
        <v>4550</v>
      </c>
      <c r="CH182" s="228">
        <v>-75</v>
      </c>
      <c r="CI182" s="229">
        <v>-1.6500000000000001E-2</v>
      </c>
      <c r="CJ182" s="228">
        <v>275</v>
      </c>
      <c r="CK182" s="228">
        <v>275</v>
      </c>
      <c r="CL182" s="228">
        <v>0</v>
      </c>
      <c r="CM182" s="229">
        <v>0</v>
      </c>
      <c r="CN182" s="230">
        <v>40800</v>
      </c>
      <c r="CO182" s="230">
        <v>37200</v>
      </c>
      <c r="CP182" s="230">
        <v>3600</v>
      </c>
      <c r="CQ182" s="229">
        <v>9.6799999999999997E-2</v>
      </c>
      <c r="CR182" s="230">
        <v>36450</v>
      </c>
      <c r="CS182" s="230">
        <v>32050</v>
      </c>
      <c r="CT182" s="230">
        <v>4400</v>
      </c>
      <c r="CU182" s="229">
        <v>0.13730000000000001</v>
      </c>
      <c r="CV182" s="230">
        <v>481725</v>
      </c>
      <c r="CW182" s="230">
        <v>462750</v>
      </c>
      <c r="CX182" s="230">
        <v>18975</v>
      </c>
      <c r="CY182" s="229">
        <v>4.1000000000000002E-2</v>
      </c>
      <c r="CZ182" s="228">
        <v>32.729999999999997</v>
      </c>
      <c r="DA182" s="228">
        <v>32.06</v>
      </c>
      <c r="DB182" s="228">
        <v>0.67</v>
      </c>
      <c r="DC182" s="228">
        <v>0.67</v>
      </c>
      <c r="DD182" s="228">
        <v>27.78</v>
      </c>
      <c r="DE182" s="228">
        <v>27.63</v>
      </c>
      <c r="DF182" s="228">
        <v>4.95</v>
      </c>
      <c r="DG182" s="228">
        <v>0.15</v>
      </c>
      <c r="DH182" s="228">
        <v>32.380000000000003</v>
      </c>
      <c r="DI182" s="228">
        <v>31.56</v>
      </c>
      <c r="DJ182" s="228">
        <v>0.82</v>
      </c>
      <c r="DK182" s="228">
        <v>0.82</v>
      </c>
      <c r="DL182" s="228">
        <v>33.590000000000003</v>
      </c>
      <c r="DM182" s="228">
        <v>32.93</v>
      </c>
      <c r="DN182" s="228">
        <v>0.66</v>
      </c>
      <c r="DO182" s="228">
        <v>0.66</v>
      </c>
      <c r="DP182" s="228">
        <v>0.89</v>
      </c>
      <c r="DQ182" s="228">
        <v>0.86</v>
      </c>
      <c r="DR182" s="228">
        <v>0.03</v>
      </c>
      <c r="DS182" s="229">
        <v>3.49E-2</v>
      </c>
      <c r="DT182" s="231">
        <v>25000</v>
      </c>
      <c r="DU182" s="231">
        <v>23000</v>
      </c>
      <c r="DV182" s="228">
        <v>0.4</v>
      </c>
      <c r="DW182" s="228">
        <v>0.57999999999999996</v>
      </c>
      <c r="DX182" s="228">
        <v>-0.18</v>
      </c>
      <c r="DY182" s="229">
        <v>-0.31030000000000002</v>
      </c>
      <c r="DZ182" s="229">
        <v>1.17E-2</v>
      </c>
      <c r="EA182" s="230">
        <v>4825</v>
      </c>
      <c r="EB182" s="229">
        <v>-1.18E-2</v>
      </c>
      <c r="EC182" s="229">
        <v>1.17E-2</v>
      </c>
      <c r="ED182" s="228">
        <v>-223.54</v>
      </c>
      <c r="EE182" s="229">
        <v>-9.1000000000000004E-3</v>
      </c>
      <c r="EF182" s="230">
        <v>3626</v>
      </c>
      <c r="EG182" s="230">
        <v>16579</v>
      </c>
      <c r="EH182" s="229">
        <v>-0.78129999999999999</v>
      </c>
      <c r="EI182" s="229">
        <v>0.27760000000000001</v>
      </c>
      <c r="EJ182" s="231">
        <v>13873.05</v>
      </c>
      <c r="EK182" s="231">
        <v>5164.82</v>
      </c>
      <c r="EL182" s="231">
        <v>13632.54</v>
      </c>
      <c r="EM182" s="231">
        <v>5097</v>
      </c>
      <c r="EN182" s="231">
        <v>32670.41</v>
      </c>
      <c r="EO182" s="231">
        <v>34302.949999999997</v>
      </c>
      <c r="EP182" s="231">
        <v>-1632.54</v>
      </c>
      <c r="EQ182" s="229">
        <v>-4.7600000000000003E-2</v>
      </c>
      <c r="ER182" s="231">
        <v>10279</v>
      </c>
      <c r="ES182" s="231">
        <v>8653</v>
      </c>
      <c r="ET182" s="231">
        <v>99709</v>
      </c>
      <c r="EU182" s="231">
        <v>1655049</v>
      </c>
      <c r="EV182" s="231">
        <v>118641</v>
      </c>
      <c r="EW182" s="231">
        <v>111530</v>
      </c>
      <c r="EX182" s="231">
        <v>7111</v>
      </c>
      <c r="EY182" s="229">
        <v>6.3799999999999996E-2</v>
      </c>
      <c r="EZ182" s="229">
        <v>0.29110000000000003</v>
      </c>
      <c r="FA182" s="227" t="s">
        <v>555</v>
      </c>
      <c r="FB182" s="161">
        <f t="shared" si="4"/>
        <v>0</v>
      </c>
    </row>
    <row r="183" spans="1:158" ht="17.25" thickBot="1" x14ac:dyDescent="0.3">
      <c r="A183" s="226">
        <v>46146</v>
      </c>
      <c r="B183" s="227" t="s">
        <v>175</v>
      </c>
      <c r="C183" s="227" t="s">
        <v>561</v>
      </c>
      <c r="D183" s="228">
        <v>825</v>
      </c>
      <c r="E183" s="228">
        <v>962.95</v>
      </c>
      <c r="F183" s="228">
        <v>939.95</v>
      </c>
      <c r="G183" s="228">
        <v>23</v>
      </c>
      <c r="H183" s="229">
        <v>2.4500000000000001E-2</v>
      </c>
      <c r="I183" s="228">
        <v>960.45</v>
      </c>
      <c r="J183" s="228">
        <v>937.35</v>
      </c>
      <c r="K183" s="228">
        <v>23.1</v>
      </c>
      <c r="L183" s="229">
        <v>2.46E-2</v>
      </c>
      <c r="M183" s="228">
        <v>962.95</v>
      </c>
      <c r="N183" s="228">
        <v>939.95</v>
      </c>
      <c r="O183" s="228">
        <v>23</v>
      </c>
      <c r="P183" s="229">
        <v>2.4500000000000001E-2</v>
      </c>
      <c r="Q183" s="228">
        <v>969.35</v>
      </c>
      <c r="R183" s="228">
        <v>946.9</v>
      </c>
      <c r="S183" s="228">
        <v>22.45</v>
      </c>
      <c r="T183" s="229">
        <v>2.3699999999999999E-2</v>
      </c>
      <c r="U183" s="228">
        <v>968.45</v>
      </c>
      <c r="V183" s="228">
        <v>945.1</v>
      </c>
      <c r="W183" s="228">
        <v>23.35</v>
      </c>
      <c r="X183" s="229">
        <v>2.47E-2</v>
      </c>
      <c r="Y183" s="228">
        <v>2.5</v>
      </c>
      <c r="Z183" s="228">
        <v>2.6</v>
      </c>
      <c r="AA183" s="228">
        <v>-0.1</v>
      </c>
      <c r="AB183" s="229">
        <v>2.5999999999999999E-3</v>
      </c>
      <c r="AC183" s="228">
        <v>2.5</v>
      </c>
      <c r="AD183" s="228">
        <v>2.6</v>
      </c>
      <c r="AE183" s="228">
        <v>-0.1</v>
      </c>
      <c r="AF183" s="229">
        <v>2.5999999999999999E-3</v>
      </c>
      <c r="AG183" s="228">
        <v>8.9</v>
      </c>
      <c r="AH183" s="228">
        <v>9.5500000000000007</v>
      </c>
      <c r="AI183" s="228">
        <v>-0.65</v>
      </c>
      <c r="AJ183" s="229">
        <v>9.2999999999999992E-3</v>
      </c>
      <c r="AK183" s="228">
        <v>8</v>
      </c>
      <c r="AL183" s="228">
        <v>7.75</v>
      </c>
      <c r="AM183" s="228">
        <v>0.25</v>
      </c>
      <c r="AN183" s="229">
        <v>8.3000000000000001E-3</v>
      </c>
      <c r="AO183" s="228">
        <v>964.15</v>
      </c>
      <c r="AP183" s="228">
        <v>969.83</v>
      </c>
      <c r="AQ183" s="228">
        <v>0</v>
      </c>
      <c r="AR183" s="230">
        <v>6241950</v>
      </c>
      <c r="AS183" s="230">
        <v>6582675</v>
      </c>
      <c r="AT183" s="230">
        <v>-340725</v>
      </c>
      <c r="AU183" s="229">
        <v>-5.1799999999999999E-2</v>
      </c>
      <c r="AV183" s="230">
        <v>5871525</v>
      </c>
      <c r="AW183" s="230">
        <v>6278250</v>
      </c>
      <c r="AX183" s="230">
        <v>-406725</v>
      </c>
      <c r="AY183" s="229">
        <v>-6.4799999999999996E-2</v>
      </c>
      <c r="AZ183" s="230">
        <v>317625</v>
      </c>
      <c r="BA183" s="230">
        <v>244200</v>
      </c>
      <c r="BB183" s="230">
        <v>73425</v>
      </c>
      <c r="BC183" s="229">
        <v>0.30070000000000002</v>
      </c>
      <c r="BD183" s="230">
        <v>52800</v>
      </c>
      <c r="BE183" s="230">
        <v>60225</v>
      </c>
      <c r="BF183" s="230">
        <v>-7425</v>
      </c>
      <c r="BG183" s="229">
        <v>-0.12330000000000001</v>
      </c>
      <c r="BH183" s="230">
        <v>16603950</v>
      </c>
      <c r="BI183" s="230">
        <v>18872700</v>
      </c>
      <c r="BJ183" s="230">
        <v>-2268750</v>
      </c>
      <c r="BK183" s="229">
        <v>-0.1202</v>
      </c>
      <c r="BL183" s="230">
        <v>6227100</v>
      </c>
      <c r="BM183" s="230">
        <v>10151625</v>
      </c>
      <c r="BN183" s="230">
        <v>-3924525</v>
      </c>
      <c r="BO183" s="229">
        <v>-0.3866</v>
      </c>
      <c r="BP183" s="230">
        <v>29073000</v>
      </c>
      <c r="BQ183" s="230">
        <v>35607000</v>
      </c>
      <c r="BR183" s="230">
        <v>-6534000</v>
      </c>
      <c r="BS183" s="229">
        <v>-0.1835</v>
      </c>
      <c r="BT183" s="230">
        <v>4189219</v>
      </c>
      <c r="BU183" s="230">
        <v>6209789</v>
      </c>
      <c r="BV183" s="230">
        <v>-2020570</v>
      </c>
      <c r="BW183" s="229">
        <v>-0.32540000000000002</v>
      </c>
      <c r="BX183" s="230">
        <v>44382525</v>
      </c>
      <c r="BY183" s="230">
        <v>43366950</v>
      </c>
      <c r="BZ183" s="230">
        <v>1015575</v>
      </c>
      <c r="CA183" s="229">
        <v>2.3400000000000001E-2</v>
      </c>
      <c r="CB183" s="230">
        <v>38591850</v>
      </c>
      <c r="CC183" s="230">
        <v>37718175</v>
      </c>
      <c r="CD183" s="230">
        <v>873675</v>
      </c>
      <c r="CE183" s="229">
        <v>2.3199999999999998E-2</v>
      </c>
      <c r="CF183" s="230">
        <v>5716425</v>
      </c>
      <c r="CG183" s="230">
        <v>5586075</v>
      </c>
      <c r="CH183" s="230">
        <v>130350</v>
      </c>
      <c r="CI183" s="229">
        <v>2.3300000000000001E-2</v>
      </c>
      <c r="CJ183" s="230">
        <v>74250</v>
      </c>
      <c r="CK183" s="230">
        <v>62700</v>
      </c>
      <c r="CL183" s="230">
        <v>11550</v>
      </c>
      <c r="CM183" s="229">
        <v>0.1842</v>
      </c>
      <c r="CN183" s="230">
        <v>18715125</v>
      </c>
      <c r="CO183" s="230">
        <v>18428850</v>
      </c>
      <c r="CP183" s="230">
        <v>286275</v>
      </c>
      <c r="CQ183" s="229">
        <v>1.55E-2</v>
      </c>
      <c r="CR183" s="230">
        <v>8768925</v>
      </c>
      <c r="CS183" s="230">
        <v>8820900</v>
      </c>
      <c r="CT183" s="230">
        <v>-51975</v>
      </c>
      <c r="CU183" s="229">
        <v>-5.8999999999999999E-3</v>
      </c>
      <c r="CV183" s="230">
        <v>71866575</v>
      </c>
      <c r="CW183" s="230">
        <v>70616700</v>
      </c>
      <c r="CX183" s="230">
        <v>1249875</v>
      </c>
      <c r="CY183" s="229">
        <v>1.77E-2</v>
      </c>
      <c r="CZ183" s="228">
        <v>38.44</v>
      </c>
      <c r="DA183" s="228">
        <v>38.24</v>
      </c>
      <c r="DB183" s="228">
        <v>0.2</v>
      </c>
      <c r="DC183" s="228">
        <v>0.2</v>
      </c>
      <c r="DD183" s="228">
        <v>44.83</v>
      </c>
      <c r="DE183" s="228">
        <v>44.82</v>
      </c>
      <c r="DF183" s="228">
        <v>-6.39</v>
      </c>
      <c r="DG183" s="228">
        <v>0.01</v>
      </c>
      <c r="DH183" s="228">
        <v>38.590000000000003</v>
      </c>
      <c r="DI183" s="228">
        <v>38.659999999999997</v>
      </c>
      <c r="DJ183" s="228">
        <v>-7.0000000000000007E-2</v>
      </c>
      <c r="DK183" s="228">
        <v>-7.0000000000000007E-2</v>
      </c>
      <c r="DL183" s="228">
        <v>38.04</v>
      </c>
      <c r="DM183" s="228">
        <v>37.479999999999997</v>
      </c>
      <c r="DN183" s="228">
        <v>0.56000000000000005</v>
      </c>
      <c r="DO183" s="228">
        <v>0.56000000000000005</v>
      </c>
      <c r="DP183" s="228">
        <v>0.47</v>
      </c>
      <c r="DQ183" s="228">
        <v>0.48</v>
      </c>
      <c r="DR183" s="228">
        <v>-0.01</v>
      </c>
      <c r="DS183" s="229">
        <v>-2.0799999999999999E-2</v>
      </c>
      <c r="DT183" s="231">
        <v>1100</v>
      </c>
      <c r="DU183" s="228">
        <v>900</v>
      </c>
      <c r="DV183" s="228">
        <v>0.38</v>
      </c>
      <c r="DW183" s="228">
        <v>0.54</v>
      </c>
      <c r="DX183" s="228">
        <v>-0.16</v>
      </c>
      <c r="DY183" s="229">
        <v>-0.29630000000000001</v>
      </c>
      <c r="DZ183" s="229">
        <v>0.1305</v>
      </c>
      <c r="EA183" s="230">
        <v>5648775</v>
      </c>
      <c r="EB183" s="229">
        <v>6.6E-3</v>
      </c>
      <c r="EC183" s="229">
        <v>0.1305</v>
      </c>
      <c r="ED183" s="228">
        <v>5.68</v>
      </c>
      <c r="EE183" s="229">
        <v>5.8999999999999999E-3</v>
      </c>
      <c r="EF183" s="230">
        <v>1865709</v>
      </c>
      <c r="EG183" s="230">
        <v>2973121</v>
      </c>
      <c r="EH183" s="229">
        <v>-0.3725</v>
      </c>
      <c r="EI183" s="229">
        <v>0.44540000000000002</v>
      </c>
      <c r="EJ183" s="231">
        <v>171483.39</v>
      </c>
      <c r="EK183" s="231">
        <v>58753.760000000002</v>
      </c>
      <c r="EL183" s="231">
        <v>60201.58</v>
      </c>
      <c r="EM183" s="231">
        <v>18176</v>
      </c>
      <c r="EN183" s="231">
        <v>290438.73</v>
      </c>
      <c r="EO183" s="231">
        <v>349998.72</v>
      </c>
      <c r="EP183" s="231">
        <v>-59559.99</v>
      </c>
      <c r="EQ183" s="229">
        <v>-0.17019999999999999</v>
      </c>
      <c r="ER183" s="231">
        <v>193861</v>
      </c>
      <c r="ES183" s="231">
        <v>81859</v>
      </c>
      <c r="ET183" s="231">
        <v>427751</v>
      </c>
      <c r="EU183" s="231">
        <v>210567108</v>
      </c>
      <c r="EV183" s="231">
        <v>703471</v>
      </c>
      <c r="EW183" s="231">
        <v>681115</v>
      </c>
      <c r="EX183" s="231">
        <v>22356</v>
      </c>
      <c r="EY183" s="229">
        <v>3.2800000000000003E-2</v>
      </c>
      <c r="EZ183" s="229">
        <v>0.34129999999999999</v>
      </c>
      <c r="FA183" s="227" t="s">
        <v>555</v>
      </c>
      <c r="FB183" s="161">
        <f t="shared" si="4"/>
        <v>0</v>
      </c>
    </row>
    <row r="184" spans="1:158" ht="17.25" thickBot="1" x14ac:dyDescent="0.3">
      <c r="A184" s="226">
        <v>46146</v>
      </c>
      <c r="B184" s="227" t="s">
        <v>184</v>
      </c>
      <c r="C184" s="227" t="s">
        <v>285</v>
      </c>
      <c r="D184" s="228">
        <v>175</v>
      </c>
      <c r="E184" s="231">
        <v>3835.4</v>
      </c>
      <c r="F184" s="231">
        <v>3821.9</v>
      </c>
      <c r="G184" s="228">
        <v>13.5</v>
      </c>
      <c r="H184" s="229">
        <v>3.5000000000000001E-3</v>
      </c>
      <c r="I184" s="231">
        <v>3834.1</v>
      </c>
      <c r="J184" s="231">
        <v>3808.2</v>
      </c>
      <c r="K184" s="228">
        <v>25.9</v>
      </c>
      <c r="L184" s="229">
        <v>6.7999999999999996E-3</v>
      </c>
      <c r="M184" s="231">
        <v>3835.4</v>
      </c>
      <c r="N184" s="231">
        <v>3821.9</v>
      </c>
      <c r="O184" s="228">
        <v>13.5</v>
      </c>
      <c r="P184" s="229">
        <v>3.5000000000000001E-3</v>
      </c>
      <c r="Q184" s="231">
        <v>3823.7</v>
      </c>
      <c r="R184" s="231">
        <v>3819.7</v>
      </c>
      <c r="S184" s="228">
        <v>4</v>
      </c>
      <c r="T184" s="229">
        <v>1E-3</v>
      </c>
      <c r="U184" s="231">
        <v>3883</v>
      </c>
      <c r="V184" s="228">
        <v>0</v>
      </c>
      <c r="W184" s="231">
        <v>3883</v>
      </c>
      <c r="X184" s="229">
        <v>0</v>
      </c>
      <c r="Y184" s="228">
        <v>1.3</v>
      </c>
      <c r="Z184" s="228">
        <v>13.7</v>
      </c>
      <c r="AA184" s="228">
        <v>-12.4</v>
      </c>
      <c r="AB184" s="229">
        <v>2.9999999999999997E-4</v>
      </c>
      <c r="AC184" s="228">
        <v>1.3</v>
      </c>
      <c r="AD184" s="228">
        <v>13.7</v>
      </c>
      <c r="AE184" s="228">
        <v>-12.4</v>
      </c>
      <c r="AF184" s="229">
        <v>2.9999999999999997E-4</v>
      </c>
      <c r="AG184" s="228">
        <v>-10.4</v>
      </c>
      <c r="AH184" s="228">
        <v>11.5</v>
      </c>
      <c r="AI184" s="228">
        <v>-21.9</v>
      </c>
      <c r="AJ184" s="229">
        <v>-2.7000000000000001E-3</v>
      </c>
      <c r="AK184" s="228">
        <v>48.9</v>
      </c>
      <c r="AL184" s="228">
        <v>0</v>
      </c>
      <c r="AM184" s="228">
        <v>48.9</v>
      </c>
      <c r="AN184" s="229">
        <v>1.2800000000000001E-2</v>
      </c>
      <c r="AO184" s="231">
        <v>3879.85</v>
      </c>
      <c r="AP184" s="231">
        <v>3872.1</v>
      </c>
      <c r="AQ184" s="228">
        <v>0</v>
      </c>
      <c r="AR184" s="230">
        <v>877625</v>
      </c>
      <c r="AS184" s="230">
        <v>589225</v>
      </c>
      <c r="AT184" s="230">
        <v>288400</v>
      </c>
      <c r="AU184" s="229">
        <v>0.48949999999999999</v>
      </c>
      <c r="AV184" s="230">
        <v>836675</v>
      </c>
      <c r="AW184" s="230">
        <v>575225</v>
      </c>
      <c r="AX184" s="230">
        <v>261450</v>
      </c>
      <c r="AY184" s="229">
        <v>0.45450000000000002</v>
      </c>
      <c r="AZ184" s="230">
        <v>40775</v>
      </c>
      <c r="BA184" s="230">
        <v>14000</v>
      </c>
      <c r="BB184" s="230">
        <v>26775</v>
      </c>
      <c r="BC184" s="229">
        <v>1.9125000000000001</v>
      </c>
      <c r="BD184" s="228">
        <v>175</v>
      </c>
      <c r="BE184" s="228">
        <v>0</v>
      </c>
      <c r="BF184" s="228">
        <v>175</v>
      </c>
      <c r="BG184" s="229">
        <v>0</v>
      </c>
      <c r="BH184" s="230">
        <v>3536225</v>
      </c>
      <c r="BI184" s="230">
        <v>1501500</v>
      </c>
      <c r="BJ184" s="230">
        <v>2034725</v>
      </c>
      <c r="BK184" s="229">
        <v>1.3551</v>
      </c>
      <c r="BL184" s="230">
        <v>971425</v>
      </c>
      <c r="BM184" s="230">
        <v>567350</v>
      </c>
      <c r="BN184" s="230">
        <v>404075</v>
      </c>
      <c r="BO184" s="229">
        <v>0.71220000000000006</v>
      </c>
      <c r="BP184" s="230">
        <v>5385275</v>
      </c>
      <c r="BQ184" s="230">
        <v>2658075</v>
      </c>
      <c r="BR184" s="230">
        <v>2727200</v>
      </c>
      <c r="BS184" s="229">
        <v>1.026</v>
      </c>
      <c r="BT184" s="230">
        <v>853821</v>
      </c>
      <c r="BU184" s="230">
        <v>491886</v>
      </c>
      <c r="BV184" s="230">
        <v>361935</v>
      </c>
      <c r="BW184" s="229">
        <v>0.73580000000000001</v>
      </c>
      <c r="BX184" s="230">
        <v>3046575</v>
      </c>
      <c r="BY184" s="230">
        <v>2928625</v>
      </c>
      <c r="BZ184" s="230">
        <v>117950</v>
      </c>
      <c r="CA184" s="229">
        <v>4.0300000000000002E-2</v>
      </c>
      <c r="CB184" s="230">
        <v>3005100</v>
      </c>
      <c r="CC184" s="230">
        <v>2884700</v>
      </c>
      <c r="CD184" s="230">
        <v>120400</v>
      </c>
      <c r="CE184" s="229">
        <v>4.1700000000000001E-2</v>
      </c>
      <c r="CF184" s="230">
        <v>41300</v>
      </c>
      <c r="CG184" s="230">
        <v>43925</v>
      </c>
      <c r="CH184" s="230">
        <v>-2625</v>
      </c>
      <c r="CI184" s="229">
        <v>-5.9799999999999999E-2</v>
      </c>
      <c r="CJ184" s="228">
        <v>175</v>
      </c>
      <c r="CK184" s="228">
        <v>0</v>
      </c>
      <c r="CL184" s="228">
        <v>175</v>
      </c>
      <c r="CM184" s="229">
        <v>0</v>
      </c>
      <c r="CN184" s="230">
        <v>956375</v>
      </c>
      <c r="CO184" s="230">
        <v>741300</v>
      </c>
      <c r="CP184" s="230">
        <v>215075</v>
      </c>
      <c r="CQ184" s="229">
        <v>0.29010000000000002</v>
      </c>
      <c r="CR184" s="230">
        <v>538125</v>
      </c>
      <c r="CS184" s="230">
        <v>453075</v>
      </c>
      <c r="CT184" s="230">
        <v>85050</v>
      </c>
      <c r="CU184" s="229">
        <v>0.18770000000000001</v>
      </c>
      <c r="CV184" s="230">
        <v>4541075</v>
      </c>
      <c r="CW184" s="230">
        <v>4123000</v>
      </c>
      <c r="CX184" s="230">
        <v>418075</v>
      </c>
      <c r="CY184" s="229">
        <v>0.1014</v>
      </c>
      <c r="CZ184" s="228">
        <v>41.1</v>
      </c>
      <c r="DA184" s="228">
        <v>39.97</v>
      </c>
      <c r="DB184" s="228">
        <v>1.1299999999999999</v>
      </c>
      <c r="DC184" s="228">
        <v>1.1299999999999999</v>
      </c>
      <c r="DD184" s="228">
        <v>40.56</v>
      </c>
      <c r="DE184" s="228">
        <v>40.659999999999997</v>
      </c>
      <c r="DF184" s="228">
        <v>0.54</v>
      </c>
      <c r="DG184" s="228">
        <v>-0.1</v>
      </c>
      <c r="DH184" s="228">
        <v>41.12</v>
      </c>
      <c r="DI184" s="228">
        <v>40.01</v>
      </c>
      <c r="DJ184" s="228">
        <v>1.1100000000000001</v>
      </c>
      <c r="DK184" s="228">
        <v>1.1100000000000001</v>
      </c>
      <c r="DL184" s="228">
        <v>41.05</v>
      </c>
      <c r="DM184" s="228">
        <v>39.840000000000003</v>
      </c>
      <c r="DN184" s="228">
        <v>1.21</v>
      </c>
      <c r="DO184" s="228">
        <v>1.21</v>
      </c>
      <c r="DP184" s="228">
        <v>0.56000000000000005</v>
      </c>
      <c r="DQ184" s="228">
        <v>0.61</v>
      </c>
      <c r="DR184" s="228">
        <v>-0.05</v>
      </c>
      <c r="DS184" s="229">
        <v>-8.2000000000000003E-2</v>
      </c>
      <c r="DT184" s="231">
        <v>4000</v>
      </c>
      <c r="DU184" s="231">
        <v>3500</v>
      </c>
      <c r="DV184" s="228">
        <v>0.27</v>
      </c>
      <c r="DW184" s="228">
        <v>0.38</v>
      </c>
      <c r="DX184" s="228">
        <v>-0.11</v>
      </c>
      <c r="DY184" s="229">
        <v>-0.28949999999999998</v>
      </c>
      <c r="DZ184" s="229">
        <v>1.3599999999999999E-2</v>
      </c>
      <c r="EA184" s="230">
        <v>43925</v>
      </c>
      <c r="EB184" s="229">
        <v>-3.0999999999999999E-3</v>
      </c>
      <c r="EC184" s="229">
        <v>1.3599999999999999E-2</v>
      </c>
      <c r="ED184" s="228">
        <v>-7.75</v>
      </c>
      <c r="EE184" s="229">
        <v>-2E-3</v>
      </c>
      <c r="EF184" s="230">
        <v>302925</v>
      </c>
      <c r="EG184" s="230">
        <v>189483</v>
      </c>
      <c r="EH184" s="229">
        <v>0.59870000000000001</v>
      </c>
      <c r="EI184" s="229">
        <v>0.3548</v>
      </c>
      <c r="EJ184" s="231">
        <v>145607.82999999999</v>
      </c>
      <c r="EK184" s="231">
        <v>37364.019999999997</v>
      </c>
      <c r="EL184" s="231">
        <v>34047.4</v>
      </c>
      <c r="EM184" s="231">
        <v>6918</v>
      </c>
      <c r="EN184" s="231">
        <v>217019.25</v>
      </c>
      <c r="EO184" s="231">
        <v>104907.96</v>
      </c>
      <c r="EP184" s="231">
        <v>112111.29</v>
      </c>
      <c r="EQ184" s="229">
        <v>1.0687</v>
      </c>
      <c r="ER184" s="231">
        <v>37988</v>
      </c>
      <c r="ES184" s="231">
        <v>19509</v>
      </c>
      <c r="ET184" s="231">
        <v>116844</v>
      </c>
      <c r="EU184" s="231">
        <v>10374894</v>
      </c>
      <c r="EV184" s="231">
        <v>174340</v>
      </c>
      <c r="EW184" s="231">
        <v>157782</v>
      </c>
      <c r="EX184" s="231">
        <v>16558</v>
      </c>
      <c r="EY184" s="229">
        <v>0.10489999999999999</v>
      </c>
      <c r="EZ184" s="229">
        <v>0.43769999999999998</v>
      </c>
      <c r="FA184" s="227" t="s">
        <v>555</v>
      </c>
      <c r="FB184" s="161">
        <f t="shared" si="4"/>
        <v>0</v>
      </c>
    </row>
    <row r="185" spans="1:158" ht="17.25" thickBot="1" x14ac:dyDescent="0.3">
      <c r="A185" s="226">
        <v>46146</v>
      </c>
      <c r="B185" s="227" t="s">
        <v>498</v>
      </c>
      <c r="C185" s="227" t="s">
        <v>645</v>
      </c>
      <c r="D185" s="228">
        <v>50</v>
      </c>
      <c r="E185" s="231">
        <v>15520</v>
      </c>
      <c r="F185" s="231">
        <v>15535</v>
      </c>
      <c r="G185" s="228">
        <v>-15</v>
      </c>
      <c r="H185" s="229">
        <v>-1E-3</v>
      </c>
      <c r="I185" s="231">
        <v>15459</v>
      </c>
      <c r="J185" s="231">
        <v>15439</v>
      </c>
      <c r="K185" s="228">
        <v>20</v>
      </c>
      <c r="L185" s="229">
        <v>1.2999999999999999E-3</v>
      </c>
      <c r="M185" s="231">
        <v>15520</v>
      </c>
      <c r="N185" s="231">
        <v>15535</v>
      </c>
      <c r="O185" s="228">
        <v>-15</v>
      </c>
      <c r="P185" s="229">
        <v>-1E-3</v>
      </c>
      <c r="Q185" s="231">
        <v>15601</v>
      </c>
      <c r="R185" s="231">
        <v>15623</v>
      </c>
      <c r="S185" s="228">
        <v>-22</v>
      </c>
      <c r="T185" s="229">
        <v>-1.4E-3</v>
      </c>
      <c r="U185" s="231">
        <v>15550</v>
      </c>
      <c r="V185" s="231">
        <v>15700</v>
      </c>
      <c r="W185" s="228">
        <v>-150</v>
      </c>
      <c r="X185" s="229">
        <v>-9.5999999999999992E-3</v>
      </c>
      <c r="Y185" s="228">
        <v>61</v>
      </c>
      <c r="Z185" s="228">
        <v>96</v>
      </c>
      <c r="AA185" s="228">
        <v>-35</v>
      </c>
      <c r="AB185" s="229">
        <v>3.8999999999999998E-3</v>
      </c>
      <c r="AC185" s="228">
        <v>61</v>
      </c>
      <c r="AD185" s="228">
        <v>96</v>
      </c>
      <c r="AE185" s="228">
        <v>-35</v>
      </c>
      <c r="AF185" s="229">
        <v>3.8999999999999998E-3</v>
      </c>
      <c r="AG185" s="228">
        <v>142</v>
      </c>
      <c r="AH185" s="228">
        <v>184</v>
      </c>
      <c r="AI185" s="228">
        <v>-42</v>
      </c>
      <c r="AJ185" s="229">
        <v>9.1999999999999998E-3</v>
      </c>
      <c r="AK185" s="228">
        <v>91</v>
      </c>
      <c r="AL185" s="228">
        <v>261</v>
      </c>
      <c r="AM185" s="228">
        <v>-170</v>
      </c>
      <c r="AN185" s="229">
        <v>5.8999999999999999E-3</v>
      </c>
      <c r="AO185" s="231">
        <v>15550.86</v>
      </c>
      <c r="AP185" s="231">
        <v>15631.64</v>
      </c>
      <c r="AQ185" s="228">
        <v>0</v>
      </c>
      <c r="AR185" s="230">
        <v>54400</v>
      </c>
      <c r="AS185" s="230">
        <v>84450</v>
      </c>
      <c r="AT185" s="230">
        <v>-30050</v>
      </c>
      <c r="AU185" s="229">
        <v>-0.35580000000000001</v>
      </c>
      <c r="AV185" s="230">
        <v>50450</v>
      </c>
      <c r="AW185" s="230">
        <v>81400</v>
      </c>
      <c r="AX185" s="230">
        <v>-30950</v>
      </c>
      <c r="AY185" s="229">
        <v>-0.38019999999999998</v>
      </c>
      <c r="AZ185" s="230">
        <v>3350</v>
      </c>
      <c r="BA185" s="230">
        <v>2650</v>
      </c>
      <c r="BB185" s="228">
        <v>700</v>
      </c>
      <c r="BC185" s="229">
        <v>0.26419999999999999</v>
      </c>
      <c r="BD185" s="228">
        <v>600</v>
      </c>
      <c r="BE185" s="228">
        <v>400</v>
      </c>
      <c r="BF185" s="228">
        <v>200</v>
      </c>
      <c r="BG185" s="229">
        <v>0.5</v>
      </c>
      <c r="BH185" s="230">
        <v>91300</v>
      </c>
      <c r="BI185" s="230">
        <v>143550</v>
      </c>
      <c r="BJ185" s="230">
        <v>-52250</v>
      </c>
      <c r="BK185" s="229">
        <v>-0.36399999999999999</v>
      </c>
      <c r="BL185" s="230">
        <v>56550</v>
      </c>
      <c r="BM185" s="230">
        <v>58800</v>
      </c>
      <c r="BN185" s="230">
        <v>-2250</v>
      </c>
      <c r="BO185" s="229">
        <v>-3.8300000000000001E-2</v>
      </c>
      <c r="BP185" s="230">
        <v>202250</v>
      </c>
      <c r="BQ185" s="230">
        <v>286800</v>
      </c>
      <c r="BR185" s="230">
        <v>-84550</v>
      </c>
      <c r="BS185" s="229">
        <v>-0.29480000000000001</v>
      </c>
      <c r="BT185" s="230">
        <v>78495</v>
      </c>
      <c r="BU185" s="230">
        <v>97854</v>
      </c>
      <c r="BV185" s="230">
        <v>-19359</v>
      </c>
      <c r="BW185" s="229">
        <v>-0.1978</v>
      </c>
      <c r="BX185" s="230">
        <v>769750</v>
      </c>
      <c r="BY185" s="230">
        <v>772700</v>
      </c>
      <c r="BZ185" s="230">
        <v>-2950</v>
      </c>
      <c r="CA185" s="229">
        <v>-3.8E-3</v>
      </c>
      <c r="CB185" s="230">
        <v>715700</v>
      </c>
      <c r="CC185" s="230">
        <v>719900</v>
      </c>
      <c r="CD185" s="230">
        <v>-4200</v>
      </c>
      <c r="CE185" s="229">
        <v>-5.7999999999999996E-3</v>
      </c>
      <c r="CF185" s="230">
        <v>52450</v>
      </c>
      <c r="CG185" s="230">
        <v>51600</v>
      </c>
      <c r="CH185" s="228">
        <v>850</v>
      </c>
      <c r="CI185" s="229">
        <v>1.6500000000000001E-2</v>
      </c>
      <c r="CJ185" s="230">
        <v>1600</v>
      </c>
      <c r="CK185" s="230">
        <v>1200</v>
      </c>
      <c r="CL185" s="228">
        <v>400</v>
      </c>
      <c r="CM185" s="229">
        <v>0.33329999999999999</v>
      </c>
      <c r="CN185" s="230">
        <v>102950</v>
      </c>
      <c r="CO185" s="230">
        <v>97850</v>
      </c>
      <c r="CP185" s="230">
        <v>5100</v>
      </c>
      <c r="CQ185" s="229">
        <v>5.21E-2</v>
      </c>
      <c r="CR185" s="230">
        <v>71350</v>
      </c>
      <c r="CS185" s="230">
        <v>71500</v>
      </c>
      <c r="CT185" s="228">
        <v>-150</v>
      </c>
      <c r="CU185" s="229">
        <v>-2.0999999999999999E-3</v>
      </c>
      <c r="CV185" s="230">
        <v>944050</v>
      </c>
      <c r="CW185" s="230">
        <v>942050</v>
      </c>
      <c r="CX185" s="230">
        <v>2000</v>
      </c>
      <c r="CY185" s="229">
        <v>2.0999999999999999E-3</v>
      </c>
      <c r="CZ185" s="228">
        <v>41.07</v>
      </c>
      <c r="DA185" s="228">
        <v>40.43</v>
      </c>
      <c r="DB185" s="228">
        <v>0.64</v>
      </c>
      <c r="DC185" s="228">
        <v>0.64</v>
      </c>
      <c r="DD185" s="228">
        <v>41.31</v>
      </c>
      <c r="DE185" s="228">
        <v>41.42</v>
      </c>
      <c r="DF185" s="228">
        <v>-0.24</v>
      </c>
      <c r="DG185" s="228">
        <v>-0.11</v>
      </c>
      <c r="DH185" s="228">
        <v>39.64</v>
      </c>
      <c r="DI185" s="228">
        <v>39.630000000000003</v>
      </c>
      <c r="DJ185" s="228">
        <v>0.01</v>
      </c>
      <c r="DK185" s="228">
        <v>0.01</v>
      </c>
      <c r="DL185" s="228">
        <v>43.36</v>
      </c>
      <c r="DM185" s="228">
        <v>42.38</v>
      </c>
      <c r="DN185" s="228">
        <v>0.98</v>
      </c>
      <c r="DO185" s="228">
        <v>0.98</v>
      </c>
      <c r="DP185" s="228">
        <v>0.69</v>
      </c>
      <c r="DQ185" s="228">
        <v>0.73</v>
      </c>
      <c r="DR185" s="228">
        <v>-0.04</v>
      </c>
      <c r="DS185" s="229">
        <v>-5.4800000000000001E-2</v>
      </c>
      <c r="DT185" s="231">
        <v>16000</v>
      </c>
      <c r="DU185" s="231">
        <v>15000</v>
      </c>
      <c r="DV185" s="228">
        <v>0.62</v>
      </c>
      <c r="DW185" s="228">
        <v>0.41</v>
      </c>
      <c r="DX185" s="228">
        <v>0.21</v>
      </c>
      <c r="DY185" s="229">
        <v>0.51219999999999999</v>
      </c>
      <c r="DZ185" s="229">
        <v>7.0199999999999999E-2</v>
      </c>
      <c r="EA185" s="230">
        <v>52800</v>
      </c>
      <c r="EB185" s="229">
        <v>5.1999999999999998E-3</v>
      </c>
      <c r="EC185" s="229">
        <v>7.0199999999999999E-2</v>
      </c>
      <c r="ED185" s="228">
        <v>80.78</v>
      </c>
      <c r="EE185" s="229">
        <v>5.1999999999999998E-3</v>
      </c>
      <c r="EF185" s="230">
        <v>25161</v>
      </c>
      <c r="EG185" s="230">
        <v>32759</v>
      </c>
      <c r="EH185" s="229">
        <v>-0.2319</v>
      </c>
      <c r="EI185" s="229">
        <v>0.32050000000000001</v>
      </c>
      <c r="EJ185" s="231">
        <v>15219.95</v>
      </c>
      <c r="EK185" s="231">
        <v>8032.98</v>
      </c>
      <c r="EL185" s="231">
        <v>8462.91</v>
      </c>
      <c r="EM185" s="231">
        <v>4810</v>
      </c>
      <c r="EN185" s="231">
        <v>31715.84</v>
      </c>
      <c r="EO185" s="231">
        <v>45516.54</v>
      </c>
      <c r="EP185" s="231">
        <v>-13800.7</v>
      </c>
      <c r="EQ185" s="229">
        <v>-0.30320000000000003</v>
      </c>
      <c r="ER185" s="231">
        <v>16679</v>
      </c>
      <c r="ES185" s="231">
        <v>10295</v>
      </c>
      <c r="ET185" s="231">
        <v>119508</v>
      </c>
      <c r="EU185" s="231">
        <v>3644817</v>
      </c>
      <c r="EV185" s="231">
        <v>146482</v>
      </c>
      <c r="EW185" s="231">
        <v>146232</v>
      </c>
      <c r="EX185" s="228">
        <v>250</v>
      </c>
      <c r="EY185" s="229">
        <v>1.6999999999999999E-3</v>
      </c>
      <c r="EZ185" s="229">
        <v>0.25900000000000001</v>
      </c>
      <c r="FA185" s="227" t="s">
        <v>567</v>
      </c>
      <c r="FB185" s="161">
        <f t="shared" si="4"/>
        <v>0</v>
      </c>
    </row>
    <row r="186" spans="1:158" ht="17.25" thickBot="1" x14ac:dyDescent="0.3">
      <c r="A186" s="226">
        <v>46146</v>
      </c>
      <c r="B186" s="227" t="s">
        <v>162</v>
      </c>
      <c r="C186" s="227" t="s">
        <v>613</v>
      </c>
      <c r="D186" s="228">
        <v>1225</v>
      </c>
      <c r="E186" s="228">
        <v>577</v>
      </c>
      <c r="F186" s="228">
        <v>609.25</v>
      </c>
      <c r="G186" s="228">
        <v>-32.25</v>
      </c>
      <c r="H186" s="229">
        <v>-5.2900000000000003E-2</v>
      </c>
      <c r="I186" s="228">
        <v>575.45000000000005</v>
      </c>
      <c r="J186" s="228">
        <v>607.25</v>
      </c>
      <c r="K186" s="228">
        <v>-31.8</v>
      </c>
      <c r="L186" s="229">
        <v>-5.2400000000000002E-2</v>
      </c>
      <c r="M186" s="228">
        <v>577</v>
      </c>
      <c r="N186" s="228">
        <v>609.25</v>
      </c>
      <c r="O186" s="228">
        <v>-32.25</v>
      </c>
      <c r="P186" s="229">
        <v>-5.2900000000000003E-2</v>
      </c>
      <c r="Q186" s="228">
        <v>579.1</v>
      </c>
      <c r="R186" s="228">
        <v>613.04999999999995</v>
      </c>
      <c r="S186" s="228">
        <v>-33.950000000000003</v>
      </c>
      <c r="T186" s="229">
        <v>-5.5399999999999998E-2</v>
      </c>
      <c r="U186" s="228">
        <v>584.95000000000005</v>
      </c>
      <c r="V186" s="228">
        <v>607.9</v>
      </c>
      <c r="W186" s="228">
        <v>-22.95</v>
      </c>
      <c r="X186" s="229">
        <v>-3.78E-2</v>
      </c>
      <c r="Y186" s="228">
        <v>1.55</v>
      </c>
      <c r="Z186" s="228">
        <v>2</v>
      </c>
      <c r="AA186" s="228">
        <v>-0.45</v>
      </c>
      <c r="AB186" s="229">
        <v>2.7000000000000001E-3</v>
      </c>
      <c r="AC186" s="228">
        <v>1.55</v>
      </c>
      <c r="AD186" s="228">
        <v>2</v>
      </c>
      <c r="AE186" s="228">
        <v>-0.45</v>
      </c>
      <c r="AF186" s="229">
        <v>2.7000000000000001E-3</v>
      </c>
      <c r="AG186" s="228">
        <v>3.65</v>
      </c>
      <c r="AH186" s="228">
        <v>5.8</v>
      </c>
      <c r="AI186" s="228">
        <v>-2.15</v>
      </c>
      <c r="AJ186" s="229">
        <v>6.3E-3</v>
      </c>
      <c r="AK186" s="228">
        <v>9.5</v>
      </c>
      <c r="AL186" s="228">
        <v>0.65</v>
      </c>
      <c r="AM186" s="228">
        <v>8.85</v>
      </c>
      <c r="AN186" s="229">
        <v>1.6500000000000001E-2</v>
      </c>
      <c r="AO186" s="228">
        <v>582.41999999999996</v>
      </c>
      <c r="AP186" s="228">
        <v>583.79999999999995</v>
      </c>
      <c r="AQ186" s="228">
        <v>0</v>
      </c>
      <c r="AR186" s="230">
        <v>11027450</v>
      </c>
      <c r="AS186" s="230">
        <v>3857525</v>
      </c>
      <c r="AT186" s="230">
        <v>7169925</v>
      </c>
      <c r="AU186" s="229">
        <v>1.8587</v>
      </c>
      <c r="AV186" s="230">
        <v>10761625</v>
      </c>
      <c r="AW186" s="230">
        <v>3771775</v>
      </c>
      <c r="AX186" s="230">
        <v>6989850</v>
      </c>
      <c r="AY186" s="229">
        <v>1.8532</v>
      </c>
      <c r="AZ186" s="230">
        <v>254800</v>
      </c>
      <c r="BA186" s="230">
        <v>78400</v>
      </c>
      <c r="BB186" s="230">
        <v>176400</v>
      </c>
      <c r="BC186" s="229">
        <v>2.25</v>
      </c>
      <c r="BD186" s="230">
        <v>11025</v>
      </c>
      <c r="BE186" s="230">
        <v>7350</v>
      </c>
      <c r="BF186" s="230">
        <v>3675</v>
      </c>
      <c r="BG186" s="229">
        <v>0.5</v>
      </c>
      <c r="BH186" s="230">
        <v>13521550</v>
      </c>
      <c r="BI186" s="230">
        <v>6811000</v>
      </c>
      <c r="BJ186" s="230">
        <v>6710550</v>
      </c>
      <c r="BK186" s="229">
        <v>0.98529999999999995</v>
      </c>
      <c r="BL186" s="230">
        <v>8061725</v>
      </c>
      <c r="BM186" s="230">
        <v>3450825</v>
      </c>
      <c r="BN186" s="230">
        <v>4610900</v>
      </c>
      <c r="BO186" s="229">
        <v>1.3362000000000001</v>
      </c>
      <c r="BP186" s="230">
        <v>32610725</v>
      </c>
      <c r="BQ186" s="230">
        <v>14119350</v>
      </c>
      <c r="BR186" s="230">
        <v>18491375</v>
      </c>
      <c r="BS186" s="229">
        <v>1.3096000000000001</v>
      </c>
      <c r="BT186" s="230">
        <v>9712081</v>
      </c>
      <c r="BU186" s="230">
        <v>2958855</v>
      </c>
      <c r="BV186" s="230">
        <v>6753226</v>
      </c>
      <c r="BW186" s="229">
        <v>2.2824</v>
      </c>
      <c r="BX186" s="230">
        <v>16223900</v>
      </c>
      <c r="BY186" s="230">
        <v>14680400</v>
      </c>
      <c r="BZ186" s="230">
        <v>1543500</v>
      </c>
      <c r="CA186" s="229">
        <v>0.1051</v>
      </c>
      <c r="CB186" s="230">
        <v>16027900</v>
      </c>
      <c r="CC186" s="230">
        <v>14532175</v>
      </c>
      <c r="CD186" s="230">
        <v>1495725</v>
      </c>
      <c r="CE186" s="229">
        <v>0.10290000000000001</v>
      </c>
      <c r="CF186" s="230">
        <v>187425</v>
      </c>
      <c r="CG186" s="230">
        <v>144550</v>
      </c>
      <c r="CH186" s="230">
        <v>42875</v>
      </c>
      <c r="CI186" s="229">
        <v>0.29659999999999997</v>
      </c>
      <c r="CJ186" s="230">
        <v>8575</v>
      </c>
      <c r="CK186" s="230">
        <v>3675</v>
      </c>
      <c r="CL186" s="230">
        <v>4900</v>
      </c>
      <c r="CM186" s="229">
        <v>1.3332999999999999</v>
      </c>
      <c r="CN186" s="230">
        <v>4474925</v>
      </c>
      <c r="CO186" s="230">
        <v>2759925</v>
      </c>
      <c r="CP186" s="230">
        <v>1715000</v>
      </c>
      <c r="CQ186" s="229">
        <v>0.62139999999999995</v>
      </c>
      <c r="CR186" s="230">
        <v>2545550</v>
      </c>
      <c r="CS186" s="230">
        <v>2104550</v>
      </c>
      <c r="CT186" s="230">
        <v>441000</v>
      </c>
      <c r="CU186" s="229">
        <v>0.20949999999999999</v>
      </c>
      <c r="CV186" s="230">
        <v>23244375</v>
      </c>
      <c r="CW186" s="230">
        <v>19544875</v>
      </c>
      <c r="CX186" s="230">
        <v>3699500</v>
      </c>
      <c r="CY186" s="229">
        <v>0.1893</v>
      </c>
      <c r="CZ186" s="228">
        <v>37.57</v>
      </c>
      <c r="DA186" s="228">
        <v>41.16</v>
      </c>
      <c r="DB186" s="228">
        <v>-3.59</v>
      </c>
      <c r="DC186" s="228">
        <v>-3.59</v>
      </c>
      <c r="DD186" s="228">
        <v>41.96</v>
      </c>
      <c r="DE186" s="228">
        <v>41.42</v>
      </c>
      <c r="DF186" s="228">
        <v>-4.3899999999999997</v>
      </c>
      <c r="DG186" s="228">
        <v>0.54</v>
      </c>
      <c r="DH186" s="228">
        <v>37.65</v>
      </c>
      <c r="DI186" s="228">
        <v>40.79</v>
      </c>
      <c r="DJ186" s="228">
        <v>-3.14</v>
      </c>
      <c r="DK186" s="228">
        <v>-3.14</v>
      </c>
      <c r="DL186" s="228">
        <v>37.43</v>
      </c>
      <c r="DM186" s="228">
        <v>41.89</v>
      </c>
      <c r="DN186" s="228">
        <v>-4.46</v>
      </c>
      <c r="DO186" s="228">
        <v>-4.46</v>
      </c>
      <c r="DP186" s="228">
        <v>0.56999999999999995</v>
      </c>
      <c r="DQ186" s="228">
        <v>0.76</v>
      </c>
      <c r="DR186" s="228">
        <v>-0.19</v>
      </c>
      <c r="DS186" s="229">
        <v>-0.25</v>
      </c>
      <c r="DT186" s="228">
        <v>600</v>
      </c>
      <c r="DU186" s="228">
        <v>600</v>
      </c>
      <c r="DV186" s="228">
        <v>0.6</v>
      </c>
      <c r="DW186" s="228">
        <v>0.51</v>
      </c>
      <c r="DX186" s="228">
        <v>0.09</v>
      </c>
      <c r="DY186" s="229">
        <v>0.17649999999999999</v>
      </c>
      <c r="DZ186" s="229">
        <v>1.21E-2</v>
      </c>
      <c r="EA186" s="230">
        <v>148225</v>
      </c>
      <c r="EB186" s="229">
        <v>3.5999999999999999E-3</v>
      </c>
      <c r="EC186" s="229">
        <v>1.21E-2</v>
      </c>
      <c r="ED186" s="228">
        <v>1.38</v>
      </c>
      <c r="EE186" s="229">
        <v>2.3999999999999998E-3</v>
      </c>
      <c r="EF186" s="230">
        <v>4872883</v>
      </c>
      <c r="EG186" s="230">
        <v>1273296</v>
      </c>
      <c r="EH186" s="229">
        <v>2.827</v>
      </c>
      <c r="EI186" s="229">
        <v>0.50170000000000003</v>
      </c>
      <c r="EJ186" s="231">
        <v>84465.11</v>
      </c>
      <c r="EK186" s="231">
        <v>47293.79</v>
      </c>
      <c r="EL186" s="231">
        <v>64230.47</v>
      </c>
      <c r="EM186" s="231">
        <v>6953</v>
      </c>
      <c r="EN186" s="231">
        <v>195989.37</v>
      </c>
      <c r="EO186" s="231">
        <v>87559.15</v>
      </c>
      <c r="EP186" s="231">
        <v>108430.22</v>
      </c>
      <c r="EQ186" s="229">
        <v>1.2383999999999999</v>
      </c>
      <c r="ER186" s="231">
        <v>27320</v>
      </c>
      <c r="ES186" s="231">
        <v>14550</v>
      </c>
      <c r="ET186" s="231">
        <v>93617</v>
      </c>
      <c r="EU186" s="231">
        <v>61283708</v>
      </c>
      <c r="EV186" s="231">
        <v>135486</v>
      </c>
      <c r="EW186" s="231">
        <v>118602</v>
      </c>
      <c r="EX186" s="231">
        <v>16884</v>
      </c>
      <c r="EY186" s="229">
        <v>0.1424</v>
      </c>
      <c r="EZ186" s="229">
        <v>0.37930000000000003</v>
      </c>
      <c r="FA186" s="227" t="s">
        <v>566</v>
      </c>
      <c r="FB186" s="161">
        <f t="shared" si="4"/>
        <v>0</v>
      </c>
    </row>
    <row r="187" spans="1:158" ht="17.25" thickBot="1" x14ac:dyDescent="0.3">
      <c r="A187" s="226">
        <v>46146</v>
      </c>
      <c r="B187" s="227" t="s">
        <v>197</v>
      </c>
      <c r="C187" s="227" t="s">
        <v>286</v>
      </c>
      <c r="D187" s="228">
        <v>200</v>
      </c>
      <c r="E187" s="231">
        <v>2564.6999999999998</v>
      </c>
      <c r="F187" s="231">
        <v>2533.8000000000002</v>
      </c>
      <c r="G187" s="228">
        <v>30.9</v>
      </c>
      <c r="H187" s="229">
        <v>1.2200000000000001E-2</v>
      </c>
      <c r="I187" s="231">
        <v>2551.4</v>
      </c>
      <c r="J187" s="231">
        <v>2518.6</v>
      </c>
      <c r="K187" s="228">
        <v>32.799999999999997</v>
      </c>
      <c r="L187" s="229">
        <v>1.2999999999999999E-2</v>
      </c>
      <c r="M187" s="231">
        <v>2564.6999999999998</v>
      </c>
      <c r="N187" s="231">
        <v>2533.8000000000002</v>
      </c>
      <c r="O187" s="228">
        <v>30.9</v>
      </c>
      <c r="P187" s="229">
        <v>1.2200000000000001E-2</v>
      </c>
      <c r="Q187" s="231">
        <v>2576.3000000000002</v>
      </c>
      <c r="R187" s="231">
        <v>2551</v>
      </c>
      <c r="S187" s="228">
        <v>25.3</v>
      </c>
      <c r="T187" s="229">
        <v>9.9000000000000008E-3</v>
      </c>
      <c r="U187" s="231">
        <v>2590.8000000000002</v>
      </c>
      <c r="V187" s="231">
        <v>2569</v>
      </c>
      <c r="W187" s="228">
        <v>21.8</v>
      </c>
      <c r="X187" s="229">
        <v>8.5000000000000006E-3</v>
      </c>
      <c r="Y187" s="228">
        <v>13.3</v>
      </c>
      <c r="Z187" s="228">
        <v>15.2</v>
      </c>
      <c r="AA187" s="228">
        <v>-1.9</v>
      </c>
      <c r="AB187" s="229">
        <v>5.1999999999999998E-3</v>
      </c>
      <c r="AC187" s="228">
        <v>13.3</v>
      </c>
      <c r="AD187" s="228">
        <v>15.2</v>
      </c>
      <c r="AE187" s="228">
        <v>-1.9</v>
      </c>
      <c r="AF187" s="229">
        <v>5.1999999999999998E-3</v>
      </c>
      <c r="AG187" s="228">
        <v>24.9</v>
      </c>
      <c r="AH187" s="228">
        <v>32.4</v>
      </c>
      <c r="AI187" s="228">
        <v>-7.5</v>
      </c>
      <c r="AJ187" s="229">
        <v>9.7999999999999997E-3</v>
      </c>
      <c r="AK187" s="228">
        <v>39.4</v>
      </c>
      <c r="AL187" s="228">
        <v>50.4</v>
      </c>
      <c r="AM187" s="228">
        <v>-11</v>
      </c>
      <c r="AN187" s="229">
        <v>1.54E-2</v>
      </c>
      <c r="AO187" s="231">
        <v>2557.5700000000002</v>
      </c>
      <c r="AP187" s="231">
        <v>2569.23</v>
      </c>
      <c r="AQ187" s="228">
        <v>0</v>
      </c>
      <c r="AR187" s="230">
        <v>637800</v>
      </c>
      <c r="AS187" s="230">
        <v>604600</v>
      </c>
      <c r="AT187" s="230">
        <v>33200</v>
      </c>
      <c r="AU187" s="229">
        <v>5.4899999999999997E-2</v>
      </c>
      <c r="AV187" s="230">
        <v>587600</v>
      </c>
      <c r="AW187" s="230">
        <v>573800</v>
      </c>
      <c r="AX187" s="230">
        <v>13800</v>
      </c>
      <c r="AY187" s="229">
        <v>2.41E-2</v>
      </c>
      <c r="AZ187" s="230">
        <v>33800</v>
      </c>
      <c r="BA187" s="230">
        <v>28800</v>
      </c>
      <c r="BB187" s="230">
        <v>5000</v>
      </c>
      <c r="BC187" s="229">
        <v>0.1736</v>
      </c>
      <c r="BD187" s="230">
        <v>16400</v>
      </c>
      <c r="BE187" s="230">
        <v>2000</v>
      </c>
      <c r="BF187" s="230">
        <v>14400</v>
      </c>
      <c r="BG187" s="229">
        <v>7.2</v>
      </c>
      <c r="BH187" s="230">
        <v>1132400</v>
      </c>
      <c r="BI187" s="230">
        <v>723400</v>
      </c>
      <c r="BJ187" s="230">
        <v>409000</v>
      </c>
      <c r="BK187" s="229">
        <v>0.56540000000000001</v>
      </c>
      <c r="BL187" s="230">
        <v>447200</v>
      </c>
      <c r="BM187" s="230">
        <v>315200</v>
      </c>
      <c r="BN187" s="230">
        <v>132000</v>
      </c>
      <c r="BO187" s="229">
        <v>0.41880000000000001</v>
      </c>
      <c r="BP187" s="230">
        <v>2217400</v>
      </c>
      <c r="BQ187" s="230">
        <v>1643200</v>
      </c>
      <c r="BR187" s="230">
        <v>574200</v>
      </c>
      <c r="BS187" s="229">
        <v>0.34939999999999999</v>
      </c>
      <c r="BT187" s="230">
        <v>333041</v>
      </c>
      <c r="BU187" s="230">
        <v>419375</v>
      </c>
      <c r="BV187" s="230">
        <v>-86334</v>
      </c>
      <c r="BW187" s="229">
        <v>-0.2059</v>
      </c>
      <c r="BX187" s="230">
        <v>3517400</v>
      </c>
      <c r="BY187" s="230">
        <v>3489200</v>
      </c>
      <c r="BZ187" s="230">
        <v>28200</v>
      </c>
      <c r="CA187" s="229">
        <v>8.0999999999999996E-3</v>
      </c>
      <c r="CB187" s="230">
        <v>3462200</v>
      </c>
      <c r="CC187" s="230">
        <v>3434400</v>
      </c>
      <c r="CD187" s="230">
        <v>27800</v>
      </c>
      <c r="CE187" s="229">
        <v>8.0999999999999996E-3</v>
      </c>
      <c r="CF187" s="230">
        <v>50400</v>
      </c>
      <c r="CG187" s="230">
        <v>49600</v>
      </c>
      <c r="CH187" s="228">
        <v>800</v>
      </c>
      <c r="CI187" s="229">
        <v>1.61E-2</v>
      </c>
      <c r="CJ187" s="230">
        <v>4800</v>
      </c>
      <c r="CK187" s="230">
        <v>5200</v>
      </c>
      <c r="CL187" s="228">
        <v>-400</v>
      </c>
      <c r="CM187" s="229">
        <v>-7.6899999999999996E-2</v>
      </c>
      <c r="CN187" s="230">
        <v>1062800</v>
      </c>
      <c r="CO187" s="230">
        <v>921800</v>
      </c>
      <c r="CP187" s="230">
        <v>141000</v>
      </c>
      <c r="CQ187" s="229">
        <v>0.153</v>
      </c>
      <c r="CR187" s="230">
        <v>885600</v>
      </c>
      <c r="CS187" s="230">
        <v>835800</v>
      </c>
      <c r="CT187" s="230">
        <v>49800</v>
      </c>
      <c r="CU187" s="229">
        <v>5.96E-2</v>
      </c>
      <c r="CV187" s="230">
        <v>5465800</v>
      </c>
      <c r="CW187" s="230">
        <v>5246800</v>
      </c>
      <c r="CX187" s="230">
        <v>219000</v>
      </c>
      <c r="CY187" s="229">
        <v>4.1700000000000001E-2</v>
      </c>
      <c r="CZ187" s="228">
        <v>38.25</v>
      </c>
      <c r="DA187" s="228">
        <v>36.54</v>
      </c>
      <c r="DB187" s="228">
        <v>1.71</v>
      </c>
      <c r="DC187" s="228">
        <v>1.71</v>
      </c>
      <c r="DD187" s="228">
        <v>36.049999999999997</v>
      </c>
      <c r="DE187" s="228">
        <v>36.1</v>
      </c>
      <c r="DF187" s="228">
        <v>2.2000000000000002</v>
      </c>
      <c r="DG187" s="228">
        <v>-0.05</v>
      </c>
      <c r="DH187" s="228">
        <v>38.049999999999997</v>
      </c>
      <c r="DI187" s="228">
        <v>36.43</v>
      </c>
      <c r="DJ187" s="228">
        <v>1.62</v>
      </c>
      <c r="DK187" s="228">
        <v>1.62</v>
      </c>
      <c r="DL187" s="228">
        <v>38.78</v>
      </c>
      <c r="DM187" s="228">
        <v>36.81</v>
      </c>
      <c r="DN187" s="228">
        <v>1.97</v>
      </c>
      <c r="DO187" s="228">
        <v>1.97</v>
      </c>
      <c r="DP187" s="228">
        <v>0.83</v>
      </c>
      <c r="DQ187" s="228">
        <v>0.91</v>
      </c>
      <c r="DR187" s="228">
        <v>-0.08</v>
      </c>
      <c r="DS187" s="229">
        <v>-8.7900000000000006E-2</v>
      </c>
      <c r="DT187" s="231">
        <v>2600</v>
      </c>
      <c r="DU187" s="231">
        <v>2500</v>
      </c>
      <c r="DV187" s="228">
        <v>0.39</v>
      </c>
      <c r="DW187" s="228">
        <v>0.44</v>
      </c>
      <c r="DX187" s="228">
        <v>-0.05</v>
      </c>
      <c r="DY187" s="229">
        <v>-0.11360000000000001</v>
      </c>
      <c r="DZ187" s="229">
        <v>1.5699999999999999E-2</v>
      </c>
      <c r="EA187" s="230">
        <v>54800</v>
      </c>
      <c r="EB187" s="229">
        <v>4.4999999999999997E-3</v>
      </c>
      <c r="EC187" s="229">
        <v>1.5699999999999999E-2</v>
      </c>
      <c r="ED187" s="228">
        <v>11.66</v>
      </c>
      <c r="EE187" s="229">
        <v>4.5999999999999999E-3</v>
      </c>
      <c r="EF187" s="230">
        <v>171751</v>
      </c>
      <c r="EG187" s="230">
        <v>218007</v>
      </c>
      <c r="EH187" s="229">
        <v>-0.2122</v>
      </c>
      <c r="EI187" s="229">
        <v>0.51570000000000005</v>
      </c>
      <c r="EJ187" s="231">
        <v>30696.880000000001</v>
      </c>
      <c r="EK187" s="231">
        <v>11350</v>
      </c>
      <c r="EL187" s="231">
        <v>16319.16</v>
      </c>
      <c r="EM187" s="231">
        <v>7961</v>
      </c>
      <c r="EN187" s="231">
        <v>58366.04</v>
      </c>
      <c r="EO187" s="231">
        <v>42600.83</v>
      </c>
      <c r="EP187" s="231">
        <v>15765.21</v>
      </c>
      <c r="EQ187" s="229">
        <v>0.37009999999999998</v>
      </c>
      <c r="ER187" s="231">
        <v>27981</v>
      </c>
      <c r="ES187" s="231">
        <v>22233</v>
      </c>
      <c r="ET187" s="231">
        <v>90218</v>
      </c>
      <c r="EU187" s="231">
        <v>19721628</v>
      </c>
      <c r="EV187" s="231">
        <v>140432</v>
      </c>
      <c r="EW187" s="231">
        <v>133482</v>
      </c>
      <c r="EX187" s="231">
        <v>6950</v>
      </c>
      <c r="EY187" s="229">
        <v>5.21E-2</v>
      </c>
      <c r="EZ187" s="229">
        <v>0.27710000000000001</v>
      </c>
      <c r="FA187" s="227" t="s">
        <v>555</v>
      </c>
      <c r="FB187" s="161">
        <f t="shared" si="4"/>
        <v>0</v>
      </c>
    </row>
    <row r="188" spans="1:158" ht="17.25" thickBot="1" x14ac:dyDescent="0.3">
      <c r="A188" s="226">
        <v>46146</v>
      </c>
      <c r="B188" s="227" t="s">
        <v>170</v>
      </c>
      <c r="C188" s="227" t="s">
        <v>288</v>
      </c>
      <c r="D188" s="228">
        <v>350</v>
      </c>
      <c r="E188" s="231">
        <v>1828.1</v>
      </c>
      <c r="F188" s="231">
        <v>1815</v>
      </c>
      <c r="G188" s="228">
        <v>13.1</v>
      </c>
      <c r="H188" s="229">
        <v>7.1999999999999998E-3</v>
      </c>
      <c r="I188" s="231">
        <v>1823.5</v>
      </c>
      <c r="J188" s="231">
        <v>1808.3</v>
      </c>
      <c r="K188" s="228">
        <v>15.2</v>
      </c>
      <c r="L188" s="229">
        <v>8.3999999999999995E-3</v>
      </c>
      <c r="M188" s="231">
        <v>1828.1</v>
      </c>
      <c r="N188" s="231">
        <v>1815</v>
      </c>
      <c r="O188" s="228">
        <v>13.1</v>
      </c>
      <c r="P188" s="229">
        <v>7.1999999999999998E-3</v>
      </c>
      <c r="Q188" s="231">
        <v>1840.7</v>
      </c>
      <c r="R188" s="231">
        <v>1826.2</v>
      </c>
      <c r="S188" s="228">
        <v>14.5</v>
      </c>
      <c r="T188" s="229">
        <v>7.9000000000000008E-3</v>
      </c>
      <c r="U188" s="231">
        <v>1843.2</v>
      </c>
      <c r="V188" s="231">
        <v>1832</v>
      </c>
      <c r="W188" s="228">
        <v>11.2</v>
      </c>
      <c r="X188" s="229">
        <v>6.1000000000000004E-3</v>
      </c>
      <c r="Y188" s="228">
        <v>4.5999999999999996</v>
      </c>
      <c r="Z188" s="228">
        <v>6.7</v>
      </c>
      <c r="AA188" s="228">
        <v>-2.1</v>
      </c>
      <c r="AB188" s="229">
        <v>2.5000000000000001E-3</v>
      </c>
      <c r="AC188" s="228">
        <v>4.5999999999999996</v>
      </c>
      <c r="AD188" s="228">
        <v>6.7</v>
      </c>
      <c r="AE188" s="228">
        <v>-2.1</v>
      </c>
      <c r="AF188" s="229">
        <v>2.5000000000000001E-3</v>
      </c>
      <c r="AG188" s="228">
        <v>17.2</v>
      </c>
      <c r="AH188" s="228">
        <v>17.899999999999999</v>
      </c>
      <c r="AI188" s="228">
        <v>-0.7</v>
      </c>
      <c r="AJ188" s="229">
        <v>9.4000000000000004E-3</v>
      </c>
      <c r="AK188" s="228">
        <v>19.7</v>
      </c>
      <c r="AL188" s="228">
        <v>23.7</v>
      </c>
      <c r="AM188" s="228">
        <v>-4</v>
      </c>
      <c r="AN188" s="229">
        <v>1.0800000000000001E-2</v>
      </c>
      <c r="AO188" s="231">
        <v>1828.36</v>
      </c>
      <c r="AP188" s="231">
        <v>1840.93</v>
      </c>
      <c r="AQ188" s="228">
        <v>0</v>
      </c>
      <c r="AR188" s="230">
        <v>3120250</v>
      </c>
      <c r="AS188" s="230">
        <v>4093950</v>
      </c>
      <c r="AT188" s="230">
        <v>-973700</v>
      </c>
      <c r="AU188" s="229">
        <v>-0.23780000000000001</v>
      </c>
      <c r="AV188" s="230">
        <v>2941750</v>
      </c>
      <c r="AW188" s="230">
        <v>3957100</v>
      </c>
      <c r="AX188" s="230">
        <v>-1015350</v>
      </c>
      <c r="AY188" s="229">
        <v>-0.25659999999999999</v>
      </c>
      <c r="AZ188" s="230">
        <v>170450</v>
      </c>
      <c r="BA188" s="230">
        <v>122150</v>
      </c>
      <c r="BB188" s="230">
        <v>48300</v>
      </c>
      <c r="BC188" s="229">
        <v>0.39539999999999997</v>
      </c>
      <c r="BD188" s="230">
        <v>8050</v>
      </c>
      <c r="BE188" s="230">
        <v>14700</v>
      </c>
      <c r="BF188" s="230">
        <v>-6650</v>
      </c>
      <c r="BG188" s="229">
        <v>-0.45240000000000002</v>
      </c>
      <c r="BH188" s="230">
        <v>12939150</v>
      </c>
      <c r="BI188" s="230">
        <v>19880000</v>
      </c>
      <c r="BJ188" s="230">
        <v>-6940850</v>
      </c>
      <c r="BK188" s="229">
        <v>-0.34910000000000002</v>
      </c>
      <c r="BL188" s="230">
        <v>6826400</v>
      </c>
      <c r="BM188" s="230">
        <v>9586150</v>
      </c>
      <c r="BN188" s="230">
        <v>-2759750</v>
      </c>
      <c r="BO188" s="229">
        <v>-0.28789999999999999</v>
      </c>
      <c r="BP188" s="230">
        <v>22885800</v>
      </c>
      <c r="BQ188" s="230">
        <v>33560100</v>
      </c>
      <c r="BR188" s="230">
        <v>-10674300</v>
      </c>
      <c r="BS188" s="229">
        <v>-0.31809999999999999</v>
      </c>
      <c r="BT188" s="230">
        <v>4468829</v>
      </c>
      <c r="BU188" s="230">
        <v>4960661</v>
      </c>
      <c r="BV188" s="230">
        <v>-491832</v>
      </c>
      <c r="BW188" s="229">
        <v>-9.9099999999999994E-2</v>
      </c>
      <c r="BX188" s="230">
        <v>28402850</v>
      </c>
      <c r="BY188" s="230">
        <v>28301350</v>
      </c>
      <c r="BZ188" s="230">
        <v>101500</v>
      </c>
      <c r="CA188" s="229">
        <v>3.5999999999999999E-3</v>
      </c>
      <c r="CB188" s="230">
        <v>24770550</v>
      </c>
      <c r="CC188" s="230">
        <v>24780000</v>
      </c>
      <c r="CD188" s="230">
        <v>-9450</v>
      </c>
      <c r="CE188" s="229">
        <v>-4.0000000000000002E-4</v>
      </c>
      <c r="CF188" s="230">
        <v>3613750</v>
      </c>
      <c r="CG188" s="230">
        <v>3503850</v>
      </c>
      <c r="CH188" s="230">
        <v>109900</v>
      </c>
      <c r="CI188" s="229">
        <v>3.1399999999999997E-2</v>
      </c>
      <c r="CJ188" s="230">
        <v>18550</v>
      </c>
      <c r="CK188" s="230">
        <v>17500</v>
      </c>
      <c r="CL188" s="230">
        <v>1050</v>
      </c>
      <c r="CM188" s="229">
        <v>0.06</v>
      </c>
      <c r="CN188" s="230">
        <v>9427600</v>
      </c>
      <c r="CO188" s="230">
        <v>8057700</v>
      </c>
      <c r="CP188" s="230">
        <v>1369900</v>
      </c>
      <c r="CQ188" s="229">
        <v>0.17</v>
      </c>
      <c r="CR188" s="230">
        <v>6761300</v>
      </c>
      <c r="CS188" s="230">
        <v>6085800</v>
      </c>
      <c r="CT188" s="230">
        <v>675500</v>
      </c>
      <c r="CU188" s="229">
        <v>0.111</v>
      </c>
      <c r="CV188" s="230">
        <v>44591750</v>
      </c>
      <c r="CW188" s="230">
        <v>42444850</v>
      </c>
      <c r="CX188" s="230">
        <v>2146900</v>
      </c>
      <c r="CY188" s="229">
        <v>5.0599999999999999E-2</v>
      </c>
      <c r="CZ188" s="228">
        <v>23.25</v>
      </c>
      <c r="DA188" s="228">
        <v>22.78</v>
      </c>
      <c r="DB188" s="228">
        <v>0.47</v>
      </c>
      <c r="DC188" s="228">
        <v>0.47</v>
      </c>
      <c r="DD188" s="228">
        <v>25.6</v>
      </c>
      <c r="DE188" s="228">
        <v>25.64</v>
      </c>
      <c r="DF188" s="228">
        <v>-2.35</v>
      </c>
      <c r="DG188" s="228">
        <v>-0.04</v>
      </c>
      <c r="DH188" s="228">
        <v>22.54</v>
      </c>
      <c r="DI188" s="228">
        <v>22.12</v>
      </c>
      <c r="DJ188" s="228">
        <v>0.42</v>
      </c>
      <c r="DK188" s="228">
        <v>0.42</v>
      </c>
      <c r="DL188" s="228">
        <v>24.6</v>
      </c>
      <c r="DM188" s="228">
        <v>24.15</v>
      </c>
      <c r="DN188" s="228">
        <v>0.45</v>
      </c>
      <c r="DO188" s="228">
        <v>0.45</v>
      </c>
      <c r="DP188" s="228">
        <v>0.72</v>
      </c>
      <c r="DQ188" s="228">
        <v>0.76</v>
      </c>
      <c r="DR188" s="228">
        <v>-0.04</v>
      </c>
      <c r="DS188" s="229">
        <v>-5.2600000000000001E-2</v>
      </c>
      <c r="DT188" s="231">
        <v>1860</v>
      </c>
      <c r="DU188" s="231">
        <v>1700</v>
      </c>
      <c r="DV188" s="228">
        <v>0.53</v>
      </c>
      <c r="DW188" s="228">
        <v>0.48</v>
      </c>
      <c r="DX188" s="228">
        <v>0.05</v>
      </c>
      <c r="DY188" s="229">
        <v>0.1042</v>
      </c>
      <c r="DZ188" s="229">
        <v>0.12790000000000001</v>
      </c>
      <c r="EA188" s="230">
        <v>3521350</v>
      </c>
      <c r="EB188" s="229">
        <v>6.8999999999999999E-3</v>
      </c>
      <c r="EC188" s="229">
        <v>0.12790000000000001</v>
      </c>
      <c r="ED188" s="228">
        <v>12.57</v>
      </c>
      <c r="EE188" s="229">
        <v>6.8999999999999999E-3</v>
      </c>
      <c r="EF188" s="230">
        <v>2817612</v>
      </c>
      <c r="EG188" s="230">
        <v>3327254</v>
      </c>
      <c r="EH188" s="229">
        <v>-0.1532</v>
      </c>
      <c r="EI188" s="229">
        <v>0.63049999999999995</v>
      </c>
      <c r="EJ188" s="231">
        <v>246051.83</v>
      </c>
      <c r="EK188" s="231">
        <v>121759.76</v>
      </c>
      <c r="EL188" s="231">
        <v>57071.95</v>
      </c>
      <c r="EM188" s="231">
        <v>34611</v>
      </c>
      <c r="EN188" s="231">
        <v>424883.54</v>
      </c>
      <c r="EO188" s="231">
        <v>613477.04</v>
      </c>
      <c r="EP188" s="231">
        <v>-188593.5</v>
      </c>
      <c r="EQ188" s="229">
        <v>-0.30740000000000001</v>
      </c>
      <c r="ER188" s="231">
        <v>171930</v>
      </c>
      <c r="ES188" s="231">
        <v>114614</v>
      </c>
      <c r="ET188" s="231">
        <v>519691</v>
      </c>
      <c r="EU188" s="231">
        <v>121755902</v>
      </c>
      <c r="EV188" s="231">
        <v>806235</v>
      </c>
      <c r="EW188" s="231">
        <v>762362</v>
      </c>
      <c r="EX188" s="231">
        <v>43873</v>
      </c>
      <c r="EY188" s="229">
        <v>5.7500000000000002E-2</v>
      </c>
      <c r="EZ188" s="229">
        <v>0.36620000000000003</v>
      </c>
      <c r="FA188" s="227" t="s">
        <v>555</v>
      </c>
      <c r="FB188" s="161">
        <f t="shared" si="4"/>
        <v>0</v>
      </c>
    </row>
    <row r="189" spans="1:158" ht="17.25" thickBot="1" x14ac:dyDescent="0.3">
      <c r="A189" s="226">
        <v>46146</v>
      </c>
      <c r="B189" s="227" t="s">
        <v>184</v>
      </c>
      <c r="C189" s="227" t="s">
        <v>573</v>
      </c>
      <c r="D189" s="228">
        <v>175</v>
      </c>
      <c r="E189" s="231">
        <v>3638</v>
      </c>
      <c r="F189" s="231">
        <v>3632.1</v>
      </c>
      <c r="G189" s="228">
        <v>5.9</v>
      </c>
      <c r="H189" s="229">
        <v>1.6000000000000001E-3</v>
      </c>
      <c r="I189" s="231">
        <v>3620.1</v>
      </c>
      <c r="J189" s="231">
        <v>3622.6</v>
      </c>
      <c r="K189" s="228">
        <v>-2.5</v>
      </c>
      <c r="L189" s="229">
        <v>-6.9999999999999999E-4</v>
      </c>
      <c r="M189" s="231">
        <v>3638</v>
      </c>
      <c r="N189" s="231">
        <v>3632.1</v>
      </c>
      <c r="O189" s="228">
        <v>5.9</v>
      </c>
      <c r="P189" s="229">
        <v>1.6000000000000001E-3</v>
      </c>
      <c r="Q189" s="231">
        <v>3632.5</v>
      </c>
      <c r="R189" s="231">
        <v>3624.3</v>
      </c>
      <c r="S189" s="228">
        <v>8.1999999999999993</v>
      </c>
      <c r="T189" s="229">
        <v>2.3E-3</v>
      </c>
      <c r="U189" s="231">
        <v>3610.4</v>
      </c>
      <c r="V189" s="231">
        <v>3610.4</v>
      </c>
      <c r="W189" s="228">
        <v>0</v>
      </c>
      <c r="X189" s="229">
        <v>0</v>
      </c>
      <c r="Y189" s="228">
        <v>17.899999999999999</v>
      </c>
      <c r="Z189" s="228">
        <v>9.5</v>
      </c>
      <c r="AA189" s="228">
        <v>8.4</v>
      </c>
      <c r="AB189" s="229">
        <v>4.8999999999999998E-3</v>
      </c>
      <c r="AC189" s="228">
        <v>17.899999999999999</v>
      </c>
      <c r="AD189" s="228">
        <v>9.5</v>
      </c>
      <c r="AE189" s="228">
        <v>8.4</v>
      </c>
      <c r="AF189" s="229">
        <v>4.8999999999999998E-3</v>
      </c>
      <c r="AG189" s="228">
        <v>12.4</v>
      </c>
      <c r="AH189" s="228">
        <v>1.7</v>
      </c>
      <c r="AI189" s="228">
        <v>10.7</v>
      </c>
      <c r="AJ189" s="229">
        <v>3.3999999999999998E-3</v>
      </c>
      <c r="AK189" s="228">
        <v>-9.6999999999999993</v>
      </c>
      <c r="AL189" s="228">
        <v>-12.2</v>
      </c>
      <c r="AM189" s="228">
        <v>2.5</v>
      </c>
      <c r="AN189" s="229">
        <v>-2.7000000000000001E-3</v>
      </c>
      <c r="AO189" s="231">
        <v>3657.25</v>
      </c>
      <c r="AP189" s="231">
        <v>3651.19</v>
      </c>
      <c r="AQ189" s="228">
        <v>0</v>
      </c>
      <c r="AR189" s="230">
        <v>247975</v>
      </c>
      <c r="AS189" s="230">
        <v>320075</v>
      </c>
      <c r="AT189" s="230">
        <v>-72100</v>
      </c>
      <c r="AU189" s="229">
        <v>-0.2253</v>
      </c>
      <c r="AV189" s="230">
        <v>239575</v>
      </c>
      <c r="AW189" s="230">
        <v>307475</v>
      </c>
      <c r="AX189" s="230">
        <v>-67900</v>
      </c>
      <c r="AY189" s="229">
        <v>-0.2208</v>
      </c>
      <c r="AZ189" s="230">
        <v>8225</v>
      </c>
      <c r="BA189" s="230">
        <v>12075</v>
      </c>
      <c r="BB189" s="230">
        <v>-3850</v>
      </c>
      <c r="BC189" s="229">
        <v>-0.31879999999999997</v>
      </c>
      <c r="BD189" s="228">
        <v>175</v>
      </c>
      <c r="BE189" s="228">
        <v>525</v>
      </c>
      <c r="BF189" s="228">
        <v>-350</v>
      </c>
      <c r="BG189" s="229">
        <v>-0.66669999999999996</v>
      </c>
      <c r="BH189" s="230">
        <v>788725</v>
      </c>
      <c r="BI189" s="230">
        <v>792400</v>
      </c>
      <c r="BJ189" s="230">
        <v>-3675</v>
      </c>
      <c r="BK189" s="229">
        <v>-4.5999999999999999E-3</v>
      </c>
      <c r="BL189" s="230">
        <v>322875</v>
      </c>
      <c r="BM189" s="230">
        <v>495075</v>
      </c>
      <c r="BN189" s="230">
        <v>-172200</v>
      </c>
      <c r="BO189" s="229">
        <v>-0.3478</v>
      </c>
      <c r="BP189" s="230">
        <v>1359575</v>
      </c>
      <c r="BQ189" s="230">
        <v>1607550</v>
      </c>
      <c r="BR189" s="230">
        <v>-247975</v>
      </c>
      <c r="BS189" s="229">
        <v>-0.15429999999999999</v>
      </c>
      <c r="BT189" s="230">
        <v>152821</v>
      </c>
      <c r="BU189" s="230">
        <v>336538</v>
      </c>
      <c r="BV189" s="230">
        <v>-183717</v>
      </c>
      <c r="BW189" s="229">
        <v>-0.54590000000000005</v>
      </c>
      <c r="BX189" s="230">
        <v>2191700</v>
      </c>
      <c r="BY189" s="230">
        <v>2213400</v>
      </c>
      <c r="BZ189" s="230">
        <v>-21700</v>
      </c>
      <c r="CA189" s="229">
        <v>-9.7999999999999997E-3</v>
      </c>
      <c r="CB189" s="230">
        <v>2158450</v>
      </c>
      <c r="CC189" s="230">
        <v>2181200</v>
      </c>
      <c r="CD189" s="230">
        <v>-22750</v>
      </c>
      <c r="CE189" s="229">
        <v>-1.04E-2</v>
      </c>
      <c r="CF189" s="230">
        <v>32550</v>
      </c>
      <c r="CG189" s="230">
        <v>31675</v>
      </c>
      <c r="CH189" s="228">
        <v>875</v>
      </c>
      <c r="CI189" s="229">
        <v>2.76E-2</v>
      </c>
      <c r="CJ189" s="228">
        <v>700</v>
      </c>
      <c r="CK189" s="228">
        <v>525</v>
      </c>
      <c r="CL189" s="228">
        <v>175</v>
      </c>
      <c r="CM189" s="229">
        <v>0.33329999999999999</v>
      </c>
      <c r="CN189" s="230">
        <v>950425</v>
      </c>
      <c r="CO189" s="230">
        <v>816025</v>
      </c>
      <c r="CP189" s="230">
        <v>134400</v>
      </c>
      <c r="CQ189" s="229">
        <v>0.16470000000000001</v>
      </c>
      <c r="CR189" s="230">
        <v>428400</v>
      </c>
      <c r="CS189" s="230">
        <v>377650</v>
      </c>
      <c r="CT189" s="230">
        <v>50750</v>
      </c>
      <c r="CU189" s="229">
        <v>0.13439999999999999</v>
      </c>
      <c r="CV189" s="230">
        <v>3570525</v>
      </c>
      <c r="CW189" s="230">
        <v>3407075</v>
      </c>
      <c r="CX189" s="230">
        <v>163450</v>
      </c>
      <c r="CY189" s="229">
        <v>4.8000000000000001E-2</v>
      </c>
      <c r="CZ189" s="228">
        <v>32.35</v>
      </c>
      <c r="DA189" s="228">
        <v>33.479999999999997</v>
      </c>
      <c r="DB189" s="228">
        <v>-1.1299999999999999</v>
      </c>
      <c r="DC189" s="228">
        <v>-1.1299999999999999</v>
      </c>
      <c r="DD189" s="228">
        <v>37.61</v>
      </c>
      <c r="DE189" s="228">
        <v>37.700000000000003</v>
      </c>
      <c r="DF189" s="228">
        <v>-5.26</v>
      </c>
      <c r="DG189" s="228">
        <v>-0.09</v>
      </c>
      <c r="DH189" s="228">
        <v>32.5</v>
      </c>
      <c r="DI189" s="228">
        <v>33.799999999999997</v>
      </c>
      <c r="DJ189" s="228">
        <v>-1.3</v>
      </c>
      <c r="DK189" s="228">
        <v>-1.3</v>
      </c>
      <c r="DL189" s="228">
        <v>31.98</v>
      </c>
      <c r="DM189" s="228">
        <v>32.97</v>
      </c>
      <c r="DN189" s="228">
        <v>-0.99</v>
      </c>
      <c r="DO189" s="228">
        <v>-0.99</v>
      </c>
      <c r="DP189" s="228">
        <v>0.45</v>
      </c>
      <c r="DQ189" s="228">
        <v>0.46</v>
      </c>
      <c r="DR189" s="228">
        <v>-0.01</v>
      </c>
      <c r="DS189" s="229">
        <v>-2.1700000000000001E-2</v>
      </c>
      <c r="DT189" s="231">
        <v>4000</v>
      </c>
      <c r="DU189" s="231">
        <v>3700</v>
      </c>
      <c r="DV189" s="228">
        <v>0.41</v>
      </c>
      <c r="DW189" s="228">
        <v>0.62</v>
      </c>
      <c r="DX189" s="228">
        <v>-0.21</v>
      </c>
      <c r="DY189" s="229">
        <v>-0.3387</v>
      </c>
      <c r="DZ189" s="229">
        <v>1.52E-2</v>
      </c>
      <c r="EA189" s="230">
        <v>32200</v>
      </c>
      <c r="EB189" s="229">
        <v>-1.5E-3</v>
      </c>
      <c r="EC189" s="229">
        <v>1.52E-2</v>
      </c>
      <c r="ED189" s="228">
        <v>-6.06</v>
      </c>
      <c r="EE189" s="229">
        <v>-1.6999999999999999E-3</v>
      </c>
      <c r="EF189" s="230">
        <v>71935</v>
      </c>
      <c r="EG189" s="230">
        <v>166632</v>
      </c>
      <c r="EH189" s="229">
        <v>-0.56830000000000003</v>
      </c>
      <c r="EI189" s="229">
        <v>0.47070000000000001</v>
      </c>
      <c r="EJ189" s="231">
        <v>31213.75</v>
      </c>
      <c r="EK189" s="231">
        <v>11691.85</v>
      </c>
      <c r="EL189" s="231">
        <v>9068.48</v>
      </c>
      <c r="EM189" s="231">
        <v>7630</v>
      </c>
      <c r="EN189" s="231">
        <v>51974.080000000002</v>
      </c>
      <c r="EO189" s="231">
        <v>60395.14</v>
      </c>
      <c r="EP189" s="231">
        <v>-8421.06</v>
      </c>
      <c r="EQ189" s="229">
        <v>-0.1394</v>
      </c>
      <c r="ER189" s="231">
        <v>37150</v>
      </c>
      <c r="ES189" s="231">
        <v>15170</v>
      </c>
      <c r="ET189" s="231">
        <v>79732</v>
      </c>
      <c r="EU189" s="231">
        <v>9724371</v>
      </c>
      <c r="EV189" s="231">
        <v>132052</v>
      </c>
      <c r="EW189" s="231">
        <v>125698</v>
      </c>
      <c r="EX189" s="231">
        <v>6354</v>
      </c>
      <c r="EY189" s="229">
        <v>5.0500000000000003E-2</v>
      </c>
      <c r="EZ189" s="229">
        <v>0.36720000000000003</v>
      </c>
      <c r="FA189" s="227" t="s">
        <v>691</v>
      </c>
      <c r="FB189" s="161">
        <f t="shared" si="4"/>
        <v>0</v>
      </c>
    </row>
    <row r="190" spans="1:158" ht="17.25" thickBot="1" x14ac:dyDescent="0.3">
      <c r="A190" s="226">
        <v>46146</v>
      </c>
      <c r="B190" s="227" t="s">
        <v>161</v>
      </c>
      <c r="C190" s="227" t="s">
        <v>680</v>
      </c>
      <c r="D190" s="228">
        <v>9025</v>
      </c>
      <c r="E190" s="228">
        <v>55.06</v>
      </c>
      <c r="F190" s="228">
        <v>55.79</v>
      </c>
      <c r="G190" s="228">
        <v>-0.73</v>
      </c>
      <c r="H190" s="229">
        <v>-1.3100000000000001E-2</v>
      </c>
      <c r="I190" s="228">
        <v>54.96</v>
      </c>
      <c r="J190" s="228">
        <v>55.58</v>
      </c>
      <c r="K190" s="228">
        <v>-0.62</v>
      </c>
      <c r="L190" s="229">
        <v>-1.12E-2</v>
      </c>
      <c r="M190" s="228">
        <v>55.06</v>
      </c>
      <c r="N190" s="228">
        <v>55.79</v>
      </c>
      <c r="O190" s="228">
        <v>-0.73</v>
      </c>
      <c r="P190" s="229">
        <v>-1.3100000000000001E-2</v>
      </c>
      <c r="Q190" s="228">
        <v>55.33</v>
      </c>
      <c r="R190" s="228">
        <v>56.06</v>
      </c>
      <c r="S190" s="228">
        <v>-0.73</v>
      </c>
      <c r="T190" s="229">
        <v>-1.2999999999999999E-2</v>
      </c>
      <c r="U190" s="228">
        <v>55.83</v>
      </c>
      <c r="V190" s="228">
        <v>56.42</v>
      </c>
      <c r="W190" s="228">
        <v>-0.59</v>
      </c>
      <c r="X190" s="229">
        <v>-1.0500000000000001E-2</v>
      </c>
      <c r="Y190" s="228">
        <v>0.1</v>
      </c>
      <c r="Z190" s="228">
        <v>0.21</v>
      </c>
      <c r="AA190" s="228">
        <v>-0.11</v>
      </c>
      <c r="AB190" s="229">
        <v>1.8E-3</v>
      </c>
      <c r="AC190" s="228">
        <v>0.1</v>
      </c>
      <c r="AD190" s="228">
        <v>0.21</v>
      </c>
      <c r="AE190" s="228">
        <v>-0.11</v>
      </c>
      <c r="AF190" s="229">
        <v>1.8E-3</v>
      </c>
      <c r="AG190" s="228">
        <v>0.37</v>
      </c>
      <c r="AH190" s="228">
        <v>0.48</v>
      </c>
      <c r="AI190" s="228">
        <v>-0.11</v>
      </c>
      <c r="AJ190" s="229">
        <v>6.7000000000000002E-3</v>
      </c>
      <c r="AK190" s="228">
        <v>0.87</v>
      </c>
      <c r="AL190" s="228">
        <v>0.84</v>
      </c>
      <c r="AM190" s="228">
        <v>0.03</v>
      </c>
      <c r="AN190" s="229">
        <v>1.5800000000000002E-2</v>
      </c>
      <c r="AO190" s="228">
        <v>55.04</v>
      </c>
      <c r="AP190" s="228">
        <v>55.26</v>
      </c>
      <c r="AQ190" s="228">
        <v>0</v>
      </c>
      <c r="AR190" s="230">
        <v>66649625</v>
      </c>
      <c r="AS190" s="230">
        <v>60765325</v>
      </c>
      <c r="AT190" s="230">
        <v>5884300</v>
      </c>
      <c r="AU190" s="229">
        <v>9.6799999999999997E-2</v>
      </c>
      <c r="AV190" s="230">
        <v>61613675</v>
      </c>
      <c r="AW190" s="230">
        <v>57182400</v>
      </c>
      <c r="AX190" s="230">
        <v>4431275</v>
      </c>
      <c r="AY190" s="229">
        <v>7.7499999999999999E-2</v>
      </c>
      <c r="AZ190" s="230">
        <v>4214675</v>
      </c>
      <c r="BA190" s="230">
        <v>3357300</v>
      </c>
      <c r="BB190" s="230">
        <v>857375</v>
      </c>
      <c r="BC190" s="229">
        <v>0.25540000000000002</v>
      </c>
      <c r="BD190" s="230">
        <v>821275</v>
      </c>
      <c r="BE190" s="230">
        <v>225625</v>
      </c>
      <c r="BF190" s="230">
        <v>595650</v>
      </c>
      <c r="BG190" s="229">
        <v>2.64</v>
      </c>
      <c r="BH190" s="230">
        <v>123082950</v>
      </c>
      <c r="BI190" s="230">
        <v>88084000</v>
      </c>
      <c r="BJ190" s="230">
        <v>34998950</v>
      </c>
      <c r="BK190" s="229">
        <v>0.39729999999999999</v>
      </c>
      <c r="BL190" s="230">
        <v>56000125</v>
      </c>
      <c r="BM190" s="230">
        <v>55738400</v>
      </c>
      <c r="BN190" s="230">
        <v>261725</v>
      </c>
      <c r="BO190" s="229">
        <v>4.7000000000000002E-3</v>
      </c>
      <c r="BP190" s="230">
        <v>245732700</v>
      </c>
      <c r="BQ190" s="230">
        <v>204587725</v>
      </c>
      <c r="BR190" s="230">
        <v>41144975</v>
      </c>
      <c r="BS190" s="229">
        <v>0.2011</v>
      </c>
      <c r="BT190" s="230">
        <v>112703787</v>
      </c>
      <c r="BU190" s="230">
        <v>107982730</v>
      </c>
      <c r="BV190" s="230">
        <v>4721057</v>
      </c>
      <c r="BW190" s="229">
        <v>4.3700000000000003E-2</v>
      </c>
      <c r="BX190" s="230">
        <v>289167500</v>
      </c>
      <c r="BY190" s="230">
        <v>279938650</v>
      </c>
      <c r="BZ190" s="230">
        <v>9228850</v>
      </c>
      <c r="CA190" s="229">
        <v>3.3000000000000002E-2</v>
      </c>
      <c r="CB190" s="230">
        <v>262654575</v>
      </c>
      <c r="CC190" s="230">
        <v>254604275</v>
      </c>
      <c r="CD190" s="230">
        <v>8050300</v>
      </c>
      <c r="CE190" s="229">
        <v>3.1600000000000003E-2</v>
      </c>
      <c r="CF190" s="230">
        <v>25242925</v>
      </c>
      <c r="CG190" s="230">
        <v>24394575</v>
      </c>
      <c r="CH190" s="230">
        <v>848350</v>
      </c>
      <c r="CI190" s="229">
        <v>3.4799999999999998E-2</v>
      </c>
      <c r="CJ190" s="230">
        <v>1270000</v>
      </c>
      <c r="CK190" s="230">
        <v>939800</v>
      </c>
      <c r="CL190" s="230">
        <v>330200</v>
      </c>
      <c r="CM190" s="229">
        <v>0.35139999999999999</v>
      </c>
      <c r="CN190" s="230">
        <v>137604175</v>
      </c>
      <c r="CO190" s="230">
        <v>120411550</v>
      </c>
      <c r="CP190" s="230">
        <v>17192625</v>
      </c>
      <c r="CQ190" s="229">
        <v>0.14280000000000001</v>
      </c>
      <c r="CR190" s="230">
        <v>58644450</v>
      </c>
      <c r="CS190" s="230">
        <v>54339525</v>
      </c>
      <c r="CT190" s="230">
        <v>4304925</v>
      </c>
      <c r="CU190" s="229">
        <v>7.9200000000000007E-2</v>
      </c>
      <c r="CV190" s="230">
        <v>485416125</v>
      </c>
      <c r="CW190" s="230">
        <v>454689725</v>
      </c>
      <c r="CX190" s="230">
        <v>30726400</v>
      </c>
      <c r="CY190" s="229">
        <v>6.7599999999999993E-2</v>
      </c>
      <c r="CZ190" s="228">
        <v>48.9</v>
      </c>
      <c r="DA190" s="228">
        <v>46.49</v>
      </c>
      <c r="DB190" s="228">
        <v>2.41</v>
      </c>
      <c r="DC190" s="228">
        <v>2.41</v>
      </c>
      <c r="DD190" s="228">
        <v>47.23</v>
      </c>
      <c r="DE190" s="228">
        <v>47.31</v>
      </c>
      <c r="DF190" s="228">
        <v>1.67</v>
      </c>
      <c r="DG190" s="228">
        <v>-0.08</v>
      </c>
      <c r="DH190" s="228">
        <v>49.12</v>
      </c>
      <c r="DI190" s="228">
        <v>46.35</v>
      </c>
      <c r="DJ190" s="228">
        <v>2.77</v>
      </c>
      <c r="DK190" s="228">
        <v>2.77</v>
      </c>
      <c r="DL190" s="228">
        <v>48.42</v>
      </c>
      <c r="DM190" s="228">
        <v>46.71</v>
      </c>
      <c r="DN190" s="228">
        <v>1.71</v>
      </c>
      <c r="DO190" s="228">
        <v>1.71</v>
      </c>
      <c r="DP190" s="228">
        <v>0.43</v>
      </c>
      <c r="DQ190" s="228">
        <v>0.45</v>
      </c>
      <c r="DR190" s="228">
        <v>-0.02</v>
      </c>
      <c r="DS190" s="229">
        <v>-4.4400000000000002E-2</v>
      </c>
      <c r="DT190" s="228">
        <v>60</v>
      </c>
      <c r="DU190" s="228">
        <v>50</v>
      </c>
      <c r="DV190" s="228">
        <v>0.45</v>
      </c>
      <c r="DW190" s="228">
        <v>0.63</v>
      </c>
      <c r="DX190" s="228">
        <v>-0.18</v>
      </c>
      <c r="DY190" s="229">
        <v>-0.28570000000000001</v>
      </c>
      <c r="DZ190" s="229">
        <v>9.1700000000000004E-2</v>
      </c>
      <c r="EA190" s="230">
        <v>25334375</v>
      </c>
      <c r="EB190" s="229">
        <v>4.8999999999999998E-3</v>
      </c>
      <c r="EC190" s="229">
        <v>9.1700000000000004E-2</v>
      </c>
      <c r="ED190" s="228">
        <v>0.22</v>
      </c>
      <c r="EE190" s="229">
        <v>4.0000000000000001E-3</v>
      </c>
      <c r="EF190" s="230">
        <v>34213199</v>
      </c>
      <c r="EG190" s="230">
        <v>35723399</v>
      </c>
      <c r="EH190" s="229">
        <v>-4.2299999999999997E-2</v>
      </c>
      <c r="EI190" s="229">
        <v>0.30359999999999998</v>
      </c>
      <c r="EJ190" s="231">
        <v>73600.91</v>
      </c>
      <c r="EK190" s="231">
        <v>30315.75</v>
      </c>
      <c r="EL190" s="231">
        <v>36883.040000000001</v>
      </c>
      <c r="EM190" s="231">
        <v>13580</v>
      </c>
      <c r="EN190" s="231">
        <v>140799.70000000001</v>
      </c>
      <c r="EO190" s="231">
        <v>117836.3</v>
      </c>
      <c r="EP190" s="231">
        <v>22963.4</v>
      </c>
      <c r="EQ190" s="229">
        <v>0.19489999999999999</v>
      </c>
      <c r="ER190" s="231">
        <v>80370</v>
      </c>
      <c r="ES190" s="231">
        <v>30353</v>
      </c>
      <c r="ET190" s="231">
        <v>159294</v>
      </c>
      <c r="EU190" s="231">
        <v>1815546735</v>
      </c>
      <c r="EV190" s="231">
        <v>270016</v>
      </c>
      <c r="EW190" s="231">
        <v>254576</v>
      </c>
      <c r="EX190" s="231">
        <v>15440</v>
      </c>
      <c r="EY190" s="229">
        <v>6.0600000000000001E-2</v>
      </c>
      <c r="EZ190" s="229">
        <v>0.26740000000000003</v>
      </c>
      <c r="FA190" s="227" t="s">
        <v>566</v>
      </c>
      <c r="FB190" s="161">
        <f t="shared" si="4"/>
        <v>0</v>
      </c>
    </row>
    <row r="191" spans="1:158" ht="17.25" thickBot="1" x14ac:dyDescent="0.3">
      <c r="A191" s="226">
        <v>46146</v>
      </c>
      <c r="B191" s="227" t="s">
        <v>614</v>
      </c>
      <c r="C191" s="227" t="s">
        <v>689</v>
      </c>
      <c r="D191" s="228">
        <v>1300</v>
      </c>
      <c r="E191" s="228">
        <v>277.8</v>
      </c>
      <c r="F191" s="228">
        <v>271</v>
      </c>
      <c r="G191" s="228">
        <v>6.8</v>
      </c>
      <c r="H191" s="229">
        <v>2.5100000000000001E-2</v>
      </c>
      <c r="I191" s="228">
        <v>278.8</v>
      </c>
      <c r="J191" s="228">
        <v>270.3</v>
      </c>
      <c r="K191" s="228">
        <v>8.5</v>
      </c>
      <c r="L191" s="229">
        <v>3.1399999999999997E-2</v>
      </c>
      <c r="M191" s="228">
        <v>277.8</v>
      </c>
      <c r="N191" s="228">
        <v>271</v>
      </c>
      <c r="O191" s="228">
        <v>6.8</v>
      </c>
      <c r="P191" s="229">
        <v>2.5100000000000001E-2</v>
      </c>
      <c r="Q191" s="228">
        <v>276.7</v>
      </c>
      <c r="R191" s="228">
        <v>270.05</v>
      </c>
      <c r="S191" s="228">
        <v>6.65</v>
      </c>
      <c r="T191" s="229">
        <v>2.46E-2</v>
      </c>
      <c r="U191" s="228">
        <v>275.7</v>
      </c>
      <c r="V191" s="228">
        <v>270.10000000000002</v>
      </c>
      <c r="W191" s="228">
        <v>5.6</v>
      </c>
      <c r="X191" s="229">
        <v>2.07E-2</v>
      </c>
      <c r="Y191" s="228">
        <v>-1</v>
      </c>
      <c r="Z191" s="228">
        <v>0.7</v>
      </c>
      <c r="AA191" s="228">
        <v>-1.7</v>
      </c>
      <c r="AB191" s="229">
        <v>-3.5999999999999999E-3</v>
      </c>
      <c r="AC191" s="228">
        <v>-1</v>
      </c>
      <c r="AD191" s="228">
        <v>0.7</v>
      </c>
      <c r="AE191" s="228">
        <v>-1.7</v>
      </c>
      <c r="AF191" s="229">
        <v>-3.5999999999999999E-3</v>
      </c>
      <c r="AG191" s="228">
        <v>-2.1</v>
      </c>
      <c r="AH191" s="228">
        <v>-0.25</v>
      </c>
      <c r="AI191" s="228">
        <v>-1.85</v>
      </c>
      <c r="AJ191" s="229">
        <v>-7.4999999999999997E-3</v>
      </c>
      <c r="AK191" s="228">
        <v>-3.1</v>
      </c>
      <c r="AL191" s="228">
        <v>-0.2</v>
      </c>
      <c r="AM191" s="228">
        <v>-2.9</v>
      </c>
      <c r="AN191" s="229">
        <v>-1.11E-2</v>
      </c>
      <c r="AO191" s="228">
        <v>275.75</v>
      </c>
      <c r="AP191" s="228">
        <v>274.45</v>
      </c>
      <c r="AQ191" s="228">
        <v>0</v>
      </c>
      <c r="AR191" s="230">
        <v>5010200</v>
      </c>
      <c r="AS191" s="230">
        <v>6644300</v>
      </c>
      <c r="AT191" s="230">
        <v>-1634100</v>
      </c>
      <c r="AU191" s="229">
        <v>-0.24590000000000001</v>
      </c>
      <c r="AV191" s="230">
        <v>4591600</v>
      </c>
      <c r="AW191" s="230">
        <v>6254300</v>
      </c>
      <c r="AX191" s="230">
        <v>-1662700</v>
      </c>
      <c r="AY191" s="229">
        <v>-0.26579999999999998</v>
      </c>
      <c r="AZ191" s="230">
        <v>392600</v>
      </c>
      <c r="BA191" s="230">
        <v>354900</v>
      </c>
      <c r="BB191" s="230">
        <v>37700</v>
      </c>
      <c r="BC191" s="229">
        <v>0.1062</v>
      </c>
      <c r="BD191" s="230">
        <v>26000</v>
      </c>
      <c r="BE191" s="230">
        <v>35100</v>
      </c>
      <c r="BF191" s="230">
        <v>-9100</v>
      </c>
      <c r="BG191" s="229">
        <v>-0.25929999999999997</v>
      </c>
      <c r="BH191" s="230">
        <v>8957000</v>
      </c>
      <c r="BI191" s="230">
        <v>6464900</v>
      </c>
      <c r="BJ191" s="230">
        <v>2492100</v>
      </c>
      <c r="BK191" s="229">
        <v>0.38550000000000001</v>
      </c>
      <c r="BL191" s="230">
        <v>3647800</v>
      </c>
      <c r="BM191" s="230">
        <v>4269200</v>
      </c>
      <c r="BN191" s="230">
        <v>-621400</v>
      </c>
      <c r="BO191" s="229">
        <v>-0.14560000000000001</v>
      </c>
      <c r="BP191" s="230">
        <v>17615000</v>
      </c>
      <c r="BQ191" s="230">
        <v>17378400</v>
      </c>
      <c r="BR191" s="230">
        <v>236600</v>
      </c>
      <c r="BS191" s="229">
        <v>1.3599999999999999E-2</v>
      </c>
      <c r="BT191" s="230">
        <v>6684720</v>
      </c>
      <c r="BU191" s="230">
        <v>7964918</v>
      </c>
      <c r="BV191" s="230">
        <v>-1280198</v>
      </c>
      <c r="BW191" s="229">
        <v>-0.16070000000000001</v>
      </c>
      <c r="BX191" s="230">
        <v>41832625</v>
      </c>
      <c r="BY191" s="230">
        <v>41641225</v>
      </c>
      <c r="BZ191" s="230">
        <v>191400</v>
      </c>
      <c r="CA191" s="229">
        <v>4.5999999999999999E-3</v>
      </c>
      <c r="CB191" s="230">
        <v>40653600</v>
      </c>
      <c r="CC191" s="230">
        <v>40573000</v>
      </c>
      <c r="CD191" s="230">
        <v>80600</v>
      </c>
      <c r="CE191" s="229">
        <v>2E-3</v>
      </c>
      <c r="CF191" s="230">
        <v>1111500</v>
      </c>
      <c r="CG191" s="230">
        <v>1015300</v>
      </c>
      <c r="CH191" s="230">
        <v>96200</v>
      </c>
      <c r="CI191" s="229">
        <v>9.4799999999999995E-2</v>
      </c>
      <c r="CJ191" s="230">
        <v>67525</v>
      </c>
      <c r="CK191" s="230">
        <v>52925</v>
      </c>
      <c r="CL191" s="230">
        <v>14600</v>
      </c>
      <c r="CM191" s="229">
        <v>0.27589999999999998</v>
      </c>
      <c r="CN191" s="230">
        <v>9347000</v>
      </c>
      <c r="CO191" s="230">
        <v>7710300</v>
      </c>
      <c r="CP191" s="230">
        <v>1636700</v>
      </c>
      <c r="CQ191" s="229">
        <v>0.21229999999999999</v>
      </c>
      <c r="CR191" s="230">
        <v>6043700</v>
      </c>
      <c r="CS191" s="230">
        <v>5365100</v>
      </c>
      <c r="CT191" s="230">
        <v>678600</v>
      </c>
      <c r="CU191" s="229">
        <v>0.1265</v>
      </c>
      <c r="CV191" s="230">
        <v>57223325</v>
      </c>
      <c r="CW191" s="230">
        <v>54716625</v>
      </c>
      <c r="CX191" s="230">
        <v>2506700</v>
      </c>
      <c r="CY191" s="229">
        <v>4.58E-2</v>
      </c>
      <c r="CZ191" s="228">
        <v>47.27</v>
      </c>
      <c r="DA191" s="228">
        <v>46.95</v>
      </c>
      <c r="DB191" s="228">
        <v>0.32</v>
      </c>
      <c r="DC191" s="228">
        <v>0.32</v>
      </c>
      <c r="DD191" s="228">
        <v>45.22</v>
      </c>
      <c r="DE191" s="228">
        <v>45.14</v>
      </c>
      <c r="DF191" s="228">
        <v>2.0499999999999998</v>
      </c>
      <c r="DG191" s="228">
        <v>0.08</v>
      </c>
      <c r="DH191" s="228">
        <v>46.94</v>
      </c>
      <c r="DI191" s="228">
        <v>46.9</v>
      </c>
      <c r="DJ191" s="228">
        <v>0.04</v>
      </c>
      <c r="DK191" s="228">
        <v>0.04</v>
      </c>
      <c r="DL191" s="228">
        <v>48.08</v>
      </c>
      <c r="DM191" s="228">
        <v>47.03</v>
      </c>
      <c r="DN191" s="228">
        <v>1.05</v>
      </c>
      <c r="DO191" s="228">
        <v>1.05</v>
      </c>
      <c r="DP191" s="228">
        <v>0.65</v>
      </c>
      <c r="DQ191" s="228">
        <v>0.7</v>
      </c>
      <c r="DR191" s="228">
        <v>-0.05</v>
      </c>
      <c r="DS191" s="229">
        <v>-7.1400000000000005E-2</v>
      </c>
      <c r="DT191" s="228">
        <v>300</v>
      </c>
      <c r="DU191" s="228">
        <v>260</v>
      </c>
      <c r="DV191" s="228">
        <v>0.41</v>
      </c>
      <c r="DW191" s="228">
        <v>0.66</v>
      </c>
      <c r="DX191" s="228">
        <v>-0.25</v>
      </c>
      <c r="DY191" s="229">
        <v>-0.37880000000000003</v>
      </c>
      <c r="DZ191" s="229">
        <v>2.8199999999999999E-2</v>
      </c>
      <c r="EA191" s="230">
        <v>1068225</v>
      </c>
      <c r="EB191" s="229">
        <v>-4.0000000000000001E-3</v>
      </c>
      <c r="EC191" s="229">
        <v>2.8199999999999999E-2</v>
      </c>
      <c r="ED191" s="228">
        <v>-1.3</v>
      </c>
      <c r="EE191" s="229">
        <v>-4.7000000000000002E-3</v>
      </c>
      <c r="EF191" s="230">
        <v>2737432</v>
      </c>
      <c r="EG191" s="230">
        <v>3029366</v>
      </c>
      <c r="EH191" s="229">
        <v>-9.64E-2</v>
      </c>
      <c r="EI191" s="229">
        <v>0.40949999999999998</v>
      </c>
      <c r="EJ191" s="231">
        <v>26735.13</v>
      </c>
      <c r="EK191" s="231">
        <v>9958.39</v>
      </c>
      <c r="EL191" s="231">
        <v>13838.55</v>
      </c>
      <c r="EM191" s="231">
        <v>11900</v>
      </c>
      <c r="EN191" s="231">
        <v>50532.07</v>
      </c>
      <c r="EO191" s="231">
        <v>48671.02</v>
      </c>
      <c r="EP191" s="231">
        <v>1861.05</v>
      </c>
      <c r="EQ191" s="229">
        <v>3.8199999999999998E-2</v>
      </c>
      <c r="ER191" s="231">
        <v>27608</v>
      </c>
      <c r="ES191" s="231">
        <v>16251</v>
      </c>
      <c r="ET191" s="231">
        <v>116197</v>
      </c>
      <c r="EU191" s="231">
        <v>389472858</v>
      </c>
      <c r="EV191" s="231">
        <v>160056</v>
      </c>
      <c r="EW191" s="231">
        <v>150062</v>
      </c>
      <c r="EX191" s="231">
        <v>9994</v>
      </c>
      <c r="EY191" s="229">
        <v>6.6600000000000006E-2</v>
      </c>
      <c r="EZ191" s="229">
        <v>0.1469</v>
      </c>
      <c r="FA191" s="227" t="s">
        <v>555</v>
      </c>
      <c r="FB191" s="161">
        <f t="shared" si="4"/>
        <v>0</v>
      </c>
    </row>
    <row r="192" spans="1:158" ht="17.25" thickBot="1" x14ac:dyDescent="0.3">
      <c r="A192" s="226">
        <v>46146</v>
      </c>
      <c r="B192" s="227" t="s">
        <v>168</v>
      </c>
      <c r="C192" s="227" t="s">
        <v>291</v>
      </c>
      <c r="D192" s="228">
        <v>550</v>
      </c>
      <c r="E192" s="231">
        <v>1163.4000000000001</v>
      </c>
      <c r="F192" s="231">
        <v>1150.0999999999999</v>
      </c>
      <c r="G192" s="228">
        <v>13.3</v>
      </c>
      <c r="H192" s="229">
        <v>1.1599999999999999E-2</v>
      </c>
      <c r="I192" s="231">
        <v>1160.4000000000001</v>
      </c>
      <c r="J192" s="231">
        <v>1144.5999999999999</v>
      </c>
      <c r="K192" s="228">
        <v>15.8</v>
      </c>
      <c r="L192" s="229">
        <v>1.38E-2</v>
      </c>
      <c r="M192" s="231">
        <v>1163.4000000000001</v>
      </c>
      <c r="N192" s="231">
        <v>1150.0999999999999</v>
      </c>
      <c r="O192" s="228">
        <v>13.3</v>
      </c>
      <c r="P192" s="229">
        <v>1.1599999999999999E-2</v>
      </c>
      <c r="Q192" s="231">
        <v>1165.0999999999999</v>
      </c>
      <c r="R192" s="231">
        <v>1150.8</v>
      </c>
      <c r="S192" s="228">
        <v>14.3</v>
      </c>
      <c r="T192" s="229">
        <v>1.24E-2</v>
      </c>
      <c r="U192" s="231">
        <v>1157.5</v>
      </c>
      <c r="V192" s="231">
        <v>1157.5</v>
      </c>
      <c r="W192" s="228">
        <v>0</v>
      </c>
      <c r="X192" s="229">
        <v>0</v>
      </c>
      <c r="Y192" s="228">
        <v>3</v>
      </c>
      <c r="Z192" s="228">
        <v>5.5</v>
      </c>
      <c r="AA192" s="228">
        <v>-2.5</v>
      </c>
      <c r="AB192" s="229">
        <v>2.5999999999999999E-3</v>
      </c>
      <c r="AC192" s="228">
        <v>3</v>
      </c>
      <c r="AD192" s="228">
        <v>5.5</v>
      </c>
      <c r="AE192" s="228">
        <v>-2.5</v>
      </c>
      <c r="AF192" s="229">
        <v>2.5999999999999999E-3</v>
      </c>
      <c r="AG192" s="228">
        <v>4.7</v>
      </c>
      <c r="AH192" s="228">
        <v>6.2</v>
      </c>
      <c r="AI192" s="228">
        <v>-1.5</v>
      </c>
      <c r="AJ192" s="229">
        <v>4.1000000000000003E-3</v>
      </c>
      <c r="AK192" s="228">
        <v>-2.9</v>
      </c>
      <c r="AL192" s="228">
        <v>12.9</v>
      </c>
      <c r="AM192" s="228">
        <v>-15.8</v>
      </c>
      <c r="AN192" s="229">
        <v>-2.5000000000000001E-3</v>
      </c>
      <c r="AO192" s="231">
        <v>1167.29</v>
      </c>
      <c r="AP192" s="231">
        <v>1167.8499999999999</v>
      </c>
      <c r="AQ192" s="228">
        <v>0</v>
      </c>
      <c r="AR192" s="230">
        <v>1150050</v>
      </c>
      <c r="AS192" s="230">
        <v>1628550</v>
      </c>
      <c r="AT192" s="230">
        <v>-478500</v>
      </c>
      <c r="AU192" s="229">
        <v>-0.29380000000000001</v>
      </c>
      <c r="AV192" s="230">
        <v>1054350</v>
      </c>
      <c r="AW192" s="230">
        <v>1530100</v>
      </c>
      <c r="AX192" s="230">
        <v>-475750</v>
      </c>
      <c r="AY192" s="229">
        <v>-0.31090000000000001</v>
      </c>
      <c r="AZ192" s="230">
        <v>95700</v>
      </c>
      <c r="BA192" s="230">
        <v>94600</v>
      </c>
      <c r="BB192" s="230">
        <v>1100</v>
      </c>
      <c r="BC192" s="229">
        <v>1.1599999999999999E-2</v>
      </c>
      <c r="BD192" s="228">
        <v>0</v>
      </c>
      <c r="BE192" s="230">
        <v>3850</v>
      </c>
      <c r="BF192" s="230">
        <v>-3850</v>
      </c>
      <c r="BG192" s="229">
        <v>-1</v>
      </c>
      <c r="BH192" s="230">
        <v>3349500</v>
      </c>
      <c r="BI192" s="230">
        <v>1822150</v>
      </c>
      <c r="BJ192" s="230">
        <v>1527350</v>
      </c>
      <c r="BK192" s="229">
        <v>0.83819999999999995</v>
      </c>
      <c r="BL192" s="230">
        <v>860750</v>
      </c>
      <c r="BM192" s="230">
        <v>771650</v>
      </c>
      <c r="BN192" s="230">
        <v>89100</v>
      </c>
      <c r="BO192" s="229">
        <v>0.11550000000000001</v>
      </c>
      <c r="BP192" s="230">
        <v>5360300</v>
      </c>
      <c r="BQ192" s="230">
        <v>4222350</v>
      </c>
      <c r="BR192" s="230">
        <v>1137950</v>
      </c>
      <c r="BS192" s="229">
        <v>0.26950000000000002</v>
      </c>
      <c r="BT192" s="230">
        <v>1488174</v>
      </c>
      <c r="BU192" s="230">
        <v>1586977</v>
      </c>
      <c r="BV192" s="230">
        <v>-98803</v>
      </c>
      <c r="BW192" s="229">
        <v>-6.2300000000000001E-2</v>
      </c>
      <c r="BX192" s="230">
        <v>9276850</v>
      </c>
      <c r="BY192" s="230">
        <v>9275200</v>
      </c>
      <c r="BZ192" s="230">
        <v>1650</v>
      </c>
      <c r="CA192" s="229">
        <v>2.0000000000000001E-4</v>
      </c>
      <c r="CB192" s="230">
        <v>8303350</v>
      </c>
      <c r="CC192" s="230">
        <v>8340750</v>
      </c>
      <c r="CD192" s="230">
        <v>-37400</v>
      </c>
      <c r="CE192" s="229">
        <v>-4.4999999999999997E-3</v>
      </c>
      <c r="CF192" s="230">
        <v>968000</v>
      </c>
      <c r="CG192" s="230">
        <v>928950</v>
      </c>
      <c r="CH192" s="230">
        <v>39050</v>
      </c>
      <c r="CI192" s="229">
        <v>4.2000000000000003E-2</v>
      </c>
      <c r="CJ192" s="230">
        <v>5500</v>
      </c>
      <c r="CK192" s="230">
        <v>5500</v>
      </c>
      <c r="CL192" s="228">
        <v>0</v>
      </c>
      <c r="CM192" s="229">
        <v>0</v>
      </c>
      <c r="CN192" s="230">
        <v>2390850</v>
      </c>
      <c r="CO192" s="230">
        <v>1984400</v>
      </c>
      <c r="CP192" s="230">
        <v>406450</v>
      </c>
      <c r="CQ192" s="229">
        <v>0.20480000000000001</v>
      </c>
      <c r="CR192" s="230">
        <v>1349150</v>
      </c>
      <c r="CS192" s="230">
        <v>1223200</v>
      </c>
      <c r="CT192" s="230">
        <v>125950</v>
      </c>
      <c r="CU192" s="229">
        <v>0.10299999999999999</v>
      </c>
      <c r="CV192" s="230">
        <v>13016850</v>
      </c>
      <c r="CW192" s="230">
        <v>12482800</v>
      </c>
      <c r="CX192" s="230">
        <v>534050</v>
      </c>
      <c r="CY192" s="229">
        <v>4.2799999999999998E-2</v>
      </c>
      <c r="CZ192" s="228">
        <v>28.41</v>
      </c>
      <c r="DA192" s="228">
        <v>27.67</v>
      </c>
      <c r="DB192" s="228">
        <v>0.74</v>
      </c>
      <c r="DC192" s="228">
        <v>0.74</v>
      </c>
      <c r="DD192" s="228">
        <v>27.56</v>
      </c>
      <c r="DE192" s="228">
        <v>27.56</v>
      </c>
      <c r="DF192" s="228">
        <v>0.85</v>
      </c>
      <c r="DG192" s="228">
        <v>0</v>
      </c>
      <c r="DH192" s="228">
        <v>28.27</v>
      </c>
      <c r="DI192" s="228">
        <v>27.7</v>
      </c>
      <c r="DJ192" s="228">
        <v>0.56999999999999995</v>
      </c>
      <c r="DK192" s="228">
        <v>0.56999999999999995</v>
      </c>
      <c r="DL192" s="228">
        <v>28.94</v>
      </c>
      <c r="DM192" s="228">
        <v>27.6</v>
      </c>
      <c r="DN192" s="228">
        <v>1.34</v>
      </c>
      <c r="DO192" s="228">
        <v>1.34</v>
      </c>
      <c r="DP192" s="228">
        <v>0.56000000000000005</v>
      </c>
      <c r="DQ192" s="228">
        <v>0.62</v>
      </c>
      <c r="DR192" s="228">
        <v>-0.06</v>
      </c>
      <c r="DS192" s="229">
        <v>-9.6799999999999997E-2</v>
      </c>
      <c r="DT192" s="231">
        <v>1200</v>
      </c>
      <c r="DU192" s="231">
        <v>1100</v>
      </c>
      <c r="DV192" s="228">
        <v>0.26</v>
      </c>
      <c r="DW192" s="228">
        <v>0.42</v>
      </c>
      <c r="DX192" s="228">
        <v>-0.16</v>
      </c>
      <c r="DY192" s="229">
        <v>-0.38100000000000001</v>
      </c>
      <c r="DZ192" s="229">
        <v>0.10489999999999999</v>
      </c>
      <c r="EA192" s="230">
        <v>934450</v>
      </c>
      <c r="EB192" s="229">
        <v>1.5E-3</v>
      </c>
      <c r="EC192" s="229">
        <v>0.10489999999999999</v>
      </c>
      <c r="ED192" s="228">
        <v>0.56000000000000005</v>
      </c>
      <c r="EE192" s="229">
        <v>5.0000000000000001E-4</v>
      </c>
      <c r="EF192" s="230">
        <v>817618</v>
      </c>
      <c r="EG192" s="230">
        <v>1016552</v>
      </c>
      <c r="EH192" s="229">
        <v>-0.19570000000000001</v>
      </c>
      <c r="EI192" s="229">
        <v>0.5494</v>
      </c>
      <c r="EJ192" s="231">
        <v>41031.449999999997</v>
      </c>
      <c r="EK192" s="231">
        <v>9992.4699999999993</v>
      </c>
      <c r="EL192" s="231">
        <v>13424.94</v>
      </c>
      <c r="EM192" s="231">
        <v>6801</v>
      </c>
      <c r="EN192" s="231">
        <v>64448.86</v>
      </c>
      <c r="EO192" s="231">
        <v>49881.72</v>
      </c>
      <c r="EP192" s="231">
        <v>14567.14</v>
      </c>
      <c r="EQ192" s="229">
        <v>0.29199999999999998</v>
      </c>
      <c r="ER192" s="231">
        <v>29147</v>
      </c>
      <c r="ES192" s="231">
        <v>15090</v>
      </c>
      <c r="ET192" s="231">
        <v>107943</v>
      </c>
      <c r="EU192" s="231">
        <v>65472757</v>
      </c>
      <c r="EV192" s="231">
        <v>152180</v>
      </c>
      <c r="EW192" s="231">
        <v>144460</v>
      </c>
      <c r="EX192" s="231">
        <v>7720</v>
      </c>
      <c r="EY192" s="229">
        <v>5.3400000000000003E-2</v>
      </c>
      <c r="EZ192" s="229">
        <v>0.1988</v>
      </c>
      <c r="FA192" s="227" t="s">
        <v>555</v>
      </c>
      <c r="FB192" s="161">
        <f t="shared" si="4"/>
        <v>0</v>
      </c>
    </row>
    <row r="193" spans="1:158" ht="17.25" thickBot="1" x14ac:dyDescent="0.3">
      <c r="A193" s="226">
        <v>46146</v>
      </c>
      <c r="B193" s="227" t="s">
        <v>221</v>
      </c>
      <c r="C193" s="227" t="s">
        <v>603</v>
      </c>
      <c r="D193" s="228">
        <v>100</v>
      </c>
      <c r="E193" s="231">
        <v>4171.1000000000004</v>
      </c>
      <c r="F193" s="231">
        <v>4149.3999999999996</v>
      </c>
      <c r="G193" s="228">
        <v>21.7</v>
      </c>
      <c r="H193" s="229">
        <v>5.1999999999999998E-3</v>
      </c>
      <c r="I193" s="231">
        <v>4178.7</v>
      </c>
      <c r="J193" s="231">
        <v>4129.8999999999996</v>
      </c>
      <c r="K193" s="228">
        <v>48.8</v>
      </c>
      <c r="L193" s="229">
        <v>1.18E-2</v>
      </c>
      <c r="M193" s="231">
        <v>4171.1000000000004</v>
      </c>
      <c r="N193" s="231">
        <v>4149.3999999999996</v>
      </c>
      <c r="O193" s="228">
        <v>21.7</v>
      </c>
      <c r="P193" s="229">
        <v>5.1999999999999998E-3</v>
      </c>
      <c r="Q193" s="231">
        <v>4081.9</v>
      </c>
      <c r="R193" s="231">
        <v>4057.7</v>
      </c>
      <c r="S193" s="228">
        <v>24.2</v>
      </c>
      <c r="T193" s="229">
        <v>6.0000000000000001E-3</v>
      </c>
      <c r="U193" s="231">
        <v>4080</v>
      </c>
      <c r="V193" s="231">
        <v>4050</v>
      </c>
      <c r="W193" s="228">
        <v>30</v>
      </c>
      <c r="X193" s="229">
        <v>7.4000000000000003E-3</v>
      </c>
      <c r="Y193" s="228">
        <v>-7.6</v>
      </c>
      <c r="Z193" s="228">
        <v>19.5</v>
      </c>
      <c r="AA193" s="228">
        <v>-27.1</v>
      </c>
      <c r="AB193" s="229">
        <v>-1.8E-3</v>
      </c>
      <c r="AC193" s="228">
        <v>-7.6</v>
      </c>
      <c r="AD193" s="228">
        <v>19.5</v>
      </c>
      <c r="AE193" s="228">
        <v>-27.1</v>
      </c>
      <c r="AF193" s="229">
        <v>-1.8E-3</v>
      </c>
      <c r="AG193" s="228">
        <v>-96.8</v>
      </c>
      <c r="AH193" s="228">
        <v>-72.2</v>
      </c>
      <c r="AI193" s="228">
        <v>-24.6</v>
      </c>
      <c r="AJ193" s="229">
        <v>-2.3199999999999998E-2</v>
      </c>
      <c r="AK193" s="228">
        <v>-98.7</v>
      </c>
      <c r="AL193" s="228">
        <v>-79.900000000000006</v>
      </c>
      <c r="AM193" s="228">
        <v>-18.8</v>
      </c>
      <c r="AN193" s="229">
        <v>-2.3599999999999999E-2</v>
      </c>
      <c r="AO193" s="231">
        <v>4160.87</v>
      </c>
      <c r="AP193" s="231">
        <v>4078.78</v>
      </c>
      <c r="AQ193" s="228">
        <v>0</v>
      </c>
      <c r="AR193" s="230">
        <v>278400</v>
      </c>
      <c r="AS193" s="230">
        <v>329600</v>
      </c>
      <c r="AT193" s="230">
        <v>-51200</v>
      </c>
      <c r="AU193" s="229">
        <v>-0.15529999999999999</v>
      </c>
      <c r="AV193" s="230">
        <v>246000</v>
      </c>
      <c r="AW193" s="230">
        <v>296800</v>
      </c>
      <c r="AX193" s="230">
        <v>-50800</v>
      </c>
      <c r="AY193" s="229">
        <v>-0.17119999999999999</v>
      </c>
      <c r="AZ193" s="230">
        <v>31100</v>
      </c>
      <c r="BA193" s="230">
        <v>31800</v>
      </c>
      <c r="BB193" s="228">
        <v>-700</v>
      </c>
      <c r="BC193" s="229">
        <v>-2.1999999999999999E-2</v>
      </c>
      <c r="BD193" s="230">
        <v>1300</v>
      </c>
      <c r="BE193" s="230">
        <v>1000</v>
      </c>
      <c r="BF193" s="228">
        <v>300</v>
      </c>
      <c r="BG193" s="229">
        <v>0.3</v>
      </c>
      <c r="BH193" s="230">
        <v>794100</v>
      </c>
      <c r="BI193" s="230">
        <v>827600</v>
      </c>
      <c r="BJ193" s="230">
        <v>-33500</v>
      </c>
      <c r="BK193" s="229">
        <v>-4.0500000000000001E-2</v>
      </c>
      <c r="BL193" s="230">
        <v>260300</v>
      </c>
      <c r="BM193" s="230">
        <v>382200</v>
      </c>
      <c r="BN193" s="230">
        <v>-121900</v>
      </c>
      <c r="BO193" s="229">
        <v>-0.31890000000000002</v>
      </c>
      <c r="BP193" s="230">
        <v>1332800</v>
      </c>
      <c r="BQ193" s="230">
        <v>1539400</v>
      </c>
      <c r="BR193" s="230">
        <v>-206600</v>
      </c>
      <c r="BS193" s="229">
        <v>-0.13420000000000001</v>
      </c>
      <c r="BT193" s="230">
        <v>206136</v>
      </c>
      <c r="BU193" s="230">
        <v>280691</v>
      </c>
      <c r="BV193" s="230">
        <v>-74555</v>
      </c>
      <c r="BW193" s="229">
        <v>-0.2656</v>
      </c>
      <c r="BX193" s="230">
        <v>2425475</v>
      </c>
      <c r="BY193" s="230">
        <v>2382175</v>
      </c>
      <c r="BZ193" s="230">
        <v>43300</v>
      </c>
      <c r="CA193" s="229">
        <v>1.8200000000000001E-2</v>
      </c>
      <c r="CB193" s="230">
        <v>2230400</v>
      </c>
      <c r="CC193" s="230">
        <v>2200700</v>
      </c>
      <c r="CD193" s="230">
        <v>29700</v>
      </c>
      <c r="CE193" s="229">
        <v>1.35E-2</v>
      </c>
      <c r="CF193" s="230">
        <v>189700</v>
      </c>
      <c r="CG193" s="230">
        <v>177100</v>
      </c>
      <c r="CH193" s="230">
        <v>12600</v>
      </c>
      <c r="CI193" s="229">
        <v>7.1099999999999997E-2</v>
      </c>
      <c r="CJ193" s="230">
        <v>5375</v>
      </c>
      <c r="CK193" s="230">
        <v>4375</v>
      </c>
      <c r="CL193" s="230">
        <v>1000</v>
      </c>
      <c r="CM193" s="229">
        <v>0.2286</v>
      </c>
      <c r="CN193" s="230">
        <v>1354300</v>
      </c>
      <c r="CO193" s="230">
        <v>1208600</v>
      </c>
      <c r="CP193" s="230">
        <v>145700</v>
      </c>
      <c r="CQ193" s="229">
        <v>0.1206</v>
      </c>
      <c r="CR193" s="230">
        <v>603025</v>
      </c>
      <c r="CS193" s="230">
        <v>549200</v>
      </c>
      <c r="CT193" s="230">
        <v>53825</v>
      </c>
      <c r="CU193" s="229">
        <v>9.8000000000000004E-2</v>
      </c>
      <c r="CV193" s="230">
        <v>4382800</v>
      </c>
      <c r="CW193" s="230">
        <v>4139975</v>
      </c>
      <c r="CX193" s="230">
        <v>242825</v>
      </c>
      <c r="CY193" s="229">
        <v>5.8700000000000002E-2</v>
      </c>
      <c r="CZ193" s="228">
        <v>37.46</v>
      </c>
      <c r="DA193" s="228">
        <v>37.46</v>
      </c>
      <c r="DB193" s="228">
        <v>0</v>
      </c>
      <c r="DC193" s="228">
        <v>0</v>
      </c>
      <c r="DD193" s="228">
        <v>39.619999999999997</v>
      </c>
      <c r="DE193" s="228">
        <v>39.72</v>
      </c>
      <c r="DF193" s="228">
        <v>-2.16</v>
      </c>
      <c r="DG193" s="228">
        <v>-0.1</v>
      </c>
      <c r="DH193" s="228">
        <v>37.880000000000003</v>
      </c>
      <c r="DI193" s="228">
        <v>37.729999999999997</v>
      </c>
      <c r="DJ193" s="228">
        <v>0.15</v>
      </c>
      <c r="DK193" s="228">
        <v>0.15</v>
      </c>
      <c r="DL193" s="228">
        <v>36.19</v>
      </c>
      <c r="DM193" s="228">
        <v>36.880000000000003</v>
      </c>
      <c r="DN193" s="228">
        <v>-0.69</v>
      </c>
      <c r="DO193" s="228">
        <v>-0.69</v>
      </c>
      <c r="DP193" s="228">
        <v>0.45</v>
      </c>
      <c r="DQ193" s="228">
        <v>0.45</v>
      </c>
      <c r="DR193" s="228">
        <v>0</v>
      </c>
      <c r="DS193" s="229">
        <v>0</v>
      </c>
      <c r="DT193" s="231">
        <v>5000</v>
      </c>
      <c r="DU193" s="231">
        <v>4200</v>
      </c>
      <c r="DV193" s="228">
        <v>0.33</v>
      </c>
      <c r="DW193" s="228">
        <v>0.46</v>
      </c>
      <c r="DX193" s="228">
        <v>-0.13</v>
      </c>
      <c r="DY193" s="229">
        <v>-0.28260000000000002</v>
      </c>
      <c r="DZ193" s="229">
        <v>8.0399999999999999E-2</v>
      </c>
      <c r="EA193" s="230">
        <v>181475</v>
      </c>
      <c r="EB193" s="229">
        <v>-2.1399999999999999E-2</v>
      </c>
      <c r="EC193" s="229">
        <v>8.0399999999999999E-2</v>
      </c>
      <c r="ED193" s="228">
        <v>-82.09</v>
      </c>
      <c r="EE193" s="229">
        <v>-1.9699999999999999E-2</v>
      </c>
      <c r="EF193" s="230">
        <v>79732</v>
      </c>
      <c r="EG193" s="230">
        <v>108010</v>
      </c>
      <c r="EH193" s="229">
        <v>-0.26179999999999998</v>
      </c>
      <c r="EI193" s="229">
        <v>0.38679999999999998</v>
      </c>
      <c r="EJ193" s="231">
        <v>35942.85</v>
      </c>
      <c r="EK193" s="231">
        <v>10739.81</v>
      </c>
      <c r="EL193" s="231">
        <v>11570.11</v>
      </c>
      <c r="EM193" s="231">
        <v>7326</v>
      </c>
      <c r="EN193" s="231">
        <v>58252.77</v>
      </c>
      <c r="EO193" s="231">
        <v>66261.649999999994</v>
      </c>
      <c r="EP193" s="231">
        <v>-8008.88</v>
      </c>
      <c r="EQ193" s="229">
        <v>-0.12089999999999999</v>
      </c>
      <c r="ER193" s="231">
        <v>62072</v>
      </c>
      <c r="ES193" s="231">
        <v>24892</v>
      </c>
      <c r="ET193" s="231">
        <v>100995</v>
      </c>
      <c r="EU193" s="231">
        <v>5241946</v>
      </c>
      <c r="EV193" s="231">
        <v>187959</v>
      </c>
      <c r="EW193" s="231">
        <v>176785</v>
      </c>
      <c r="EX193" s="231">
        <v>11174</v>
      </c>
      <c r="EY193" s="229">
        <v>6.3200000000000006E-2</v>
      </c>
      <c r="EZ193" s="229">
        <v>0.83609999999999995</v>
      </c>
      <c r="FA193" s="227" t="s">
        <v>555</v>
      </c>
      <c r="FB193" s="161">
        <f t="shared" si="4"/>
        <v>0</v>
      </c>
    </row>
    <row r="194" spans="1:158" ht="17.25" thickBot="1" x14ac:dyDescent="0.3">
      <c r="A194" s="226">
        <v>46146</v>
      </c>
      <c r="B194" s="227" t="s">
        <v>161</v>
      </c>
      <c r="C194" s="227" t="s">
        <v>293</v>
      </c>
      <c r="D194" s="228">
        <v>1450</v>
      </c>
      <c r="E194" s="228">
        <v>443.9</v>
      </c>
      <c r="F194" s="228">
        <v>447.05</v>
      </c>
      <c r="G194" s="228">
        <v>-3.15</v>
      </c>
      <c r="H194" s="229">
        <v>-7.0000000000000001E-3</v>
      </c>
      <c r="I194" s="228">
        <v>441.4</v>
      </c>
      <c r="J194" s="228">
        <v>444.55</v>
      </c>
      <c r="K194" s="228">
        <v>-3.15</v>
      </c>
      <c r="L194" s="229">
        <v>-7.1000000000000004E-3</v>
      </c>
      <c r="M194" s="228">
        <v>443.9</v>
      </c>
      <c r="N194" s="228">
        <v>447.05</v>
      </c>
      <c r="O194" s="228">
        <v>-3.15</v>
      </c>
      <c r="P194" s="229">
        <v>-7.0000000000000001E-3</v>
      </c>
      <c r="Q194" s="228">
        <v>444.8</v>
      </c>
      <c r="R194" s="228">
        <v>448.1</v>
      </c>
      <c r="S194" s="228">
        <v>-3.3</v>
      </c>
      <c r="T194" s="229">
        <v>-7.4000000000000003E-3</v>
      </c>
      <c r="U194" s="228">
        <v>447.2</v>
      </c>
      <c r="V194" s="228">
        <v>450.85</v>
      </c>
      <c r="W194" s="228">
        <v>-3.65</v>
      </c>
      <c r="X194" s="229">
        <v>-8.0999999999999996E-3</v>
      </c>
      <c r="Y194" s="228">
        <v>2.5</v>
      </c>
      <c r="Z194" s="228">
        <v>2.5</v>
      </c>
      <c r="AA194" s="228">
        <v>0</v>
      </c>
      <c r="AB194" s="229">
        <v>5.7000000000000002E-3</v>
      </c>
      <c r="AC194" s="228">
        <v>2.5</v>
      </c>
      <c r="AD194" s="228">
        <v>2.5</v>
      </c>
      <c r="AE194" s="228">
        <v>0</v>
      </c>
      <c r="AF194" s="229">
        <v>5.7000000000000002E-3</v>
      </c>
      <c r="AG194" s="228">
        <v>3.4</v>
      </c>
      <c r="AH194" s="228">
        <v>3.55</v>
      </c>
      <c r="AI194" s="228">
        <v>-0.15</v>
      </c>
      <c r="AJ194" s="229">
        <v>7.7000000000000002E-3</v>
      </c>
      <c r="AK194" s="228">
        <v>5.8</v>
      </c>
      <c r="AL194" s="228">
        <v>6.3</v>
      </c>
      <c r="AM194" s="228">
        <v>-0.5</v>
      </c>
      <c r="AN194" s="229">
        <v>1.3100000000000001E-2</v>
      </c>
      <c r="AO194" s="228">
        <v>445.64</v>
      </c>
      <c r="AP194" s="228">
        <v>446.92</v>
      </c>
      <c r="AQ194" s="228">
        <v>0</v>
      </c>
      <c r="AR194" s="230">
        <v>6964350</v>
      </c>
      <c r="AS194" s="230">
        <v>7893800</v>
      </c>
      <c r="AT194" s="230">
        <v>-929450</v>
      </c>
      <c r="AU194" s="229">
        <v>-0.1177</v>
      </c>
      <c r="AV194" s="230">
        <v>6342300</v>
      </c>
      <c r="AW194" s="230">
        <v>7419650</v>
      </c>
      <c r="AX194" s="230">
        <v>-1077350</v>
      </c>
      <c r="AY194" s="229">
        <v>-0.1452</v>
      </c>
      <c r="AZ194" s="230">
        <v>472700</v>
      </c>
      <c r="BA194" s="230">
        <v>398750</v>
      </c>
      <c r="BB194" s="230">
        <v>73950</v>
      </c>
      <c r="BC194" s="229">
        <v>0.1855</v>
      </c>
      <c r="BD194" s="230">
        <v>149350</v>
      </c>
      <c r="BE194" s="230">
        <v>75400</v>
      </c>
      <c r="BF194" s="230">
        <v>73950</v>
      </c>
      <c r="BG194" s="229">
        <v>0.98080000000000001</v>
      </c>
      <c r="BH194" s="230">
        <v>23078200</v>
      </c>
      <c r="BI194" s="230">
        <v>24141050</v>
      </c>
      <c r="BJ194" s="230">
        <v>-1062850</v>
      </c>
      <c r="BK194" s="229">
        <v>-4.3999999999999997E-2</v>
      </c>
      <c r="BL194" s="230">
        <v>7386300</v>
      </c>
      <c r="BM194" s="230">
        <v>14014250</v>
      </c>
      <c r="BN194" s="230">
        <v>-6627950</v>
      </c>
      <c r="BO194" s="229">
        <v>-0.47289999999999999</v>
      </c>
      <c r="BP194" s="230">
        <v>37428850</v>
      </c>
      <c r="BQ194" s="230">
        <v>46049100</v>
      </c>
      <c r="BR194" s="230">
        <v>-8620250</v>
      </c>
      <c r="BS194" s="229">
        <v>-0.18720000000000001</v>
      </c>
      <c r="BT194" s="230">
        <v>5352162</v>
      </c>
      <c r="BU194" s="230">
        <v>6888836</v>
      </c>
      <c r="BV194" s="230">
        <v>-1536674</v>
      </c>
      <c r="BW194" s="229">
        <v>-0.22309999999999999</v>
      </c>
      <c r="BX194" s="230">
        <v>50415050</v>
      </c>
      <c r="BY194" s="230">
        <v>49407300</v>
      </c>
      <c r="BZ194" s="230">
        <v>1007750</v>
      </c>
      <c r="CA194" s="229">
        <v>2.0400000000000001E-2</v>
      </c>
      <c r="CB194" s="230">
        <v>49025950</v>
      </c>
      <c r="CC194" s="230">
        <v>48196550</v>
      </c>
      <c r="CD194" s="230">
        <v>829400</v>
      </c>
      <c r="CE194" s="229">
        <v>1.72E-2</v>
      </c>
      <c r="CF194" s="230">
        <v>1174500</v>
      </c>
      <c r="CG194" s="230">
        <v>1120850</v>
      </c>
      <c r="CH194" s="230">
        <v>53650</v>
      </c>
      <c r="CI194" s="229">
        <v>4.7899999999999998E-2</v>
      </c>
      <c r="CJ194" s="230">
        <v>214600</v>
      </c>
      <c r="CK194" s="230">
        <v>89900</v>
      </c>
      <c r="CL194" s="230">
        <v>124700</v>
      </c>
      <c r="CM194" s="229">
        <v>1.3871</v>
      </c>
      <c r="CN194" s="230">
        <v>23160850</v>
      </c>
      <c r="CO194" s="230">
        <v>20102800</v>
      </c>
      <c r="CP194" s="230">
        <v>3058050</v>
      </c>
      <c r="CQ194" s="229">
        <v>0.15210000000000001</v>
      </c>
      <c r="CR194" s="230">
        <v>14836400</v>
      </c>
      <c r="CS194" s="230">
        <v>14020050</v>
      </c>
      <c r="CT194" s="230">
        <v>816350</v>
      </c>
      <c r="CU194" s="229">
        <v>5.8200000000000002E-2</v>
      </c>
      <c r="CV194" s="230">
        <v>88412300</v>
      </c>
      <c r="CW194" s="230">
        <v>83530150</v>
      </c>
      <c r="CX194" s="230">
        <v>4882150</v>
      </c>
      <c r="CY194" s="229">
        <v>5.8400000000000001E-2</v>
      </c>
      <c r="CZ194" s="228">
        <v>32.06</v>
      </c>
      <c r="DA194" s="228">
        <v>31.15</v>
      </c>
      <c r="DB194" s="228">
        <v>0.91</v>
      </c>
      <c r="DC194" s="228">
        <v>0.91</v>
      </c>
      <c r="DD194" s="228">
        <v>31.8</v>
      </c>
      <c r="DE194" s="228">
        <v>31.86</v>
      </c>
      <c r="DF194" s="228">
        <v>0.26</v>
      </c>
      <c r="DG194" s="228">
        <v>-0.06</v>
      </c>
      <c r="DH194" s="228">
        <v>32.340000000000003</v>
      </c>
      <c r="DI194" s="228">
        <v>31.57</v>
      </c>
      <c r="DJ194" s="228">
        <v>0.77</v>
      </c>
      <c r="DK194" s="228">
        <v>0.77</v>
      </c>
      <c r="DL194" s="228">
        <v>31.19</v>
      </c>
      <c r="DM194" s="228">
        <v>30.44</v>
      </c>
      <c r="DN194" s="228">
        <v>0.75</v>
      </c>
      <c r="DO194" s="228">
        <v>0.75</v>
      </c>
      <c r="DP194" s="228">
        <v>0.64</v>
      </c>
      <c r="DQ194" s="228">
        <v>0.7</v>
      </c>
      <c r="DR194" s="228">
        <v>-0.06</v>
      </c>
      <c r="DS194" s="229">
        <v>-8.5699999999999998E-2</v>
      </c>
      <c r="DT194" s="228">
        <v>460</v>
      </c>
      <c r="DU194" s="228">
        <v>430</v>
      </c>
      <c r="DV194" s="228">
        <v>0.32</v>
      </c>
      <c r="DW194" s="228">
        <v>0.57999999999999996</v>
      </c>
      <c r="DX194" s="228">
        <v>-0.26</v>
      </c>
      <c r="DY194" s="229">
        <v>-0.44829999999999998</v>
      </c>
      <c r="DZ194" s="229">
        <v>2.76E-2</v>
      </c>
      <c r="EA194" s="230">
        <v>1210750</v>
      </c>
      <c r="EB194" s="229">
        <v>2E-3</v>
      </c>
      <c r="EC194" s="229">
        <v>2.76E-2</v>
      </c>
      <c r="ED194" s="228">
        <v>1.28</v>
      </c>
      <c r="EE194" s="229">
        <v>2.8999999999999998E-3</v>
      </c>
      <c r="EF194" s="230">
        <v>2115949</v>
      </c>
      <c r="EG194" s="230">
        <v>3379922</v>
      </c>
      <c r="EH194" s="229">
        <v>-0.374</v>
      </c>
      <c r="EI194" s="229">
        <v>0.39529999999999998</v>
      </c>
      <c r="EJ194" s="231">
        <v>109211.27</v>
      </c>
      <c r="EK194" s="231">
        <v>32834.81</v>
      </c>
      <c r="EL194" s="231">
        <v>31046.32</v>
      </c>
      <c r="EM194" s="231">
        <v>14610</v>
      </c>
      <c r="EN194" s="231">
        <v>173092.4</v>
      </c>
      <c r="EO194" s="231">
        <v>212235.86</v>
      </c>
      <c r="EP194" s="231">
        <v>-39143.46</v>
      </c>
      <c r="EQ194" s="229">
        <v>-0.18440000000000001</v>
      </c>
      <c r="ER194" s="231">
        <v>107023</v>
      </c>
      <c r="ES194" s="231">
        <v>63739</v>
      </c>
      <c r="ET194" s="231">
        <v>223810</v>
      </c>
      <c r="EU194" s="231">
        <v>169808198</v>
      </c>
      <c r="EV194" s="231">
        <v>394572</v>
      </c>
      <c r="EW194" s="231">
        <v>373891</v>
      </c>
      <c r="EX194" s="231">
        <v>20681</v>
      </c>
      <c r="EY194" s="229">
        <v>5.5300000000000002E-2</v>
      </c>
      <c r="EZ194" s="229">
        <v>0.52070000000000005</v>
      </c>
      <c r="FA194" s="227" t="s">
        <v>566</v>
      </c>
      <c r="FB194" s="161">
        <f t="shared" si="4"/>
        <v>0</v>
      </c>
    </row>
    <row r="195" spans="1:158" ht="17.25" thickBot="1" x14ac:dyDescent="0.3">
      <c r="A195" s="226">
        <v>46146</v>
      </c>
      <c r="B195" s="227" t="s">
        <v>227</v>
      </c>
      <c r="C195" s="227" t="s">
        <v>294</v>
      </c>
      <c r="D195" s="228">
        <v>2750</v>
      </c>
      <c r="E195" s="228">
        <v>212.87</v>
      </c>
      <c r="F195" s="228">
        <v>212.06</v>
      </c>
      <c r="G195" s="228">
        <v>0.81</v>
      </c>
      <c r="H195" s="229">
        <v>3.8E-3</v>
      </c>
      <c r="I195" s="228">
        <v>212.24</v>
      </c>
      <c r="J195" s="228">
        <v>211.36</v>
      </c>
      <c r="K195" s="228">
        <v>0.88</v>
      </c>
      <c r="L195" s="229">
        <v>4.1999999999999997E-3</v>
      </c>
      <c r="M195" s="228">
        <v>212.87</v>
      </c>
      <c r="N195" s="228">
        <v>212.06</v>
      </c>
      <c r="O195" s="228">
        <v>0.81</v>
      </c>
      <c r="P195" s="229">
        <v>3.8E-3</v>
      </c>
      <c r="Q195" s="228">
        <v>212.01</v>
      </c>
      <c r="R195" s="228">
        <v>210.35</v>
      </c>
      <c r="S195" s="228">
        <v>1.66</v>
      </c>
      <c r="T195" s="229">
        <v>7.9000000000000008E-3</v>
      </c>
      <c r="U195" s="228">
        <v>212.92</v>
      </c>
      <c r="V195" s="228">
        <v>211.73</v>
      </c>
      <c r="W195" s="228">
        <v>1.19</v>
      </c>
      <c r="X195" s="229">
        <v>5.5999999999999999E-3</v>
      </c>
      <c r="Y195" s="228">
        <v>0.63</v>
      </c>
      <c r="Z195" s="228">
        <v>0.7</v>
      </c>
      <c r="AA195" s="228">
        <v>-7.0000000000000007E-2</v>
      </c>
      <c r="AB195" s="229">
        <v>3.0000000000000001E-3</v>
      </c>
      <c r="AC195" s="228">
        <v>0.63</v>
      </c>
      <c r="AD195" s="228">
        <v>0.7</v>
      </c>
      <c r="AE195" s="228">
        <v>-7.0000000000000007E-2</v>
      </c>
      <c r="AF195" s="229">
        <v>3.0000000000000001E-3</v>
      </c>
      <c r="AG195" s="228">
        <v>-0.23</v>
      </c>
      <c r="AH195" s="228">
        <v>-1.01</v>
      </c>
      <c r="AI195" s="228">
        <v>0.78</v>
      </c>
      <c r="AJ195" s="229">
        <v>-1.1000000000000001E-3</v>
      </c>
      <c r="AK195" s="228">
        <v>0.68</v>
      </c>
      <c r="AL195" s="228">
        <v>0.37</v>
      </c>
      <c r="AM195" s="228">
        <v>0.31</v>
      </c>
      <c r="AN195" s="229">
        <v>3.2000000000000002E-3</v>
      </c>
      <c r="AO195" s="228">
        <v>213.75</v>
      </c>
      <c r="AP195" s="228">
        <v>212.41</v>
      </c>
      <c r="AQ195" s="228">
        <v>0</v>
      </c>
      <c r="AR195" s="230">
        <v>18073000</v>
      </c>
      <c r="AS195" s="230">
        <v>28545000</v>
      </c>
      <c r="AT195" s="230">
        <v>-10472000</v>
      </c>
      <c r="AU195" s="229">
        <v>-0.3669</v>
      </c>
      <c r="AV195" s="230">
        <v>16291000</v>
      </c>
      <c r="AW195" s="230">
        <v>25775750</v>
      </c>
      <c r="AX195" s="230">
        <v>-9484750</v>
      </c>
      <c r="AY195" s="229">
        <v>-0.36799999999999999</v>
      </c>
      <c r="AZ195" s="230">
        <v>1680250</v>
      </c>
      <c r="BA195" s="230">
        <v>2480500</v>
      </c>
      <c r="BB195" s="230">
        <v>-800250</v>
      </c>
      <c r="BC195" s="229">
        <v>-0.3226</v>
      </c>
      <c r="BD195" s="230">
        <v>101750</v>
      </c>
      <c r="BE195" s="230">
        <v>288750</v>
      </c>
      <c r="BF195" s="230">
        <v>-187000</v>
      </c>
      <c r="BG195" s="229">
        <v>-0.64759999999999995</v>
      </c>
      <c r="BH195" s="230">
        <v>59708000</v>
      </c>
      <c r="BI195" s="230">
        <v>78372250</v>
      </c>
      <c r="BJ195" s="230">
        <v>-18664250</v>
      </c>
      <c r="BK195" s="229">
        <v>-0.23810000000000001</v>
      </c>
      <c r="BL195" s="230">
        <v>33063250</v>
      </c>
      <c r="BM195" s="230">
        <v>58748250</v>
      </c>
      <c r="BN195" s="230">
        <v>-25685000</v>
      </c>
      <c r="BO195" s="229">
        <v>-0.43719999999999998</v>
      </c>
      <c r="BP195" s="230">
        <v>110844250</v>
      </c>
      <c r="BQ195" s="230">
        <v>165665500</v>
      </c>
      <c r="BR195" s="230">
        <v>-54821250</v>
      </c>
      <c r="BS195" s="229">
        <v>-0.33090000000000003</v>
      </c>
      <c r="BT195" s="230">
        <v>24491559</v>
      </c>
      <c r="BU195" s="230">
        <v>26326581</v>
      </c>
      <c r="BV195" s="230">
        <v>-1835022</v>
      </c>
      <c r="BW195" s="229">
        <v>-6.9699999999999998E-2</v>
      </c>
      <c r="BX195" s="230">
        <v>185539750</v>
      </c>
      <c r="BY195" s="230">
        <v>185421500</v>
      </c>
      <c r="BZ195" s="230">
        <v>118250</v>
      </c>
      <c r="CA195" s="229">
        <v>5.9999999999999995E-4</v>
      </c>
      <c r="CB195" s="230">
        <v>171976750</v>
      </c>
      <c r="CC195" s="230">
        <v>172183000</v>
      </c>
      <c r="CD195" s="230">
        <v>-206250</v>
      </c>
      <c r="CE195" s="229">
        <v>-1.1999999999999999E-3</v>
      </c>
      <c r="CF195" s="230">
        <v>13329250</v>
      </c>
      <c r="CG195" s="230">
        <v>13024000</v>
      </c>
      <c r="CH195" s="230">
        <v>305250</v>
      </c>
      <c r="CI195" s="229">
        <v>2.3400000000000001E-2</v>
      </c>
      <c r="CJ195" s="230">
        <v>233750</v>
      </c>
      <c r="CK195" s="230">
        <v>214500</v>
      </c>
      <c r="CL195" s="230">
        <v>19250</v>
      </c>
      <c r="CM195" s="229">
        <v>8.9700000000000002E-2</v>
      </c>
      <c r="CN195" s="230">
        <v>80286250</v>
      </c>
      <c r="CO195" s="230">
        <v>78028500</v>
      </c>
      <c r="CP195" s="230">
        <v>2257750</v>
      </c>
      <c r="CQ195" s="229">
        <v>2.8899999999999999E-2</v>
      </c>
      <c r="CR195" s="230">
        <v>52580000</v>
      </c>
      <c r="CS195" s="230">
        <v>47833500</v>
      </c>
      <c r="CT195" s="230">
        <v>4746500</v>
      </c>
      <c r="CU195" s="229">
        <v>9.9199999999999997E-2</v>
      </c>
      <c r="CV195" s="230">
        <v>318406000</v>
      </c>
      <c r="CW195" s="230">
        <v>311283500</v>
      </c>
      <c r="CX195" s="230">
        <v>7122500</v>
      </c>
      <c r="CY195" s="229">
        <v>2.29E-2</v>
      </c>
      <c r="CZ195" s="228">
        <v>30.06</v>
      </c>
      <c r="DA195" s="228">
        <v>30.05</v>
      </c>
      <c r="DB195" s="228">
        <v>0.01</v>
      </c>
      <c r="DC195" s="228">
        <v>0.01</v>
      </c>
      <c r="DD195" s="228">
        <v>35.520000000000003</v>
      </c>
      <c r="DE195" s="228">
        <v>35.61</v>
      </c>
      <c r="DF195" s="228">
        <v>-5.46</v>
      </c>
      <c r="DG195" s="228">
        <v>-0.09</v>
      </c>
      <c r="DH195" s="228">
        <v>29.42</v>
      </c>
      <c r="DI195" s="228">
        <v>29.93</v>
      </c>
      <c r="DJ195" s="228">
        <v>-0.51</v>
      </c>
      <c r="DK195" s="228">
        <v>-0.51</v>
      </c>
      <c r="DL195" s="228">
        <v>31.21</v>
      </c>
      <c r="DM195" s="228">
        <v>30.2</v>
      </c>
      <c r="DN195" s="228">
        <v>1.01</v>
      </c>
      <c r="DO195" s="228">
        <v>1.01</v>
      </c>
      <c r="DP195" s="228">
        <v>0.65</v>
      </c>
      <c r="DQ195" s="228">
        <v>0.61</v>
      </c>
      <c r="DR195" s="228">
        <v>0.04</v>
      </c>
      <c r="DS195" s="229">
        <v>6.5600000000000006E-2</v>
      </c>
      <c r="DT195" s="228">
        <v>210</v>
      </c>
      <c r="DU195" s="228">
        <v>210</v>
      </c>
      <c r="DV195" s="228">
        <v>0.55000000000000004</v>
      </c>
      <c r="DW195" s="228">
        <v>0.75</v>
      </c>
      <c r="DX195" s="228">
        <v>-0.2</v>
      </c>
      <c r="DY195" s="229">
        <v>-0.26669999999999999</v>
      </c>
      <c r="DZ195" s="229">
        <v>7.3099999999999998E-2</v>
      </c>
      <c r="EA195" s="230">
        <v>13238500</v>
      </c>
      <c r="EB195" s="229">
        <v>-4.0000000000000001E-3</v>
      </c>
      <c r="EC195" s="229">
        <v>7.3099999999999998E-2</v>
      </c>
      <c r="ED195" s="228">
        <v>-1.34</v>
      </c>
      <c r="EE195" s="229">
        <v>-6.3E-3</v>
      </c>
      <c r="EF195" s="230">
        <v>12231871</v>
      </c>
      <c r="EG195" s="230">
        <v>12873524</v>
      </c>
      <c r="EH195" s="229">
        <v>-4.9799999999999997E-2</v>
      </c>
      <c r="EI195" s="229">
        <v>0.49940000000000001</v>
      </c>
      <c r="EJ195" s="231">
        <v>134681.35</v>
      </c>
      <c r="EK195" s="231">
        <v>69336.72</v>
      </c>
      <c r="EL195" s="231">
        <v>38607.47</v>
      </c>
      <c r="EM195" s="231">
        <v>16476</v>
      </c>
      <c r="EN195" s="231">
        <v>242625.54</v>
      </c>
      <c r="EO195" s="231">
        <v>360338.91</v>
      </c>
      <c r="EP195" s="231">
        <v>-117713.37</v>
      </c>
      <c r="EQ195" s="229">
        <v>-0.32669999999999999</v>
      </c>
      <c r="ER195" s="231">
        <v>174929</v>
      </c>
      <c r="ES195" s="231">
        <v>107458</v>
      </c>
      <c r="ET195" s="231">
        <v>394844</v>
      </c>
      <c r="EU195" s="231">
        <v>1049350971</v>
      </c>
      <c r="EV195" s="231">
        <v>677231</v>
      </c>
      <c r="EW195" s="231">
        <v>660391</v>
      </c>
      <c r="EX195" s="231">
        <v>16840</v>
      </c>
      <c r="EY195" s="229">
        <v>2.5499999999999998E-2</v>
      </c>
      <c r="EZ195" s="229">
        <v>0.3034</v>
      </c>
      <c r="FA195" s="227" t="s">
        <v>555</v>
      </c>
      <c r="FB195" s="161">
        <f t="shared" ref="FB195:FB258" si="5">BX262-CB262</f>
        <v>0</v>
      </c>
    </row>
    <row r="196" spans="1:158" ht="17.25" thickBot="1" x14ac:dyDescent="0.3">
      <c r="A196" s="226">
        <v>46146</v>
      </c>
      <c r="B196" s="227" t="s">
        <v>221</v>
      </c>
      <c r="C196" s="227" t="s">
        <v>295</v>
      </c>
      <c r="D196" s="228">
        <v>175</v>
      </c>
      <c r="E196" s="231">
        <v>2421.8000000000002</v>
      </c>
      <c r="F196" s="231">
        <v>2440.6</v>
      </c>
      <c r="G196" s="228">
        <v>-18.8</v>
      </c>
      <c r="H196" s="229">
        <v>-7.7000000000000002E-3</v>
      </c>
      <c r="I196" s="231">
        <v>2431.3000000000002</v>
      </c>
      <c r="J196" s="231">
        <v>2473.9</v>
      </c>
      <c r="K196" s="228">
        <v>-42.6</v>
      </c>
      <c r="L196" s="229">
        <v>-1.72E-2</v>
      </c>
      <c r="M196" s="231">
        <v>2421.8000000000002</v>
      </c>
      <c r="N196" s="231">
        <v>2440.6</v>
      </c>
      <c r="O196" s="228">
        <v>-18.8</v>
      </c>
      <c r="P196" s="229">
        <v>-7.7000000000000002E-3</v>
      </c>
      <c r="Q196" s="231">
        <v>2410.1999999999998</v>
      </c>
      <c r="R196" s="231">
        <v>2431.9</v>
      </c>
      <c r="S196" s="228">
        <v>-21.7</v>
      </c>
      <c r="T196" s="229">
        <v>-8.8999999999999999E-3</v>
      </c>
      <c r="U196" s="231">
        <v>2409.9</v>
      </c>
      <c r="V196" s="231">
        <v>2431.8000000000002</v>
      </c>
      <c r="W196" s="228">
        <v>-21.9</v>
      </c>
      <c r="X196" s="229">
        <v>-8.9999999999999993E-3</v>
      </c>
      <c r="Y196" s="228">
        <v>-9.5</v>
      </c>
      <c r="Z196" s="228">
        <v>-33.299999999999997</v>
      </c>
      <c r="AA196" s="228">
        <v>23.8</v>
      </c>
      <c r="AB196" s="229">
        <v>-3.8999999999999998E-3</v>
      </c>
      <c r="AC196" s="228">
        <v>-9.5</v>
      </c>
      <c r="AD196" s="228">
        <v>-33.299999999999997</v>
      </c>
      <c r="AE196" s="228">
        <v>23.8</v>
      </c>
      <c r="AF196" s="229">
        <v>-3.8999999999999998E-3</v>
      </c>
      <c r="AG196" s="228">
        <v>-21.1</v>
      </c>
      <c r="AH196" s="228">
        <v>-42</v>
      </c>
      <c r="AI196" s="228">
        <v>20.9</v>
      </c>
      <c r="AJ196" s="229">
        <v>-8.6999999999999994E-3</v>
      </c>
      <c r="AK196" s="228">
        <v>-21.4</v>
      </c>
      <c r="AL196" s="228">
        <v>-42.1</v>
      </c>
      <c r="AM196" s="228">
        <v>20.7</v>
      </c>
      <c r="AN196" s="229">
        <v>-8.8000000000000005E-3</v>
      </c>
      <c r="AO196" s="231">
        <v>2429.73</v>
      </c>
      <c r="AP196" s="231">
        <v>2418.17</v>
      </c>
      <c r="AQ196" s="228">
        <v>0</v>
      </c>
      <c r="AR196" s="230">
        <v>2380175</v>
      </c>
      <c r="AS196" s="230">
        <v>3527825</v>
      </c>
      <c r="AT196" s="230">
        <v>-1147650</v>
      </c>
      <c r="AU196" s="229">
        <v>-0.32529999999999998</v>
      </c>
      <c r="AV196" s="230">
        <v>1813175</v>
      </c>
      <c r="AW196" s="230">
        <v>3127775</v>
      </c>
      <c r="AX196" s="230">
        <v>-1314600</v>
      </c>
      <c r="AY196" s="229">
        <v>-0.42030000000000001</v>
      </c>
      <c r="AZ196" s="230">
        <v>458675</v>
      </c>
      <c r="BA196" s="230">
        <v>357175</v>
      </c>
      <c r="BB196" s="230">
        <v>101500</v>
      </c>
      <c r="BC196" s="229">
        <v>0.28420000000000001</v>
      </c>
      <c r="BD196" s="230">
        <v>108325</v>
      </c>
      <c r="BE196" s="230">
        <v>42875</v>
      </c>
      <c r="BF196" s="230">
        <v>65450</v>
      </c>
      <c r="BG196" s="229">
        <v>1.5265</v>
      </c>
      <c r="BH196" s="230">
        <v>9385600</v>
      </c>
      <c r="BI196" s="230">
        <v>9888550</v>
      </c>
      <c r="BJ196" s="230">
        <v>-502950</v>
      </c>
      <c r="BK196" s="229">
        <v>-5.0900000000000001E-2</v>
      </c>
      <c r="BL196" s="230">
        <v>4881975</v>
      </c>
      <c r="BM196" s="230">
        <v>4730775</v>
      </c>
      <c r="BN196" s="230">
        <v>151200</v>
      </c>
      <c r="BO196" s="229">
        <v>3.2000000000000001E-2</v>
      </c>
      <c r="BP196" s="230">
        <v>16647750</v>
      </c>
      <c r="BQ196" s="230">
        <v>18147150</v>
      </c>
      <c r="BR196" s="230">
        <v>-1499400</v>
      </c>
      <c r="BS196" s="229">
        <v>-8.2600000000000007E-2</v>
      </c>
      <c r="BT196" s="230">
        <v>2958250</v>
      </c>
      <c r="BU196" s="230">
        <v>4427098</v>
      </c>
      <c r="BV196" s="230">
        <v>-1468848</v>
      </c>
      <c r="BW196" s="229">
        <v>-0.33179999999999998</v>
      </c>
      <c r="BX196" s="230">
        <v>37727850</v>
      </c>
      <c r="BY196" s="230">
        <v>37468600</v>
      </c>
      <c r="BZ196" s="230">
        <v>259250</v>
      </c>
      <c r="CA196" s="229">
        <v>6.8999999999999999E-3</v>
      </c>
      <c r="CB196" s="230">
        <v>35011900</v>
      </c>
      <c r="CC196" s="230">
        <v>34999125</v>
      </c>
      <c r="CD196" s="230">
        <v>12775</v>
      </c>
      <c r="CE196" s="229">
        <v>4.0000000000000002E-4</v>
      </c>
      <c r="CF196" s="230">
        <v>2528750</v>
      </c>
      <c r="CG196" s="230">
        <v>2404675</v>
      </c>
      <c r="CH196" s="230">
        <v>124075</v>
      </c>
      <c r="CI196" s="229">
        <v>5.16E-2</v>
      </c>
      <c r="CJ196" s="230">
        <v>187200</v>
      </c>
      <c r="CK196" s="230">
        <v>64800</v>
      </c>
      <c r="CL196" s="230">
        <v>122400</v>
      </c>
      <c r="CM196" s="229">
        <v>1.8889</v>
      </c>
      <c r="CN196" s="230">
        <v>11516350</v>
      </c>
      <c r="CO196" s="230">
        <v>10179775</v>
      </c>
      <c r="CP196" s="230">
        <v>1336575</v>
      </c>
      <c r="CQ196" s="229">
        <v>0.1313</v>
      </c>
      <c r="CR196" s="230">
        <v>8463425</v>
      </c>
      <c r="CS196" s="230">
        <v>8218500</v>
      </c>
      <c r="CT196" s="230">
        <v>244925</v>
      </c>
      <c r="CU196" s="229">
        <v>2.98E-2</v>
      </c>
      <c r="CV196" s="230">
        <v>57707625</v>
      </c>
      <c r="CW196" s="230">
        <v>55866875</v>
      </c>
      <c r="CX196" s="230">
        <v>1840750</v>
      </c>
      <c r="CY196" s="229">
        <v>3.2899999999999999E-2</v>
      </c>
      <c r="CZ196" s="228">
        <v>27.53</v>
      </c>
      <c r="DA196" s="228">
        <v>27.35</v>
      </c>
      <c r="DB196" s="228">
        <v>0.18</v>
      </c>
      <c r="DC196" s="228">
        <v>0.18</v>
      </c>
      <c r="DD196" s="228">
        <v>28.09</v>
      </c>
      <c r="DE196" s="228">
        <v>28.06</v>
      </c>
      <c r="DF196" s="228">
        <v>-0.56000000000000005</v>
      </c>
      <c r="DG196" s="228">
        <v>0.03</v>
      </c>
      <c r="DH196" s="228">
        <v>27.5</v>
      </c>
      <c r="DI196" s="228">
        <v>27.36</v>
      </c>
      <c r="DJ196" s="228">
        <v>0.14000000000000001</v>
      </c>
      <c r="DK196" s="228">
        <v>0.14000000000000001</v>
      </c>
      <c r="DL196" s="228">
        <v>27.59</v>
      </c>
      <c r="DM196" s="228">
        <v>27.32</v>
      </c>
      <c r="DN196" s="228">
        <v>0.27</v>
      </c>
      <c r="DO196" s="228">
        <v>0.27</v>
      </c>
      <c r="DP196" s="228">
        <v>0.73</v>
      </c>
      <c r="DQ196" s="228">
        <v>0.81</v>
      </c>
      <c r="DR196" s="228">
        <v>-0.08</v>
      </c>
      <c r="DS196" s="229">
        <v>-9.8799999999999999E-2</v>
      </c>
      <c r="DT196" s="231">
        <v>2600</v>
      </c>
      <c r="DU196" s="231">
        <v>3120</v>
      </c>
      <c r="DV196" s="228">
        <v>0.52</v>
      </c>
      <c r="DW196" s="228">
        <v>0.48</v>
      </c>
      <c r="DX196" s="228">
        <v>0.04</v>
      </c>
      <c r="DY196" s="229">
        <v>8.3299999999999999E-2</v>
      </c>
      <c r="DZ196" s="229">
        <v>7.1999999999999995E-2</v>
      </c>
      <c r="EA196" s="230">
        <v>2469475</v>
      </c>
      <c r="EB196" s="229">
        <v>-4.7999999999999996E-3</v>
      </c>
      <c r="EC196" s="229">
        <v>7.1999999999999995E-2</v>
      </c>
      <c r="ED196" s="228">
        <v>-11.56</v>
      </c>
      <c r="EE196" s="229">
        <v>-4.7999999999999996E-3</v>
      </c>
      <c r="EF196" s="230">
        <v>1629236</v>
      </c>
      <c r="EG196" s="230">
        <v>1994914</v>
      </c>
      <c r="EH196" s="229">
        <v>-0.18329999999999999</v>
      </c>
      <c r="EI196" s="229">
        <v>0.55069999999999997</v>
      </c>
      <c r="EJ196" s="231">
        <v>241861.17</v>
      </c>
      <c r="EK196" s="231">
        <v>117868.22</v>
      </c>
      <c r="EL196" s="231">
        <v>58517</v>
      </c>
      <c r="EM196" s="231">
        <v>60872</v>
      </c>
      <c r="EN196" s="231">
        <v>418246.39</v>
      </c>
      <c r="EO196" s="231">
        <v>456733.15</v>
      </c>
      <c r="EP196" s="231">
        <v>-38486.76</v>
      </c>
      <c r="EQ196" s="229">
        <v>-8.43E-2</v>
      </c>
      <c r="ER196" s="231">
        <v>296611</v>
      </c>
      <c r="ES196" s="231">
        <v>211906</v>
      </c>
      <c r="ET196" s="231">
        <v>913377</v>
      </c>
      <c r="EU196" s="231">
        <v>153229333</v>
      </c>
      <c r="EV196" s="231">
        <v>1421894</v>
      </c>
      <c r="EW196" s="231">
        <v>1382686</v>
      </c>
      <c r="EX196" s="231">
        <v>39208</v>
      </c>
      <c r="EY196" s="229">
        <v>2.8400000000000002E-2</v>
      </c>
      <c r="EZ196" s="229">
        <v>0.37659999999999999</v>
      </c>
      <c r="FA196" s="227" t="s">
        <v>566</v>
      </c>
      <c r="FB196" s="161">
        <f t="shared" si="5"/>
        <v>0</v>
      </c>
    </row>
    <row r="197" spans="1:158" ht="17.25" thickBot="1" x14ac:dyDescent="0.3">
      <c r="A197" s="226">
        <v>46146</v>
      </c>
      <c r="B197" s="227" t="s">
        <v>221</v>
      </c>
      <c r="C197" s="227" t="s">
        <v>296</v>
      </c>
      <c r="D197" s="228">
        <v>600</v>
      </c>
      <c r="E197" s="231">
        <v>1467.3</v>
      </c>
      <c r="F197" s="231">
        <v>1474.8</v>
      </c>
      <c r="G197" s="228">
        <v>-7.5</v>
      </c>
      <c r="H197" s="229">
        <v>-5.1000000000000004E-3</v>
      </c>
      <c r="I197" s="231">
        <v>1471.6</v>
      </c>
      <c r="J197" s="231">
        <v>1473.5</v>
      </c>
      <c r="K197" s="228">
        <v>-1.9</v>
      </c>
      <c r="L197" s="229">
        <v>-1.2999999999999999E-3</v>
      </c>
      <c r="M197" s="231">
        <v>1467.3</v>
      </c>
      <c r="N197" s="231">
        <v>1474.8</v>
      </c>
      <c r="O197" s="228">
        <v>-7.5</v>
      </c>
      <c r="P197" s="229">
        <v>-5.1000000000000004E-3</v>
      </c>
      <c r="Q197" s="231">
        <v>1466.4</v>
      </c>
      <c r="R197" s="231">
        <v>1473.4</v>
      </c>
      <c r="S197" s="228">
        <v>-7</v>
      </c>
      <c r="T197" s="229">
        <v>-4.7999999999999996E-3</v>
      </c>
      <c r="U197" s="231">
        <v>1464</v>
      </c>
      <c r="V197" s="231">
        <v>1474.8</v>
      </c>
      <c r="W197" s="228">
        <v>-10.8</v>
      </c>
      <c r="X197" s="229">
        <v>-7.3000000000000001E-3</v>
      </c>
      <c r="Y197" s="228">
        <v>-4.3</v>
      </c>
      <c r="Z197" s="228">
        <v>1.3</v>
      </c>
      <c r="AA197" s="228">
        <v>-5.6</v>
      </c>
      <c r="AB197" s="229">
        <v>-2.8999999999999998E-3</v>
      </c>
      <c r="AC197" s="228">
        <v>-4.3</v>
      </c>
      <c r="AD197" s="228">
        <v>1.3</v>
      </c>
      <c r="AE197" s="228">
        <v>-5.6</v>
      </c>
      <c r="AF197" s="229">
        <v>-2.8999999999999998E-3</v>
      </c>
      <c r="AG197" s="228">
        <v>-5.2</v>
      </c>
      <c r="AH197" s="228">
        <v>-0.1</v>
      </c>
      <c r="AI197" s="228">
        <v>-5.0999999999999996</v>
      </c>
      <c r="AJ197" s="229">
        <v>-3.5000000000000001E-3</v>
      </c>
      <c r="AK197" s="228">
        <v>-7.6</v>
      </c>
      <c r="AL197" s="228">
        <v>1.3</v>
      </c>
      <c r="AM197" s="228">
        <v>-8.9</v>
      </c>
      <c r="AN197" s="229">
        <v>-5.1999999999999998E-3</v>
      </c>
      <c r="AO197" s="231">
        <v>1469.36</v>
      </c>
      <c r="AP197" s="231">
        <v>1468.59</v>
      </c>
      <c r="AQ197" s="228">
        <v>0</v>
      </c>
      <c r="AR197" s="230">
        <v>2328600</v>
      </c>
      <c r="AS197" s="230">
        <v>3789000</v>
      </c>
      <c r="AT197" s="230">
        <v>-1460400</v>
      </c>
      <c r="AU197" s="229">
        <v>-0.38540000000000002</v>
      </c>
      <c r="AV197" s="230">
        <v>2137200</v>
      </c>
      <c r="AW197" s="230">
        <v>3663600</v>
      </c>
      <c r="AX197" s="230">
        <v>-1526400</v>
      </c>
      <c r="AY197" s="229">
        <v>-0.41660000000000003</v>
      </c>
      <c r="AZ197" s="230">
        <v>187800</v>
      </c>
      <c r="BA197" s="230">
        <v>111000</v>
      </c>
      <c r="BB197" s="230">
        <v>76800</v>
      </c>
      <c r="BC197" s="229">
        <v>0.69189999999999996</v>
      </c>
      <c r="BD197" s="230">
        <v>3600</v>
      </c>
      <c r="BE197" s="230">
        <v>14400</v>
      </c>
      <c r="BF197" s="230">
        <v>-10800</v>
      </c>
      <c r="BG197" s="229">
        <v>-0.75</v>
      </c>
      <c r="BH197" s="230">
        <v>4337400</v>
      </c>
      <c r="BI197" s="230">
        <v>11163000</v>
      </c>
      <c r="BJ197" s="230">
        <v>-6825600</v>
      </c>
      <c r="BK197" s="229">
        <v>-0.61140000000000005</v>
      </c>
      <c r="BL197" s="230">
        <v>2745600</v>
      </c>
      <c r="BM197" s="230">
        <v>4978800</v>
      </c>
      <c r="BN197" s="230">
        <v>-2233200</v>
      </c>
      <c r="BO197" s="229">
        <v>-0.44850000000000001</v>
      </c>
      <c r="BP197" s="230">
        <v>9411600</v>
      </c>
      <c r="BQ197" s="230">
        <v>19930800</v>
      </c>
      <c r="BR197" s="230">
        <v>-10519200</v>
      </c>
      <c r="BS197" s="229">
        <v>-0.52780000000000005</v>
      </c>
      <c r="BT197" s="230">
        <v>1539393</v>
      </c>
      <c r="BU197" s="230">
        <v>2939615</v>
      </c>
      <c r="BV197" s="230">
        <v>-1400222</v>
      </c>
      <c r="BW197" s="229">
        <v>-0.4763</v>
      </c>
      <c r="BX197" s="230">
        <v>19548600</v>
      </c>
      <c r="BY197" s="230">
        <v>19198200</v>
      </c>
      <c r="BZ197" s="230">
        <v>350400</v>
      </c>
      <c r="CA197" s="229">
        <v>1.83E-2</v>
      </c>
      <c r="CB197" s="230">
        <v>19092000</v>
      </c>
      <c r="CC197" s="230">
        <v>18838200</v>
      </c>
      <c r="CD197" s="230">
        <v>253800</v>
      </c>
      <c r="CE197" s="229">
        <v>1.35E-2</v>
      </c>
      <c r="CF197" s="230">
        <v>440400</v>
      </c>
      <c r="CG197" s="230">
        <v>346800</v>
      </c>
      <c r="CH197" s="230">
        <v>93600</v>
      </c>
      <c r="CI197" s="229">
        <v>0.26989999999999997</v>
      </c>
      <c r="CJ197" s="230">
        <v>16200</v>
      </c>
      <c r="CK197" s="230">
        <v>13200</v>
      </c>
      <c r="CL197" s="230">
        <v>3000</v>
      </c>
      <c r="CM197" s="229">
        <v>0.2273</v>
      </c>
      <c r="CN197" s="230">
        <v>6375000</v>
      </c>
      <c r="CO197" s="230">
        <v>5868600</v>
      </c>
      <c r="CP197" s="230">
        <v>506400</v>
      </c>
      <c r="CQ197" s="229">
        <v>8.6300000000000002E-2</v>
      </c>
      <c r="CR197" s="230">
        <v>4663800</v>
      </c>
      <c r="CS197" s="230">
        <v>4551600</v>
      </c>
      <c r="CT197" s="230">
        <v>112200</v>
      </c>
      <c r="CU197" s="229">
        <v>2.47E-2</v>
      </c>
      <c r="CV197" s="230">
        <v>30587400</v>
      </c>
      <c r="CW197" s="230">
        <v>29618400</v>
      </c>
      <c r="CX197" s="230">
        <v>969000</v>
      </c>
      <c r="CY197" s="229">
        <v>3.27E-2</v>
      </c>
      <c r="CZ197" s="228">
        <v>28.95</v>
      </c>
      <c r="DA197" s="228">
        <v>28.35</v>
      </c>
      <c r="DB197" s="228">
        <v>0.6</v>
      </c>
      <c r="DC197" s="228">
        <v>0.6</v>
      </c>
      <c r="DD197" s="228">
        <v>32.159999999999997</v>
      </c>
      <c r="DE197" s="228">
        <v>32.24</v>
      </c>
      <c r="DF197" s="228">
        <v>-3.21</v>
      </c>
      <c r="DG197" s="228">
        <v>-0.08</v>
      </c>
      <c r="DH197" s="228">
        <v>28.38</v>
      </c>
      <c r="DI197" s="228">
        <v>27.78</v>
      </c>
      <c r="DJ197" s="228">
        <v>0.6</v>
      </c>
      <c r="DK197" s="228">
        <v>0.6</v>
      </c>
      <c r="DL197" s="228">
        <v>29.85</v>
      </c>
      <c r="DM197" s="228">
        <v>29.64</v>
      </c>
      <c r="DN197" s="228">
        <v>0.21</v>
      </c>
      <c r="DO197" s="228">
        <v>0.21</v>
      </c>
      <c r="DP197" s="228">
        <v>0.73</v>
      </c>
      <c r="DQ197" s="228">
        <v>0.78</v>
      </c>
      <c r="DR197" s="228">
        <v>-0.05</v>
      </c>
      <c r="DS197" s="229">
        <v>-6.4100000000000004E-2</v>
      </c>
      <c r="DT197" s="231">
        <v>1500</v>
      </c>
      <c r="DU197" s="231">
        <v>1300</v>
      </c>
      <c r="DV197" s="228">
        <v>0.63</v>
      </c>
      <c r="DW197" s="228">
        <v>0.45</v>
      </c>
      <c r="DX197" s="228">
        <v>0.18</v>
      </c>
      <c r="DY197" s="229">
        <v>0.4</v>
      </c>
      <c r="DZ197" s="229">
        <v>2.3400000000000001E-2</v>
      </c>
      <c r="EA197" s="230">
        <v>360000</v>
      </c>
      <c r="EB197" s="229">
        <v>-5.9999999999999995E-4</v>
      </c>
      <c r="EC197" s="229">
        <v>2.3400000000000001E-2</v>
      </c>
      <c r="ED197" s="228">
        <v>-0.77</v>
      </c>
      <c r="EE197" s="229">
        <v>-5.0000000000000001E-4</v>
      </c>
      <c r="EF197" s="230">
        <v>766308</v>
      </c>
      <c r="EG197" s="230">
        <v>1406062</v>
      </c>
      <c r="EH197" s="229">
        <v>-0.45500000000000002</v>
      </c>
      <c r="EI197" s="229">
        <v>0.49780000000000002</v>
      </c>
      <c r="EJ197" s="231">
        <v>67605.27</v>
      </c>
      <c r="EK197" s="231">
        <v>39365.519999999997</v>
      </c>
      <c r="EL197" s="231">
        <v>34213.99</v>
      </c>
      <c r="EM197" s="231">
        <v>10852</v>
      </c>
      <c r="EN197" s="231">
        <v>141184.78</v>
      </c>
      <c r="EO197" s="231">
        <v>298795.46000000002</v>
      </c>
      <c r="EP197" s="231">
        <v>-157610.68</v>
      </c>
      <c r="EQ197" s="229">
        <v>-0.52749999999999997</v>
      </c>
      <c r="ER197" s="231">
        <v>96800</v>
      </c>
      <c r="ES197" s="231">
        <v>65018</v>
      </c>
      <c r="ET197" s="231">
        <v>286832</v>
      </c>
      <c r="EU197" s="231">
        <v>95553300</v>
      </c>
      <c r="EV197" s="231">
        <v>448650</v>
      </c>
      <c r="EW197" s="231">
        <v>435265</v>
      </c>
      <c r="EX197" s="231">
        <v>13385</v>
      </c>
      <c r="EY197" s="229">
        <v>3.0800000000000001E-2</v>
      </c>
      <c r="EZ197" s="229">
        <v>0.3201</v>
      </c>
      <c r="FA197" s="227" t="s">
        <v>566</v>
      </c>
      <c r="FB197" s="161">
        <f t="shared" si="5"/>
        <v>0</v>
      </c>
    </row>
    <row r="198" spans="1:158" ht="17.25" thickBot="1" x14ac:dyDescent="0.3">
      <c r="A198" s="226">
        <v>46146</v>
      </c>
      <c r="B198" s="227" t="s">
        <v>184</v>
      </c>
      <c r="C198" s="227" t="s">
        <v>594</v>
      </c>
      <c r="D198" s="228">
        <v>200</v>
      </c>
      <c r="E198" s="231">
        <v>2910.9</v>
      </c>
      <c r="F198" s="231">
        <v>2965.4</v>
      </c>
      <c r="G198" s="228">
        <v>-54.5</v>
      </c>
      <c r="H198" s="229">
        <v>-1.84E-2</v>
      </c>
      <c r="I198" s="231">
        <v>2906</v>
      </c>
      <c r="J198" s="231">
        <v>2947.9</v>
      </c>
      <c r="K198" s="228">
        <v>-41.9</v>
      </c>
      <c r="L198" s="229">
        <v>-1.4200000000000001E-2</v>
      </c>
      <c r="M198" s="231">
        <v>2910.9</v>
      </c>
      <c r="N198" s="231">
        <v>2965.4</v>
      </c>
      <c r="O198" s="228">
        <v>-54.5</v>
      </c>
      <c r="P198" s="229">
        <v>-1.84E-2</v>
      </c>
      <c r="Q198" s="231">
        <v>2921.2</v>
      </c>
      <c r="R198" s="231">
        <v>2981.6</v>
      </c>
      <c r="S198" s="228">
        <v>-60.4</v>
      </c>
      <c r="T198" s="229">
        <v>-2.0299999999999999E-2</v>
      </c>
      <c r="U198" s="231">
        <v>2951.6</v>
      </c>
      <c r="V198" s="231">
        <v>2951.6</v>
      </c>
      <c r="W198" s="228">
        <v>0</v>
      </c>
      <c r="X198" s="229">
        <v>0</v>
      </c>
      <c r="Y198" s="228">
        <v>4.9000000000000004</v>
      </c>
      <c r="Z198" s="228">
        <v>17.5</v>
      </c>
      <c r="AA198" s="228">
        <v>-12.6</v>
      </c>
      <c r="AB198" s="229">
        <v>1.6999999999999999E-3</v>
      </c>
      <c r="AC198" s="228">
        <v>4.9000000000000004</v>
      </c>
      <c r="AD198" s="228">
        <v>17.5</v>
      </c>
      <c r="AE198" s="228">
        <v>-12.6</v>
      </c>
      <c r="AF198" s="229">
        <v>1.6999999999999999E-3</v>
      </c>
      <c r="AG198" s="228">
        <v>15.2</v>
      </c>
      <c r="AH198" s="228">
        <v>33.700000000000003</v>
      </c>
      <c r="AI198" s="228">
        <v>-18.5</v>
      </c>
      <c r="AJ198" s="229">
        <v>5.1999999999999998E-3</v>
      </c>
      <c r="AK198" s="228">
        <v>45.6</v>
      </c>
      <c r="AL198" s="228">
        <v>3.7</v>
      </c>
      <c r="AM198" s="228">
        <v>41.9</v>
      </c>
      <c r="AN198" s="229">
        <v>1.5699999999999999E-2</v>
      </c>
      <c r="AO198" s="231">
        <v>2926.65</v>
      </c>
      <c r="AP198" s="231">
        <v>2925.14</v>
      </c>
      <c r="AQ198" s="228">
        <v>0</v>
      </c>
      <c r="AR198" s="230">
        <v>198800</v>
      </c>
      <c r="AS198" s="230">
        <v>201000</v>
      </c>
      <c r="AT198" s="230">
        <v>-2200</v>
      </c>
      <c r="AU198" s="229">
        <v>-1.09E-2</v>
      </c>
      <c r="AV198" s="230">
        <v>191400</v>
      </c>
      <c r="AW198" s="230">
        <v>196400</v>
      </c>
      <c r="AX198" s="230">
        <v>-5000</v>
      </c>
      <c r="AY198" s="229">
        <v>-2.5499999999999998E-2</v>
      </c>
      <c r="AZ198" s="230">
        <v>7400</v>
      </c>
      <c r="BA198" s="230">
        <v>4200</v>
      </c>
      <c r="BB198" s="230">
        <v>3200</v>
      </c>
      <c r="BC198" s="229">
        <v>0.76190000000000002</v>
      </c>
      <c r="BD198" s="228">
        <v>0</v>
      </c>
      <c r="BE198" s="228">
        <v>400</v>
      </c>
      <c r="BF198" s="228">
        <v>-400</v>
      </c>
      <c r="BG198" s="229">
        <v>-1</v>
      </c>
      <c r="BH198" s="230">
        <v>229000</v>
      </c>
      <c r="BI198" s="230">
        <v>114600</v>
      </c>
      <c r="BJ198" s="230">
        <v>114400</v>
      </c>
      <c r="BK198" s="229">
        <v>0.99829999999999997</v>
      </c>
      <c r="BL198" s="230">
        <v>71400</v>
      </c>
      <c r="BM198" s="230">
        <v>79400</v>
      </c>
      <c r="BN198" s="230">
        <v>-8000</v>
      </c>
      <c r="BO198" s="229">
        <v>-0.1008</v>
      </c>
      <c r="BP198" s="230">
        <v>499200</v>
      </c>
      <c r="BQ198" s="230">
        <v>395000</v>
      </c>
      <c r="BR198" s="230">
        <v>104200</v>
      </c>
      <c r="BS198" s="229">
        <v>0.26379999999999998</v>
      </c>
      <c r="BT198" s="230">
        <v>141219</v>
      </c>
      <c r="BU198" s="230">
        <v>247295</v>
      </c>
      <c r="BV198" s="230">
        <v>-106076</v>
      </c>
      <c r="BW198" s="229">
        <v>-0.4289</v>
      </c>
      <c r="BX198" s="230">
        <v>2428800</v>
      </c>
      <c r="BY198" s="230">
        <v>2425200</v>
      </c>
      <c r="BZ198" s="230">
        <v>3600</v>
      </c>
      <c r="CA198" s="229">
        <v>1.5E-3</v>
      </c>
      <c r="CB198" s="230">
        <v>2408400</v>
      </c>
      <c r="CC198" s="230">
        <v>2407800</v>
      </c>
      <c r="CD198" s="228">
        <v>600</v>
      </c>
      <c r="CE198" s="229">
        <v>2.0000000000000001E-4</v>
      </c>
      <c r="CF198" s="230">
        <v>19800</v>
      </c>
      <c r="CG198" s="230">
        <v>16800</v>
      </c>
      <c r="CH198" s="230">
        <v>3000</v>
      </c>
      <c r="CI198" s="229">
        <v>0.17860000000000001</v>
      </c>
      <c r="CJ198" s="228">
        <v>600</v>
      </c>
      <c r="CK198" s="228">
        <v>600</v>
      </c>
      <c r="CL198" s="228">
        <v>0</v>
      </c>
      <c r="CM198" s="229">
        <v>0</v>
      </c>
      <c r="CN198" s="230">
        <v>272200</v>
      </c>
      <c r="CO198" s="230">
        <v>208000</v>
      </c>
      <c r="CP198" s="230">
        <v>64200</v>
      </c>
      <c r="CQ198" s="229">
        <v>0.30869999999999997</v>
      </c>
      <c r="CR198" s="230">
        <v>216000</v>
      </c>
      <c r="CS198" s="230">
        <v>213200</v>
      </c>
      <c r="CT198" s="230">
        <v>2800</v>
      </c>
      <c r="CU198" s="229">
        <v>1.3100000000000001E-2</v>
      </c>
      <c r="CV198" s="230">
        <v>2917000</v>
      </c>
      <c r="CW198" s="230">
        <v>2846400</v>
      </c>
      <c r="CX198" s="230">
        <v>70600</v>
      </c>
      <c r="CY198" s="229">
        <v>2.4799999999999999E-2</v>
      </c>
      <c r="CZ198" s="228">
        <v>40.68</v>
      </c>
      <c r="DA198" s="228">
        <v>40.58</v>
      </c>
      <c r="DB198" s="228">
        <v>0.1</v>
      </c>
      <c r="DC198" s="228">
        <v>0.1</v>
      </c>
      <c r="DD198" s="228">
        <v>44.23</v>
      </c>
      <c r="DE198" s="228">
        <v>44.27</v>
      </c>
      <c r="DF198" s="228">
        <v>-3.55</v>
      </c>
      <c r="DG198" s="228">
        <v>-0.04</v>
      </c>
      <c r="DH198" s="228">
        <v>40.61</v>
      </c>
      <c r="DI198" s="228">
        <v>40</v>
      </c>
      <c r="DJ198" s="228">
        <v>0.61</v>
      </c>
      <c r="DK198" s="228">
        <v>0.61</v>
      </c>
      <c r="DL198" s="228">
        <v>40.909999999999997</v>
      </c>
      <c r="DM198" s="228">
        <v>41.42</v>
      </c>
      <c r="DN198" s="228">
        <v>-0.51</v>
      </c>
      <c r="DO198" s="228">
        <v>-0.51</v>
      </c>
      <c r="DP198" s="228">
        <v>0.79</v>
      </c>
      <c r="DQ198" s="228">
        <v>1.02</v>
      </c>
      <c r="DR198" s="228">
        <v>-0.23</v>
      </c>
      <c r="DS198" s="229">
        <v>-0.22550000000000001</v>
      </c>
      <c r="DT198" s="231">
        <v>3200</v>
      </c>
      <c r="DU198" s="231">
        <v>3000</v>
      </c>
      <c r="DV198" s="228">
        <v>0.31</v>
      </c>
      <c r="DW198" s="228">
        <v>0.69</v>
      </c>
      <c r="DX198" s="228">
        <v>-0.38</v>
      </c>
      <c r="DY198" s="229">
        <v>-0.55069999999999997</v>
      </c>
      <c r="DZ198" s="229">
        <v>8.3999999999999995E-3</v>
      </c>
      <c r="EA198" s="230">
        <v>17400</v>
      </c>
      <c r="EB198" s="229">
        <v>3.5000000000000001E-3</v>
      </c>
      <c r="EC198" s="229">
        <v>8.3999999999999995E-3</v>
      </c>
      <c r="ED198" s="228">
        <v>-1.51</v>
      </c>
      <c r="EE198" s="229">
        <v>-5.0000000000000001E-4</v>
      </c>
      <c r="EF198" s="230">
        <v>62020</v>
      </c>
      <c r="EG198" s="230">
        <v>122860</v>
      </c>
      <c r="EH198" s="229">
        <v>-0.49519999999999997</v>
      </c>
      <c r="EI198" s="229">
        <v>0.43919999999999998</v>
      </c>
      <c r="EJ198" s="231">
        <v>7247.01</v>
      </c>
      <c r="EK198" s="231">
        <v>2111.12</v>
      </c>
      <c r="EL198" s="231">
        <v>5818.07</v>
      </c>
      <c r="EM198" s="231">
        <v>4104</v>
      </c>
      <c r="EN198" s="231">
        <v>15176.2</v>
      </c>
      <c r="EO198" s="231">
        <v>11876.77</v>
      </c>
      <c r="EP198" s="231">
        <v>3299.43</v>
      </c>
      <c r="EQ198" s="229">
        <v>0.27779999999999999</v>
      </c>
      <c r="ER198" s="231">
        <v>8477</v>
      </c>
      <c r="ES198" s="231">
        <v>6111</v>
      </c>
      <c r="ET198" s="231">
        <v>70702</v>
      </c>
      <c r="EU198" s="231">
        <v>16239060</v>
      </c>
      <c r="EV198" s="231">
        <v>85290</v>
      </c>
      <c r="EW198" s="231">
        <v>84445</v>
      </c>
      <c r="EX198" s="228">
        <v>845</v>
      </c>
      <c r="EY198" s="229">
        <v>0.01</v>
      </c>
      <c r="EZ198" s="229">
        <v>0.17960000000000001</v>
      </c>
      <c r="FA198" s="227" t="s">
        <v>566</v>
      </c>
      <c r="FB198" s="161">
        <f t="shared" si="5"/>
        <v>0</v>
      </c>
    </row>
    <row r="199" spans="1:158" ht="17.25" thickBot="1" x14ac:dyDescent="0.3">
      <c r="A199" s="226">
        <v>46146</v>
      </c>
      <c r="B199" s="227" t="s">
        <v>168</v>
      </c>
      <c r="C199" s="227" t="s">
        <v>297</v>
      </c>
      <c r="D199" s="228">
        <v>175</v>
      </c>
      <c r="E199" s="231">
        <v>4382.3</v>
      </c>
      <c r="F199" s="231">
        <v>4402.2</v>
      </c>
      <c r="G199" s="228">
        <v>-19.899999999999999</v>
      </c>
      <c r="H199" s="229">
        <v>-4.4999999999999997E-3</v>
      </c>
      <c r="I199" s="231">
        <v>4363</v>
      </c>
      <c r="J199" s="231">
        <v>4385.2</v>
      </c>
      <c r="K199" s="228">
        <v>-22.2</v>
      </c>
      <c r="L199" s="229">
        <v>-5.1000000000000004E-3</v>
      </c>
      <c r="M199" s="231">
        <v>4382.3</v>
      </c>
      <c r="N199" s="231">
        <v>4402.2</v>
      </c>
      <c r="O199" s="228">
        <v>-19.899999999999999</v>
      </c>
      <c r="P199" s="229">
        <v>-4.4999999999999997E-3</v>
      </c>
      <c r="Q199" s="231">
        <v>4411.7</v>
      </c>
      <c r="R199" s="231">
        <v>4433.3</v>
      </c>
      <c r="S199" s="228">
        <v>-21.6</v>
      </c>
      <c r="T199" s="229">
        <v>-4.8999999999999998E-3</v>
      </c>
      <c r="U199" s="231">
        <v>4420</v>
      </c>
      <c r="V199" s="231">
        <v>4447.3</v>
      </c>
      <c r="W199" s="228">
        <v>-27.3</v>
      </c>
      <c r="X199" s="229">
        <v>-6.1000000000000004E-3</v>
      </c>
      <c r="Y199" s="228">
        <v>19.3</v>
      </c>
      <c r="Z199" s="228">
        <v>17</v>
      </c>
      <c r="AA199" s="228">
        <v>2.2999999999999998</v>
      </c>
      <c r="AB199" s="229">
        <v>4.4000000000000003E-3</v>
      </c>
      <c r="AC199" s="228">
        <v>19.3</v>
      </c>
      <c r="AD199" s="228">
        <v>17</v>
      </c>
      <c r="AE199" s="228">
        <v>2.2999999999999998</v>
      </c>
      <c r="AF199" s="229">
        <v>4.4000000000000003E-3</v>
      </c>
      <c r="AG199" s="228">
        <v>48.7</v>
      </c>
      <c r="AH199" s="228">
        <v>48.1</v>
      </c>
      <c r="AI199" s="228">
        <v>0.6</v>
      </c>
      <c r="AJ199" s="229">
        <v>1.12E-2</v>
      </c>
      <c r="AK199" s="228">
        <v>57</v>
      </c>
      <c r="AL199" s="228">
        <v>62.1</v>
      </c>
      <c r="AM199" s="228">
        <v>-5.0999999999999996</v>
      </c>
      <c r="AN199" s="229">
        <v>1.3100000000000001E-2</v>
      </c>
      <c r="AO199" s="231">
        <v>4409.8500000000004</v>
      </c>
      <c r="AP199" s="231">
        <v>4429.6499999999996</v>
      </c>
      <c r="AQ199" s="228">
        <v>0</v>
      </c>
      <c r="AR199" s="230">
        <v>902300</v>
      </c>
      <c r="AS199" s="230">
        <v>666400</v>
      </c>
      <c r="AT199" s="230">
        <v>235900</v>
      </c>
      <c r="AU199" s="229">
        <v>0.35399999999999998</v>
      </c>
      <c r="AV199" s="230">
        <v>769650</v>
      </c>
      <c r="AW199" s="230">
        <v>640850</v>
      </c>
      <c r="AX199" s="230">
        <v>128800</v>
      </c>
      <c r="AY199" s="229">
        <v>0.20100000000000001</v>
      </c>
      <c r="AZ199" s="230">
        <v>129675</v>
      </c>
      <c r="BA199" s="230">
        <v>22925</v>
      </c>
      <c r="BB199" s="230">
        <v>106750</v>
      </c>
      <c r="BC199" s="229">
        <v>4.6565000000000003</v>
      </c>
      <c r="BD199" s="230">
        <v>2975</v>
      </c>
      <c r="BE199" s="230">
        <v>2625</v>
      </c>
      <c r="BF199" s="228">
        <v>350</v>
      </c>
      <c r="BG199" s="229">
        <v>0.1333</v>
      </c>
      <c r="BH199" s="230">
        <v>2087225</v>
      </c>
      <c r="BI199" s="230">
        <v>1916250</v>
      </c>
      <c r="BJ199" s="230">
        <v>170975</v>
      </c>
      <c r="BK199" s="229">
        <v>8.9200000000000002E-2</v>
      </c>
      <c r="BL199" s="230">
        <v>1455825</v>
      </c>
      <c r="BM199" s="230">
        <v>1360625</v>
      </c>
      <c r="BN199" s="230">
        <v>95200</v>
      </c>
      <c r="BO199" s="229">
        <v>7.0000000000000007E-2</v>
      </c>
      <c r="BP199" s="230">
        <v>4445350</v>
      </c>
      <c r="BQ199" s="230">
        <v>3943275</v>
      </c>
      <c r="BR199" s="230">
        <v>502075</v>
      </c>
      <c r="BS199" s="229">
        <v>0.1273</v>
      </c>
      <c r="BT199" s="230">
        <v>728004</v>
      </c>
      <c r="BU199" s="230">
        <v>908203</v>
      </c>
      <c r="BV199" s="230">
        <v>-180199</v>
      </c>
      <c r="BW199" s="229">
        <v>-0.19839999999999999</v>
      </c>
      <c r="BX199" s="230">
        <v>8831200</v>
      </c>
      <c r="BY199" s="230">
        <v>8767150</v>
      </c>
      <c r="BZ199" s="230">
        <v>64050</v>
      </c>
      <c r="CA199" s="229">
        <v>7.3000000000000001E-3</v>
      </c>
      <c r="CB199" s="230">
        <v>7944475</v>
      </c>
      <c r="CC199" s="230">
        <v>7970375</v>
      </c>
      <c r="CD199" s="230">
        <v>-25900</v>
      </c>
      <c r="CE199" s="229">
        <v>-3.2000000000000002E-3</v>
      </c>
      <c r="CF199" s="230">
        <v>882350</v>
      </c>
      <c r="CG199" s="230">
        <v>793100</v>
      </c>
      <c r="CH199" s="230">
        <v>89250</v>
      </c>
      <c r="CI199" s="229">
        <v>0.1125</v>
      </c>
      <c r="CJ199" s="230">
        <v>4375</v>
      </c>
      <c r="CK199" s="230">
        <v>3675</v>
      </c>
      <c r="CL199" s="228">
        <v>700</v>
      </c>
      <c r="CM199" s="229">
        <v>0.1905</v>
      </c>
      <c r="CN199" s="230">
        <v>1528975</v>
      </c>
      <c r="CO199" s="230">
        <v>1361150</v>
      </c>
      <c r="CP199" s="230">
        <v>167825</v>
      </c>
      <c r="CQ199" s="229">
        <v>0.12330000000000001</v>
      </c>
      <c r="CR199" s="230">
        <v>1281875</v>
      </c>
      <c r="CS199" s="230">
        <v>1062250</v>
      </c>
      <c r="CT199" s="230">
        <v>219625</v>
      </c>
      <c r="CU199" s="229">
        <v>0.20680000000000001</v>
      </c>
      <c r="CV199" s="230">
        <v>11642050</v>
      </c>
      <c r="CW199" s="230">
        <v>11190550</v>
      </c>
      <c r="CX199" s="230">
        <v>451500</v>
      </c>
      <c r="CY199" s="229">
        <v>4.0300000000000002E-2</v>
      </c>
      <c r="CZ199" s="228">
        <v>28.2</v>
      </c>
      <c r="DA199" s="228">
        <v>26.95</v>
      </c>
      <c r="DB199" s="228">
        <v>1.25</v>
      </c>
      <c r="DC199" s="228">
        <v>1.25</v>
      </c>
      <c r="DD199" s="228">
        <v>27.44</v>
      </c>
      <c r="DE199" s="228">
        <v>27.5</v>
      </c>
      <c r="DF199" s="228">
        <v>0.76</v>
      </c>
      <c r="DG199" s="228">
        <v>-0.06</v>
      </c>
      <c r="DH199" s="228">
        <v>27.74</v>
      </c>
      <c r="DI199" s="228">
        <v>26.49</v>
      </c>
      <c r="DJ199" s="228">
        <v>1.25</v>
      </c>
      <c r="DK199" s="228">
        <v>1.25</v>
      </c>
      <c r="DL199" s="228">
        <v>28.86</v>
      </c>
      <c r="DM199" s="228">
        <v>27.61</v>
      </c>
      <c r="DN199" s="228">
        <v>1.25</v>
      </c>
      <c r="DO199" s="228">
        <v>1.25</v>
      </c>
      <c r="DP199" s="228">
        <v>0.84</v>
      </c>
      <c r="DQ199" s="228">
        <v>0.78</v>
      </c>
      <c r="DR199" s="228">
        <v>0.06</v>
      </c>
      <c r="DS199" s="229">
        <v>7.6899999999999996E-2</v>
      </c>
      <c r="DT199" s="231">
        <v>4500</v>
      </c>
      <c r="DU199" s="231">
        <v>4200</v>
      </c>
      <c r="DV199" s="228">
        <v>0.7</v>
      </c>
      <c r="DW199" s="228">
        <v>0.71</v>
      </c>
      <c r="DX199" s="228">
        <v>-0.01</v>
      </c>
      <c r="DY199" s="229">
        <v>-1.41E-2</v>
      </c>
      <c r="DZ199" s="229">
        <v>0.1004</v>
      </c>
      <c r="EA199" s="230">
        <v>796775</v>
      </c>
      <c r="EB199" s="229">
        <v>6.7000000000000002E-3</v>
      </c>
      <c r="EC199" s="229">
        <v>0.1004</v>
      </c>
      <c r="ED199" s="228">
        <v>19.8</v>
      </c>
      <c r="EE199" s="229">
        <v>4.4999999999999997E-3</v>
      </c>
      <c r="EF199" s="230">
        <v>416612</v>
      </c>
      <c r="EG199" s="230">
        <v>566402</v>
      </c>
      <c r="EH199" s="229">
        <v>-0.26450000000000001</v>
      </c>
      <c r="EI199" s="229">
        <v>0.57230000000000003</v>
      </c>
      <c r="EJ199" s="231">
        <v>96902.76</v>
      </c>
      <c r="EK199" s="231">
        <v>63118.15</v>
      </c>
      <c r="EL199" s="231">
        <v>39817.300000000003</v>
      </c>
      <c r="EM199" s="231">
        <v>13770</v>
      </c>
      <c r="EN199" s="231">
        <v>199838.21</v>
      </c>
      <c r="EO199" s="231">
        <v>176939.69</v>
      </c>
      <c r="EP199" s="231">
        <v>22898.52</v>
      </c>
      <c r="EQ199" s="229">
        <v>0.12939999999999999</v>
      </c>
      <c r="ER199" s="231">
        <v>69909</v>
      </c>
      <c r="ES199" s="231">
        <v>53666</v>
      </c>
      <c r="ET199" s="231">
        <v>387271</v>
      </c>
      <c r="EU199" s="231">
        <v>41744334</v>
      </c>
      <c r="EV199" s="231">
        <v>510846</v>
      </c>
      <c r="EW199" s="231">
        <v>493003</v>
      </c>
      <c r="EX199" s="231">
        <v>17843</v>
      </c>
      <c r="EY199" s="229">
        <v>3.6200000000000003E-2</v>
      </c>
      <c r="EZ199" s="229">
        <v>0.27889999999999998</v>
      </c>
      <c r="FA199" s="227" t="s">
        <v>566</v>
      </c>
      <c r="FB199" s="161">
        <f t="shared" si="5"/>
        <v>0</v>
      </c>
    </row>
    <row r="200" spans="1:158" ht="17.25" thickBot="1" x14ac:dyDescent="0.3">
      <c r="A200" s="226">
        <v>46146</v>
      </c>
      <c r="B200" s="227" t="s">
        <v>162</v>
      </c>
      <c r="C200" s="227" t="s">
        <v>685</v>
      </c>
      <c r="D200" s="228">
        <v>800</v>
      </c>
      <c r="E200" s="228">
        <v>345.2</v>
      </c>
      <c r="F200" s="228">
        <v>343.15</v>
      </c>
      <c r="G200" s="228">
        <v>2.0499999999999998</v>
      </c>
      <c r="H200" s="229">
        <v>6.0000000000000001E-3</v>
      </c>
      <c r="I200" s="228">
        <v>343.05</v>
      </c>
      <c r="J200" s="228">
        <v>341.55</v>
      </c>
      <c r="K200" s="228">
        <v>1.5</v>
      </c>
      <c r="L200" s="229">
        <v>4.4000000000000003E-3</v>
      </c>
      <c r="M200" s="228">
        <v>345.2</v>
      </c>
      <c r="N200" s="228">
        <v>343.15</v>
      </c>
      <c r="O200" s="228">
        <v>2.0499999999999998</v>
      </c>
      <c r="P200" s="229">
        <v>6.0000000000000001E-3</v>
      </c>
      <c r="Q200" s="228">
        <v>345.4</v>
      </c>
      <c r="R200" s="228">
        <v>342.65</v>
      </c>
      <c r="S200" s="228">
        <v>2.75</v>
      </c>
      <c r="T200" s="229">
        <v>8.0000000000000002E-3</v>
      </c>
      <c r="U200" s="228">
        <v>347.25</v>
      </c>
      <c r="V200" s="228">
        <v>344.2</v>
      </c>
      <c r="W200" s="228">
        <v>3.05</v>
      </c>
      <c r="X200" s="229">
        <v>8.8999999999999999E-3</v>
      </c>
      <c r="Y200" s="228">
        <v>2.15</v>
      </c>
      <c r="Z200" s="228">
        <v>1.6</v>
      </c>
      <c r="AA200" s="228">
        <v>0.55000000000000004</v>
      </c>
      <c r="AB200" s="229">
        <v>6.3E-3</v>
      </c>
      <c r="AC200" s="228">
        <v>2.15</v>
      </c>
      <c r="AD200" s="228">
        <v>1.6</v>
      </c>
      <c r="AE200" s="228">
        <v>0.55000000000000004</v>
      </c>
      <c r="AF200" s="229">
        <v>6.3E-3</v>
      </c>
      <c r="AG200" s="228">
        <v>2.35</v>
      </c>
      <c r="AH200" s="228">
        <v>1.1000000000000001</v>
      </c>
      <c r="AI200" s="228">
        <v>1.25</v>
      </c>
      <c r="AJ200" s="229">
        <v>6.8999999999999999E-3</v>
      </c>
      <c r="AK200" s="228">
        <v>4.2</v>
      </c>
      <c r="AL200" s="228">
        <v>2.65</v>
      </c>
      <c r="AM200" s="228">
        <v>1.55</v>
      </c>
      <c r="AN200" s="229">
        <v>1.2200000000000001E-2</v>
      </c>
      <c r="AO200" s="228">
        <v>344.82</v>
      </c>
      <c r="AP200" s="228">
        <v>344.92</v>
      </c>
      <c r="AQ200" s="228">
        <v>0</v>
      </c>
      <c r="AR200" s="230">
        <v>12300800</v>
      </c>
      <c r="AS200" s="230">
        <v>20736000</v>
      </c>
      <c r="AT200" s="230">
        <v>-8435200</v>
      </c>
      <c r="AU200" s="229">
        <v>-0.40679999999999999</v>
      </c>
      <c r="AV200" s="230">
        <v>10884000</v>
      </c>
      <c r="AW200" s="230">
        <v>18684800</v>
      </c>
      <c r="AX200" s="230">
        <v>-7800800</v>
      </c>
      <c r="AY200" s="229">
        <v>-0.41749999999999998</v>
      </c>
      <c r="AZ200" s="230">
        <v>1344800</v>
      </c>
      <c r="BA200" s="230">
        <v>1670400</v>
      </c>
      <c r="BB200" s="230">
        <v>-325600</v>
      </c>
      <c r="BC200" s="229">
        <v>-0.19489999999999999</v>
      </c>
      <c r="BD200" s="230">
        <v>72000</v>
      </c>
      <c r="BE200" s="230">
        <v>380800</v>
      </c>
      <c r="BF200" s="230">
        <v>-308800</v>
      </c>
      <c r="BG200" s="229">
        <v>-0.81089999999999995</v>
      </c>
      <c r="BH200" s="230">
        <v>25209600</v>
      </c>
      <c r="BI200" s="230">
        <v>30924000</v>
      </c>
      <c r="BJ200" s="230">
        <v>-5714400</v>
      </c>
      <c r="BK200" s="229">
        <v>-0.18479999999999999</v>
      </c>
      <c r="BL200" s="230">
        <v>8634400</v>
      </c>
      <c r="BM200" s="230">
        <v>15206400</v>
      </c>
      <c r="BN200" s="230">
        <v>-6572000</v>
      </c>
      <c r="BO200" s="229">
        <v>-0.43219999999999997</v>
      </c>
      <c r="BP200" s="230">
        <v>46144800</v>
      </c>
      <c r="BQ200" s="230">
        <v>66866400</v>
      </c>
      <c r="BR200" s="230">
        <v>-20721600</v>
      </c>
      <c r="BS200" s="229">
        <v>-0.30990000000000001</v>
      </c>
      <c r="BT200" s="230">
        <v>7734863</v>
      </c>
      <c r="BU200" s="230">
        <v>12670807</v>
      </c>
      <c r="BV200" s="230">
        <v>-4935944</v>
      </c>
      <c r="BW200" s="229">
        <v>-0.3896</v>
      </c>
      <c r="BX200" s="230">
        <v>68157600</v>
      </c>
      <c r="BY200" s="230">
        <v>66882400</v>
      </c>
      <c r="BZ200" s="230">
        <v>1275200</v>
      </c>
      <c r="CA200" s="229">
        <v>1.9099999999999999E-2</v>
      </c>
      <c r="CB200" s="230">
        <v>63520800</v>
      </c>
      <c r="CC200" s="230">
        <v>62771200</v>
      </c>
      <c r="CD200" s="230">
        <v>749600</v>
      </c>
      <c r="CE200" s="229">
        <v>1.1900000000000001E-2</v>
      </c>
      <c r="CF200" s="230">
        <v>4134400</v>
      </c>
      <c r="CG200" s="230">
        <v>3634400</v>
      </c>
      <c r="CH200" s="230">
        <v>500000</v>
      </c>
      <c r="CI200" s="229">
        <v>0.1376</v>
      </c>
      <c r="CJ200" s="230">
        <v>502400</v>
      </c>
      <c r="CK200" s="230">
        <v>476800</v>
      </c>
      <c r="CL200" s="230">
        <v>25600</v>
      </c>
      <c r="CM200" s="229">
        <v>5.3699999999999998E-2</v>
      </c>
      <c r="CN200" s="230">
        <v>23577600</v>
      </c>
      <c r="CO200" s="230">
        <v>17818400</v>
      </c>
      <c r="CP200" s="230">
        <v>5759200</v>
      </c>
      <c r="CQ200" s="229">
        <v>0.32319999999999999</v>
      </c>
      <c r="CR200" s="230">
        <v>16152800</v>
      </c>
      <c r="CS200" s="230">
        <v>15317600</v>
      </c>
      <c r="CT200" s="230">
        <v>835200</v>
      </c>
      <c r="CU200" s="229">
        <v>5.45E-2</v>
      </c>
      <c r="CV200" s="230">
        <v>107888000</v>
      </c>
      <c r="CW200" s="230">
        <v>100018400</v>
      </c>
      <c r="CX200" s="230">
        <v>7869600</v>
      </c>
      <c r="CY200" s="229">
        <v>7.8700000000000006E-2</v>
      </c>
      <c r="CZ200" s="228">
        <v>39.369999999999997</v>
      </c>
      <c r="DA200" s="228">
        <v>39.67</v>
      </c>
      <c r="DB200" s="228">
        <v>-0.3</v>
      </c>
      <c r="DC200" s="228">
        <v>-0.3</v>
      </c>
      <c r="DD200" s="228">
        <v>37.99</v>
      </c>
      <c r="DE200" s="228">
        <v>38.07</v>
      </c>
      <c r="DF200" s="228">
        <v>1.38</v>
      </c>
      <c r="DG200" s="228">
        <v>-0.08</v>
      </c>
      <c r="DH200" s="228">
        <v>39.17</v>
      </c>
      <c r="DI200" s="228">
        <v>39.67</v>
      </c>
      <c r="DJ200" s="228">
        <v>-0.5</v>
      </c>
      <c r="DK200" s="228">
        <v>-0.5</v>
      </c>
      <c r="DL200" s="228">
        <v>39.979999999999997</v>
      </c>
      <c r="DM200" s="228">
        <v>39.65</v>
      </c>
      <c r="DN200" s="228">
        <v>0.33</v>
      </c>
      <c r="DO200" s="228">
        <v>0.33</v>
      </c>
      <c r="DP200" s="228">
        <v>0.69</v>
      </c>
      <c r="DQ200" s="228">
        <v>0.86</v>
      </c>
      <c r="DR200" s="228">
        <v>-0.17</v>
      </c>
      <c r="DS200" s="229">
        <v>-0.19769999999999999</v>
      </c>
      <c r="DT200" s="228">
        <v>360</v>
      </c>
      <c r="DU200" s="228">
        <v>300</v>
      </c>
      <c r="DV200" s="228">
        <v>0.34</v>
      </c>
      <c r="DW200" s="228">
        <v>0.49</v>
      </c>
      <c r="DX200" s="228">
        <v>-0.15</v>
      </c>
      <c r="DY200" s="229">
        <v>-0.30609999999999998</v>
      </c>
      <c r="DZ200" s="229">
        <v>6.8000000000000005E-2</v>
      </c>
      <c r="EA200" s="230">
        <v>4111200</v>
      </c>
      <c r="EB200" s="229">
        <v>5.9999999999999995E-4</v>
      </c>
      <c r="EC200" s="229">
        <v>6.8000000000000005E-2</v>
      </c>
      <c r="ED200" s="228">
        <v>0.1</v>
      </c>
      <c r="EE200" s="229">
        <v>2.9999999999999997E-4</v>
      </c>
      <c r="EF200" s="230">
        <v>3133643</v>
      </c>
      <c r="EG200" s="230">
        <v>4644391</v>
      </c>
      <c r="EH200" s="229">
        <v>-0.32529999999999998</v>
      </c>
      <c r="EI200" s="229">
        <v>0.40510000000000002</v>
      </c>
      <c r="EJ200" s="231">
        <v>93808.320000000007</v>
      </c>
      <c r="EK200" s="231">
        <v>29442.15</v>
      </c>
      <c r="EL200" s="231">
        <v>42667.34</v>
      </c>
      <c r="EM200" s="231">
        <v>28801</v>
      </c>
      <c r="EN200" s="231">
        <v>165917.81</v>
      </c>
      <c r="EO200" s="231">
        <v>239313.24</v>
      </c>
      <c r="EP200" s="231">
        <v>-73395.429999999993</v>
      </c>
      <c r="EQ200" s="229">
        <v>-0.30669999999999997</v>
      </c>
      <c r="ER200" s="231">
        <v>86474</v>
      </c>
      <c r="ES200" s="231">
        <v>55672</v>
      </c>
      <c r="ET200" s="231">
        <v>235299</v>
      </c>
      <c r="EU200" s="231">
        <v>317244234</v>
      </c>
      <c r="EV200" s="231">
        <v>377445</v>
      </c>
      <c r="EW200" s="231">
        <v>347643</v>
      </c>
      <c r="EX200" s="231">
        <v>29802</v>
      </c>
      <c r="EY200" s="229">
        <v>8.5699999999999998E-2</v>
      </c>
      <c r="EZ200" s="229">
        <v>0.34010000000000001</v>
      </c>
      <c r="FA200" s="227" t="s">
        <v>555</v>
      </c>
      <c r="FB200" s="161">
        <f t="shared" si="5"/>
        <v>0</v>
      </c>
    </row>
    <row r="201" spans="1:158" ht="17.25" thickBot="1" x14ac:dyDescent="0.3">
      <c r="A201" s="226">
        <v>46146</v>
      </c>
      <c r="B201" s="227" t="s">
        <v>170</v>
      </c>
      <c r="C201" s="227" t="s">
        <v>298</v>
      </c>
      <c r="D201" s="228">
        <v>125</v>
      </c>
      <c r="E201" s="231">
        <v>4276.8999999999996</v>
      </c>
      <c r="F201" s="231">
        <v>4203.5</v>
      </c>
      <c r="G201" s="228">
        <v>73.400000000000006</v>
      </c>
      <c r="H201" s="229">
        <v>1.7500000000000002E-2</v>
      </c>
      <c r="I201" s="231">
        <v>4251.8</v>
      </c>
      <c r="J201" s="231">
        <v>4185.1000000000004</v>
      </c>
      <c r="K201" s="228">
        <v>66.7</v>
      </c>
      <c r="L201" s="229">
        <v>1.5900000000000001E-2</v>
      </c>
      <c r="M201" s="231">
        <v>4276.8999999999996</v>
      </c>
      <c r="N201" s="231">
        <v>4203.5</v>
      </c>
      <c r="O201" s="228">
        <v>73.400000000000006</v>
      </c>
      <c r="P201" s="229">
        <v>1.7500000000000002E-2</v>
      </c>
      <c r="Q201" s="231">
        <v>4277.3999999999996</v>
      </c>
      <c r="R201" s="231">
        <v>4210.8999999999996</v>
      </c>
      <c r="S201" s="228">
        <v>66.5</v>
      </c>
      <c r="T201" s="229">
        <v>1.5800000000000002E-2</v>
      </c>
      <c r="U201" s="228">
        <v>0</v>
      </c>
      <c r="V201" s="231">
        <v>4190.2</v>
      </c>
      <c r="W201" s="228">
        <v>0</v>
      </c>
      <c r="X201" s="229">
        <v>0</v>
      </c>
      <c r="Y201" s="228">
        <v>25.1</v>
      </c>
      <c r="Z201" s="228">
        <v>18.399999999999999</v>
      </c>
      <c r="AA201" s="228">
        <v>6.7</v>
      </c>
      <c r="AB201" s="229">
        <v>5.8999999999999999E-3</v>
      </c>
      <c r="AC201" s="228">
        <v>25.1</v>
      </c>
      <c r="AD201" s="228">
        <v>18.399999999999999</v>
      </c>
      <c r="AE201" s="228">
        <v>6.7</v>
      </c>
      <c r="AF201" s="229">
        <v>5.8999999999999999E-3</v>
      </c>
      <c r="AG201" s="228">
        <v>25.6</v>
      </c>
      <c r="AH201" s="228">
        <v>25.8</v>
      </c>
      <c r="AI201" s="228">
        <v>-0.2</v>
      </c>
      <c r="AJ201" s="229">
        <v>6.0000000000000001E-3</v>
      </c>
      <c r="AK201" s="228">
        <v>0</v>
      </c>
      <c r="AL201" s="228">
        <v>5.0999999999999996</v>
      </c>
      <c r="AM201" s="228">
        <v>0</v>
      </c>
      <c r="AN201" s="229">
        <v>0</v>
      </c>
      <c r="AO201" s="231">
        <v>4269.37</v>
      </c>
      <c r="AP201" s="231">
        <v>4274</v>
      </c>
      <c r="AQ201" s="228">
        <v>0</v>
      </c>
      <c r="AR201" s="230">
        <v>316375</v>
      </c>
      <c r="AS201" s="230">
        <v>275000</v>
      </c>
      <c r="AT201" s="230">
        <v>41375</v>
      </c>
      <c r="AU201" s="229">
        <v>0.15049999999999999</v>
      </c>
      <c r="AV201" s="230">
        <v>313875</v>
      </c>
      <c r="AW201" s="230">
        <v>274125</v>
      </c>
      <c r="AX201" s="230">
        <v>39750</v>
      </c>
      <c r="AY201" s="229">
        <v>0.14499999999999999</v>
      </c>
      <c r="AZ201" s="230">
        <v>2500</v>
      </c>
      <c r="BA201" s="228">
        <v>625</v>
      </c>
      <c r="BB201" s="230">
        <v>1875</v>
      </c>
      <c r="BC201" s="229">
        <v>3</v>
      </c>
      <c r="BD201" s="228">
        <v>0</v>
      </c>
      <c r="BE201" s="228">
        <v>250</v>
      </c>
      <c r="BF201" s="228">
        <v>0</v>
      </c>
      <c r="BG201" s="229">
        <v>0</v>
      </c>
      <c r="BH201" s="230">
        <v>413125</v>
      </c>
      <c r="BI201" s="230">
        <v>178875</v>
      </c>
      <c r="BJ201" s="230">
        <v>234250</v>
      </c>
      <c r="BK201" s="229">
        <v>1.3096000000000001</v>
      </c>
      <c r="BL201" s="230">
        <v>95375</v>
      </c>
      <c r="BM201" s="230">
        <v>110500</v>
      </c>
      <c r="BN201" s="230">
        <v>-15125</v>
      </c>
      <c r="BO201" s="229">
        <v>-0.13689999999999999</v>
      </c>
      <c r="BP201" s="230">
        <v>824875</v>
      </c>
      <c r="BQ201" s="230">
        <v>564375</v>
      </c>
      <c r="BR201" s="230">
        <v>260500</v>
      </c>
      <c r="BS201" s="229">
        <v>0.46160000000000001</v>
      </c>
      <c r="BT201" s="230">
        <v>298852</v>
      </c>
      <c r="BU201" s="230">
        <v>299928</v>
      </c>
      <c r="BV201" s="230">
        <v>-1076</v>
      </c>
      <c r="BW201" s="229">
        <v>-3.5999999999999999E-3</v>
      </c>
      <c r="BX201" s="230">
        <v>2630375</v>
      </c>
      <c r="BY201" s="230">
        <v>2626125</v>
      </c>
      <c r="BZ201" s="230">
        <v>4250</v>
      </c>
      <c r="CA201" s="229">
        <v>1.6000000000000001E-3</v>
      </c>
      <c r="CB201" s="230">
        <v>2624000</v>
      </c>
      <c r="CC201" s="230">
        <v>2620000</v>
      </c>
      <c r="CD201" s="230">
        <v>4000</v>
      </c>
      <c r="CE201" s="229">
        <v>1.5E-3</v>
      </c>
      <c r="CF201" s="230">
        <v>6375</v>
      </c>
      <c r="CG201" s="230">
        <v>6125</v>
      </c>
      <c r="CH201" s="228">
        <v>250</v>
      </c>
      <c r="CI201" s="229">
        <v>4.0800000000000003E-2</v>
      </c>
      <c r="CJ201" s="228">
        <v>0</v>
      </c>
      <c r="CK201" s="228">
        <v>0</v>
      </c>
      <c r="CL201" s="228">
        <v>0</v>
      </c>
      <c r="CM201" s="229">
        <v>0</v>
      </c>
      <c r="CN201" s="230">
        <v>330625</v>
      </c>
      <c r="CO201" s="230">
        <v>243250</v>
      </c>
      <c r="CP201" s="230">
        <v>87375</v>
      </c>
      <c r="CQ201" s="229">
        <v>0.35920000000000002</v>
      </c>
      <c r="CR201" s="230">
        <v>185250</v>
      </c>
      <c r="CS201" s="230">
        <v>191250</v>
      </c>
      <c r="CT201" s="230">
        <v>-6000</v>
      </c>
      <c r="CU201" s="229">
        <v>-3.1399999999999997E-2</v>
      </c>
      <c r="CV201" s="230">
        <v>3146250</v>
      </c>
      <c r="CW201" s="230">
        <v>3060625</v>
      </c>
      <c r="CX201" s="230">
        <v>85625</v>
      </c>
      <c r="CY201" s="229">
        <v>2.8000000000000001E-2</v>
      </c>
      <c r="CZ201" s="228">
        <v>27.29</v>
      </c>
      <c r="DA201" s="228">
        <v>27.46</v>
      </c>
      <c r="DB201" s="228">
        <v>-0.17</v>
      </c>
      <c r="DC201" s="228">
        <v>-0.17</v>
      </c>
      <c r="DD201" s="228">
        <v>25.44</v>
      </c>
      <c r="DE201" s="228">
        <v>25.42</v>
      </c>
      <c r="DF201" s="228">
        <v>1.85</v>
      </c>
      <c r="DG201" s="228">
        <v>0.02</v>
      </c>
      <c r="DH201" s="228">
        <v>27.2</v>
      </c>
      <c r="DI201" s="228">
        <v>27.64</v>
      </c>
      <c r="DJ201" s="228">
        <v>-0.44</v>
      </c>
      <c r="DK201" s="228">
        <v>-0.44</v>
      </c>
      <c r="DL201" s="228">
        <v>27.69</v>
      </c>
      <c r="DM201" s="228">
        <v>27.16</v>
      </c>
      <c r="DN201" s="228">
        <v>0.53</v>
      </c>
      <c r="DO201" s="228">
        <v>0.53</v>
      </c>
      <c r="DP201" s="228">
        <v>0.56000000000000005</v>
      </c>
      <c r="DQ201" s="228">
        <v>0.79</v>
      </c>
      <c r="DR201" s="228">
        <v>-0.23</v>
      </c>
      <c r="DS201" s="229">
        <v>-0.29110000000000003</v>
      </c>
      <c r="DT201" s="231">
        <v>4300</v>
      </c>
      <c r="DU201" s="231">
        <v>4300</v>
      </c>
      <c r="DV201" s="228">
        <v>0.23</v>
      </c>
      <c r="DW201" s="228">
        <v>0.62</v>
      </c>
      <c r="DX201" s="228">
        <v>-0.39</v>
      </c>
      <c r="DY201" s="229">
        <v>-0.629</v>
      </c>
      <c r="DZ201" s="229">
        <v>2.3999999999999998E-3</v>
      </c>
      <c r="EA201" s="230">
        <v>6125</v>
      </c>
      <c r="EB201" s="229">
        <v>1E-4</v>
      </c>
      <c r="EC201" s="229">
        <v>2.3999999999999998E-3</v>
      </c>
      <c r="ED201" s="228">
        <v>4.63</v>
      </c>
      <c r="EE201" s="229">
        <v>1.1000000000000001E-3</v>
      </c>
      <c r="EF201" s="230">
        <v>201796</v>
      </c>
      <c r="EG201" s="230">
        <v>174373</v>
      </c>
      <c r="EH201" s="229">
        <v>0.1573</v>
      </c>
      <c r="EI201" s="229">
        <v>0.67520000000000002</v>
      </c>
      <c r="EJ201" s="231">
        <v>18562.490000000002</v>
      </c>
      <c r="EK201" s="231">
        <v>4033.64</v>
      </c>
      <c r="EL201" s="231">
        <v>13507.32</v>
      </c>
      <c r="EM201" s="231">
        <v>4118</v>
      </c>
      <c r="EN201" s="231">
        <v>36103.449999999997</v>
      </c>
      <c r="EO201" s="231">
        <v>24121.51</v>
      </c>
      <c r="EP201" s="231">
        <v>11981.94</v>
      </c>
      <c r="EQ201" s="229">
        <v>0.49669999999999997</v>
      </c>
      <c r="ER201" s="231">
        <v>14547</v>
      </c>
      <c r="ES201" s="231">
        <v>7673</v>
      </c>
      <c r="ET201" s="231">
        <v>112499</v>
      </c>
      <c r="EU201" s="231">
        <v>10726004</v>
      </c>
      <c r="EV201" s="231">
        <v>134718</v>
      </c>
      <c r="EW201" s="231">
        <v>128832</v>
      </c>
      <c r="EX201" s="231">
        <v>5886</v>
      </c>
      <c r="EY201" s="229">
        <v>4.5699999999999998E-2</v>
      </c>
      <c r="EZ201" s="229">
        <v>0.29330000000000001</v>
      </c>
      <c r="FA201" s="227" t="s">
        <v>555</v>
      </c>
      <c r="FB201" s="161">
        <f t="shared" si="5"/>
        <v>0</v>
      </c>
    </row>
    <row r="202" spans="1:158" ht="17.25" thickBot="1" x14ac:dyDescent="0.3">
      <c r="A202" s="226">
        <v>46146</v>
      </c>
      <c r="B202" s="227" t="s">
        <v>197</v>
      </c>
      <c r="C202" s="227" t="s">
        <v>482</v>
      </c>
      <c r="D202" s="228">
        <v>100</v>
      </c>
      <c r="E202" s="231">
        <v>4181.8</v>
      </c>
      <c r="F202" s="231">
        <v>4166.3999999999996</v>
      </c>
      <c r="G202" s="228">
        <v>15.4</v>
      </c>
      <c r="H202" s="229">
        <v>3.7000000000000002E-3</v>
      </c>
      <c r="I202" s="231">
        <v>4158.5</v>
      </c>
      <c r="J202" s="231">
        <v>4144.6000000000004</v>
      </c>
      <c r="K202" s="228">
        <v>13.9</v>
      </c>
      <c r="L202" s="229">
        <v>3.3999999999999998E-3</v>
      </c>
      <c r="M202" s="231">
        <v>4181.8</v>
      </c>
      <c r="N202" s="231">
        <v>4166.3999999999996</v>
      </c>
      <c r="O202" s="228">
        <v>15.4</v>
      </c>
      <c r="P202" s="229">
        <v>3.7000000000000002E-3</v>
      </c>
      <c r="Q202" s="231">
        <v>4157.2</v>
      </c>
      <c r="R202" s="231">
        <v>4139.7</v>
      </c>
      <c r="S202" s="228">
        <v>17.5</v>
      </c>
      <c r="T202" s="229">
        <v>4.1999999999999997E-3</v>
      </c>
      <c r="U202" s="231">
        <v>4162.5</v>
      </c>
      <c r="V202" s="231">
        <v>4135.8</v>
      </c>
      <c r="W202" s="228">
        <v>26.7</v>
      </c>
      <c r="X202" s="229">
        <v>6.4999999999999997E-3</v>
      </c>
      <c r="Y202" s="228">
        <v>23.3</v>
      </c>
      <c r="Z202" s="228">
        <v>21.8</v>
      </c>
      <c r="AA202" s="228">
        <v>1.5</v>
      </c>
      <c r="AB202" s="229">
        <v>5.5999999999999999E-3</v>
      </c>
      <c r="AC202" s="228">
        <v>23.3</v>
      </c>
      <c r="AD202" s="228">
        <v>21.8</v>
      </c>
      <c r="AE202" s="228">
        <v>1.5</v>
      </c>
      <c r="AF202" s="229">
        <v>5.5999999999999999E-3</v>
      </c>
      <c r="AG202" s="228">
        <v>-1.3</v>
      </c>
      <c r="AH202" s="228">
        <v>-4.9000000000000004</v>
      </c>
      <c r="AI202" s="228">
        <v>3.6</v>
      </c>
      <c r="AJ202" s="229">
        <v>-2.9999999999999997E-4</v>
      </c>
      <c r="AK202" s="228">
        <v>4</v>
      </c>
      <c r="AL202" s="228">
        <v>-8.8000000000000007</v>
      </c>
      <c r="AM202" s="228">
        <v>12.8</v>
      </c>
      <c r="AN202" s="229">
        <v>1E-3</v>
      </c>
      <c r="AO202" s="231">
        <v>4150.71</v>
      </c>
      <c r="AP202" s="231">
        <v>4126.76</v>
      </c>
      <c r="AQ202" s="228">
        <v>0</v>
      </c>
      <c r="AR202" s="230">
        <v>730500</v>
      </c>
      <c r="AS202" s="230">
        <v>821100</v>
      </c>
      <c r="AT202" s="230">
        <v>-90600</v>
      </c>
      <c r="AU202" s="229">
        <v>-0.1103</v>
      </c>
      <c r="AV202" s="230">
        <v>669800</v>
      </c>
      <c r="AW202" s="230">
        <v>710700</v>
      </c>
      <c r="AX202" s="230">
        <v>-40900</v>
      </c>
      <c r="AY202" s="229">
        <v>-5.7500000000000002E-2</v>
      </c>
      <c r="AZ202" s="230">
        <v>58000</v>
      </c>
      <c r="BA202" s="230">
        <v>103500</v>
      </c>
      <c r="BB202" s="230">
        <v>-45500</v>
      </c>
      <c r="BC202" s="229">
        <v>-0.43959999999999999</v>
      </c>
      <c r="BD202" s="230">
        <v>2700</v>
      </c>
      <c r="BE202" s="230">
        <v>6900</v>
      </c>
      <c r="BF202" s="230">
        <v>-4200</v>
      </c>
      <c r="BG202" s="229">
        <v>-0.60870000000000002</v>
      </c>
      <c r="BH202" s="230">
        <v>3122700</v>
      </c>
      <c r="BI202" s="230">
        <v>2726800</v>
      </c>
      <c r="BJ202" s="230">
        <v>395900</v>
      </c>
      <c r="BK202" s="229">
        <v>0.1452</v>
      </c>
      <c r="BL202" s="230">
        <v>1057700</v>
      </c>
      <c r="BM202" s="230">
        <v>1312400</v>
      </c>
      <c r="BN202" s="230">
        <v>-254700</v>
      </c>
      <c r="BO202" s="229">
        <v>-0.19409999999999999</v>
      </c>
      <c r="BP202" s="230">
        <v>4910900</v>
      </c>
      <c r="BQ202" s="230">
        <v>4860300</v>
      </c>
      <c r="BR202" s="230">
        <v>50600</v>
      </c>
      <c r="BS202" s="229">
        <v>1.04E-2</v>
      </c>
      <c r="BT202" s="230">
        <v>714603</v>
      </c>
      <c r="BU202" s="230">
        <v>594504</v>
      </c>
      <c r="BV202" s="230">
        <v>120099</v>
      </c>
      <c r="BW202" s="229">
        <v>0.20200000000000001</v>
      </c>
      <c r="BX202" s="230">
        <v>7065950</v>
      </c>
      <c r="BY202" s="230">
        <v>7041000</v>
      </c>
      <c r="BZ202" s="230">
        <v>24950</v>
      </c>
      <c r="CA202" s="229">
        <v>3.5000000000000001E-3</v>
      </c>
      <c r="CB202" s="230">
        <v>6753700</v>
      </c>
      <c r="CC202" s="230">
        <v>6749000</v>
      </c>
      <c r="CD202" s="230">
        <v>4700</v>
      </c>
      <c r="CE202" s="229">
        <v>6.9999999999999999E-4</v>
      </c>
      <c r="CF202" s="230">
        <v>296500</v>
      </c>
      <c r="CG202" s="230">
        <v>279100</v>
      </c>
      <c r="CH202" s="230">
        <v>17400</v>
      </c>
      <c r="CI202" s="229">
        <v>6.2300000000000001E-2</v>
      </c>
      <c r="CJ202" s="230">
        <v>15750</v>
      </c>
      <c r="CK202" s="230">
        <v>12900</v>
      </c>
      <c r="CL202" s="230">
        <v>2850</v>
      </c>
      <c r="CM202" s="229">
        <v>0.22090000000000001</v>
      </c>
      <c r="CN202" s="230">
        <v>3345300</v>
      </c>
      <c r="CO202" s="230">
        <v>3151000</v>
      </c>
      <c r="CP202" s="230">
        <v>194300</v>
      </c>
      <c r="CQ202" s="229">
        <v>6.1699999999999998E-2</v>
      </c>
      <c r="CR202" s="230">
        <v>1347150</v>
      </c>
      <c r="CS202" s="230">
        <v>1322200</v>
      </c>
      <c r="CT202" s="230">
        <v>24950</v>
      </c>
      <c r="CU202" s="229">
        <v>1.89E-2</v>
      </c>
      <c r="CV202" s="230">
        <v>11758400</v>
      </c>
      <c r="CW202" s="230">
        <v>11514200</v>
      </c>
      <c r="CX202" s="230">
        <v>244200</v>
      </c>
      <c r="CY202" s="229">
        <v>2.12E-2</v>
      </c>
      <c r="CZ202" s="228">
        <v>34.340000000000003</v>
      </c>
      <c r="DA202" s="228">
        <v>34.06</v>
      </c>
      <c r="DB202" s="228">
        <v>0.28000000000000003</v>
      </c>
      <c r="DC202" s="228">
        <v>0.28000000000000003</v>
      </c>
      <c r="DD202" s="228">
        <v>44.08</v>
      </c>
      <c r="DE202" s="228">
        <v>44.19</v>
      </c>
      <c r="DF202" s="228">
        <v>-9.74</v>
      </c>
      <c r="DG202" s="228">
        <v>-0.11</v>
      </c>
      <c r="DH202" s="228">
        <v>34.36</v>
      </c>
      <c r="DI202" s="228">
        <v>34.380000000000003</v>
      </c>
      <c r="DJ202" s="228">
        <v>-0.02</v>
      </c>
      <c r="DK202" s="228">
        <v>-0.02</v>
      </c>
      <c r="DL202" s="228">
        <v>34.270000000000003</v>
      </c>
      <c r="DM202" s="228">
        <v>33.39</v>
      </c>
      <c r="DN202" s="228">
        <v>0.88</v>
      </c>
      <c r="DO202" s="228">
        <v>0.88</v>
      </c>
      <c r="DP202" s="228">
        <v>0.4</v>
      </c>
      <c r="DQ202" s="228">
        <v>0.42</v>
      </c>
      <c r="DR202" s="228">
        <v>-0.02</v>
      </c>
      <c r="DS202" s="229">
        <v>-4.7600000000000003E-2</v>
      </c>
      <c r="DT202" s="231">
        <v>4500</v>
      </c>
      <c r="DU202" s="231">
        <v>4000</v>
      </c>
      <c r="DV202" s="228">
        <v>0.34</v>
      </c>
      <c r="DW202" s="228">
        <v>0.48</v>
      </c>
      <c r="DX202" s="228">
        <v>-0.14000000000000001</v>
      </c>
      <c r="DY202" s="229">
        <v>-0.29170000000000001</v>
      </c>
      <c r="DZ202" s="229">
        <v>4.4200000000000003E-2</v>
      </c>
      <c r="EA202" s="230">
        <v>292000</v>
      </c>
      <c r="EB202" s="229">
        <v>-5.8999999999999999E-3</v>
      </c>
      <c r="EC202" s="229">
        <v>4.4200000000000003E-2</v>
      </c>
      <c r="ED202" s="228">
        <v>-23.95</v>
      </c>
      <c r="EE202" s="229">
        <v>-5.7999999999999996E-3</v>
      </c>
      <c r="EF202" s="230">
        <v>314475</v>
      </c>
      <c r="EG202" s="230">
        <v>207984</v>
      </c>
      <c r="EH202" s="229">
        <v>0.51200000000000001</v>
      </c>
      <c r="EI202" s="229">
        <v>0.44009999999999999</v>
      </c>
      <c r="EJ202" s="231">
        <v>139957.1</v>
      </c>
      <c r="EK202" s="231">
        <v>43369.49</v>
      </c>
      <c r="EL202" s="231">
        <v>30361.56</v>
      </c>
      <c r="EM202" s="231">
        <v>20209</v>
      </c>
      <c r="EN202" s="231">
        <v>213688.15</v>
      </c>
      <c r="EO202" s="231">
        <v>211469.5</v>
      </c>
      <c r="EP202" s="231">
        <v>2218.65</v>
      </c>
      <c r="EQ202" s="229">
        <v>1.0500000000000001E-2</v>
      </c>
      <c r="ER202" s="231">
        <v>148528</v>
      </c>
      <c r="ES202" s="231">
        <v>54207</v>
      </c>
      <c r="ET202" s="231">
        <v>295408</v>
      </c>
      <c r="EU202" s="231">
        <v>33590487</v>
      </c>
      <c r="EV202" s="231">
        <v>498143</v>
      </c>
      <c r="EW202" s="231">
        <v>486894</v>
      </c>
      <c r="EX202" s="231">
        <v>11249</v>
      </c>
      <c r="EY202" s="229">
        <v>2.3099999999999999E-2</v>
      </c>
      <c r="EZ202" s="229">
        <v>0.35010000000000002</v>
      </c>
      <c r="FA202" s="227" t="s">
        <v>555</v>
      </c>
      <c r="FB202" s="161">
        <f t="shared" si="5"/>
        <v>0</v>
      </c>
    </row>
    <row r="203" spans="1:158" ht="17.25" thickBot="1" x14ac:dyDescent="0.3">
      <c r="A203" s="226">
        <v>46146</v>
      </c>
      <c r="B203" s="227" t="s">
        <v>162</v>
      </c>
      <c r="C203" s="227" t="s">
        <v>300</v>
      </c>
      <c r="D203" s="228">
        <v>175</v>
      </c>
      <c r="E203" s="231">
        <v>3507.7</v>
      </c>
      <c r="F203" s="231">
        <v>3514.4</v>
      </c>
      <c r="G203" s="228">
        <v>-6.7</v>
      </c>
      <c r="H203" s="229">
        <v>-1.9E-3</v>
      </c>
      <c r="I203" s="231">
        <v>3495.5</v>
      </c>
      <c r="J203" s="231">
        <v>3492.9</v>
      </c>
      <c r="K203" s="228">
        <v>2.6</v>
      </c>
      <c r="L203" s="229">
        <v>6.9999999999999999E-4</v>
      </c>
      <c r="M203" s="231">
        <v>3507.7</v>
      </c>
      <c r="N203" s="231">
        <v>3514.4</v>
      </c>
      <c r="O203" s="228">
        <v>-6.7</v>
      </c>
      <c r="P203" s="229">
        <v>-1.9E-3</v>
      </c>
      <c r="Q203" s="231">
        <v>3531.2</v>
      </c>
      <c r="R203" s="231">
        <v>3530.4</v>
      </c>
      <c r="S203" s="228">
        <v>0.8</v>
      </c>
      <c r="T203" s="229">
        <v>2.0000000000000001E-4</v>
      </c>
      <c r="U203" s="231">
        <v>3550</v>
      </c>
      <c r="V203" s="231">
        <v>3540</v>
      </c>
      <c r="W203" s="228">
        <v>10</v>
      </c>
      <c r="X203" s="229">
        <v>2.8E-3</v>
      </c>
      <c r="Y203" s="228">
        <v>12.2</v>
      </c>
      <c r="Z203" s="228">
        <v>21.5</v>
      </c>
      <c r="AA203" s="228">
        <v>-9.3000000000000007</v>
      </c>
      <c r="AB203" s="229">
        <v>3.5000000000000001E-3</v>
      </c>
      <c r="AC203" s="228">
        <v>12.2</v>
      </c>
      <c r="AD203" s="228">
        <v>21.5</v>
      </c>
      <c r="AE203" s="228">
        <v>-9.3000000000000007</v>
      </c>
      <c r="AF203" s="229">
        <v>3.5000000000000001E-3</v>
      </c>
      <c r="AG203" s="228">
        <v>35.700000000000003</v>
      </c>
      <c r="AH203" s="228">
        <v>37.5</v>
      </c>
      <c r="AI203" s="228">
        <v>-1.8</v>
      </c>
      <c r="AJ203" s="229">
        <v>1.0200000000000001E-2</v>
      </c>
      <c r="AK203" s="228">
        <v>54.5</v>
      </c>
      <c r="AL203" s="228">
        <v>47.1</v>
      </c>
      <c r="AM203" s="228">
        <v>7.4</v>
      </c>
      <c r="AN203" s="229">
        <v>1.5599999999999999E-2</v>
      </c>
      <c r="AO203" s="231">
        <v>3492.99</v>
      </c>
      <c r="AP203" s="231">
        <v>3517.78</v>
      </c>
      <c r="AQ203" s="228">
        <v>0</v>
      </c>
      <c r="AR203" s="230">
        <v>1383025</v>
      </c>
      <c r="AS203" s="230">
        <v>1228325</v>
      </c>
      <c r="AT203" s="230">
        <v>154700</v>
      </c>
      <c r="AU203" s="229">
        <v>0.12590000000000001</v>
      </c>
      <c r="AV203" s="230">
        <v>1360625</v>
      </c>
      <c r="AW203" s="230">
        <v>1191925</v>
      </c>
      <c r="AX203" s="230">
        <v>168700</v>
      </c>
      <c r="AY203" s="229">
        <v>0.14149999999999999</v>
      </c>
      <c r="AZ203" s="230">
        <v>21175</v>
      </c>
      <c r="BA203" s="230">
        <v>33950</v>
      </c>
      <c r="BB203" s="230">
        <v>-12775</v>
      </c>
      <c r="BC203" s="229">
        <v>-0.37630000000000002</v>
      </c>
      <c r="BD203" s="230">
        <v>1225</v>
      </c>
      <c r="BE203" s="230">
        <v>2450</v>
      </c>
      <c r="BF203" s="230">
        <v>-1225</v>
      </c>
      <c r="BG203" s="229">
        <v>-0.5</v>
      </c>
      <c r="BH203" s="230">
        <v>2436175</v>
      </c>
      <c r="BI203" s="230">
        <v>2060625</v>
      </c>
      <c r="BJ203" s="230">
        <v>375550</v>
      </c>
      <c r="BK203" s="229">
        <v>0.18229999999999999</v>
      </c>
      <c r="BL203" s="230">
        <v>880250</v>
      </c>
      <c r="BM203" s="230">
        <v>1487850</v>
      </c>
      <c r="BN203" s="230">
        <v>-607600</v>
      </c>
      <c r="BO203" s="229">
        <v>-0.40839999999999999</v>
      </c>
      <c r="BP203" s="230">
        <v>4699450</v>
      </c>
      <c r="BQ203" s="230">
        <v>4776800</v>
      </c>
      <c r="BR203" s="230">
        <v>-77350</v>
      </c>
      <c r="BS203" s="229">
        <v>-1.6199999999999999E-2</v>
      </c>
      <c r="BT203" s="230">
        <v>1381122</v>
      </c>
      <c r="BU203" s="230">
        <v>1060746</v>
      </c>
      <c r="BV203" s="230">
        <v>320376</v>
      </c>
      <c r="BW203" s="229">
        <v>0.30199999999999999</v>
      </c>
      <c r="BX203" s="230">
        <v>8740375</v>
      </c>
      <c r="BY203" s="230">
        <v>8639925</v>
      </c>
      <c r="BZ203" s="230">
        <v>100450</v>
      </c>
      <c r="CA203" s="229">
        <v>1.1599999999999999E-2</v>
      </c>
      <c r="CB203" s="230">
        <v>8353800</v>
      </c>
      <c r="CC203" s="230">
        <v>8261400</v>
      </c>
      <c r="CD203" s="230">
        <v>92400</v>
      </c>
      <c r="CE203" s="229">
        <v>1.12E-2</v>
      </c>
      <c r="CF203" s="230">
        <v>383075</v>
      </c>
      <c r="CG203" s="230">
        <v>375900</v>
      </c>
      <c r="CH203" s="230">
        <v>7175</v>
      </c>
      <c r="CI203" s="229">
        <v>1.9099999999999999E-2</v>
      </c>
      <c r="CJ203" s="230">
        <v>3500</v>
      </c>
      <c r="CK203" s="230">
        <v>2625</v>
      </c>
      <c r="CL203" s="228">
        <v>875</v>
      </c>
      <c r="CM203" s="229">
        <v>0.33329999999999999</v>
      </c>
      <c r="CN203" s="230">
        <v>1463700</v>
      </c>
      <c r="CO203" s="230">
        <v>1197875</v>
      </c>
      <c r="CP203" s="230">
        <v>265825</v>
      </c>
      <c r="CQ203" s="229">
        <v>0.22189999999999999</v>
      </c>
      <c r="CR203" s="230">
        <v>891450</v>
      </c>
      <c r="CS203" s="230">
        <v>822850</v>
      </c>
      <c r="CT203" s="230">
        <v>68600</v>
      </c>
      <c r="CU203" s="229">
        <v>8.3400000000000002E-2</v>
      </c>
      <c r="CV203" s="230">
        <v>11095525</v>
      </c>
      <c r="CW203" s="230">
        <v>10660650</v>
      </c>
      <c r="CX203" s="230">
        <v>434875</v>
      </c>
      <c r="CY203" s="229">
        <v>4.0800000000000003E-2</v>
      </c>
      <c r="CZ203" s="228">
        <v>37.17</v>
      </c>
      <c r="DA203" s="228">
        <v>36.26</v>
      </c>
      <c r="DB203" s="228">
        <v>0.91</v>
      </c>
      <c r="DC203" s="228">
        <v>0.91</v>
      </c>
      <c r="DD203" s="228">
        <v>33.71</v>
      </c>
      <c r="DE203" s="228">
        <v>33.799999999999997</v>
      </c>
      <c r="DF203" s="228">
        <v>3.46</v>
      </c>
      <c r="DG203" s="228">
        <v>-0.09</v>
      </c>
      <c r="DH203" s="228">
        <v>37.090000000000003</v>
      </c>
      <c r="DI203" s="228">
        <v>35.78</v>
      </c>
      <c r="DJ203" s="228">
        <v>1.31</v>
      </c>
      <c r="DK203" s="228">
        <v>1.31</v>
      </c>
      <c r="DL203" s="228">
        <v>37.39</v>
      </c>
      <c r="DM203" s="228">
        <v>36.909999999999997</v>
      </c>
      <c r="DN203" s="228">
        <v>0.48</v>
      </c>
      <c r="DO203" s="228">
        <v>0.48</v>
      </c>
      <c r="DP203" s="228">
        <v>0.61</v>
      </c>
      <c r="DQ203" s="228">
        <v>0.69</v>
      </c>
      <c r="DR203" s="228">
        <v>-0.08</v>
      </c>
      <c r="DS203" s="229">
        <v>-0.1159</v>
      </c>
      <c r="DT203" s="231">
        <v>3600</v>
      </c>
      <c r="DU203" s="231">
        <v>3500</v>
      </c>
      <c r="DV203" s="228">
        <v>0.36</v>
      </c>
      <c r="DW203" s="228">
        <v>0.72</v>
      </c>
      <c r="DX203" s="228">
        <v>-0.36</v>
      </c>
      <c r="DY203" s="229">
        <v>-0.5</v>
      </c>
      <c r="DZ203" s="229">
        <v>4.4200000000000003E-2</v>
      </c>
      <c r="EA203" s="230">
        <v>378525</v>
      </c>
      <c r="EB203" s="229">
        <v>6.7000000000000002E-3</v>
      </c>
      <c r="EC203" s="229">
        <v>4.4200000000000003E-2</v>
      </c>
      <c r="ED203" s="228">
        <v>24.79</v>
      </c>
      <c r="EE203" s="229">
        <v>7.1000000000000004E-3</v>
      </c>
      <c r="EF203" s="230">
        <v>720497</v>
      </c>
      <c r="EG203" s="230">
        <v>482221</v>
      </c>
      <c r="EH203" s="229">
        <v>0.49409999999999998</v>
      </c>
      <c r="EI203" s="229">
        <v>0.52170000000000005</v>
      </c>
      <c r="EJ203" s="231">
        <v>90468.34</v>
      </c>
      <c r="EK203" s="231">
        <v>30628.43</v>
      </c>
      <c r="EL203" s="231">
        <v>48314.86</v>
      </c>
      <c r="EM203" s="231">
        <v>15962</v>
      </c>
      <c r="EN203" s="231">
        <v>169411.63</v>
      </c>
      <c r="EO203" s="231">
        <v>171370.91</v>
      </c>
      <c r="EP203" s="231">
        <v>-1959.28</v>
      </c>
      <c r="EQ203" s="229">
        <v>-1.14E-2</v>
      </c>
      <c r="ER203" s="231">
        <v>53609</v>
      </c>
      <c r="ES203" s="231">
        <v>31049</v>
      </c>
      <c r="ET203" s="231">
        <v>306678</v>
      </c>
      <c r="EU203" s="231">
        <v>32253708</v>
      </c>
      <c r="EV203" s="231">
        <v>391336</v>
      </c>
      <c r="EW203" s="231">
        <v>376123</v>
      </c>
      <c r="EX203" s="231">
        <v>15213</v>
      </c>
      <c r="EY203" s="229">
        <v>4.0399999999999998E-2</v>
      </c>
      <c r="EZ203" s="229">
        <v>0.34399999999999997</v>
      </c>
      <c r="FA203" s="227" t="s">
        <v>566</v>
      </c>
      <c r="FB203" s="161">
        <f t="shared" si="5"/>
        <v>0</v>
      </c>
    </row>
    <row r="204" spans="1:158" ht="17.25" thickBot="1" x14ac:dyDescent="0.3">
      <c r="A204" s="226">
        <v>46146</v>
      </c>
      <c r="B204" s="227" t="s">
        <v>157</v>
      </c>
      <c r="C204" s="227" t="s">
        <v>302</v>
      </c>
      <c r="D204" s="228">
        <v>50</v>
      </c>
      <c r="E204" s="231">
        <v>11820</v>
      </c>
      <c r="F204" s="231">
        <v>11655</v>
      </c>
      <c r="G204" s="228">
        <v>165</v>
      </c>
      <c r="H204" s="229">
        <v>1.4200000000000001E-2</v>
      </c>
      <c r="I204" s="231">
        <v>11758</v>
      </c>
      <c r="J204" s="231">
        <v>11586</v>
      </c>
      <c r="K204" s="228">
        <v>172</v>
      </c>
      <c r="L204" s="229">
        <v>1.4800000000000001E-2</v>
      </c>
      <c r="M204" s="231">
        <v>11820</v>
      </c>
      <c r="N204" s="231">
        <v>11655</v>
      </c>
      <c r="O204" s="228">
        <v>165</v>
      </c>
      <c r="P204" s="229">
        <v>1.4200000000000001E-2</v>
      </c>
      <c r="Q204" s="231">
        <v>11892</v>
      </c>
      <c r="R204" s="231">
        <v>11732</v>
      </c>
      <c r="S204" s="228">
        <v>160</v>
      </c>
      <c r="T204" s="229">
        <v>1.3599999999999999E-2</v>
      </c>
      <c r="U204" s="231">
        <v>11930</v>
      </c>
      <c r="V204" s="231">
        <v>11785</v>
      </c>
      <c r="W204" s="228">
        <v>145</v>
      </c>
      <c r="X204" s="229">
        <v>1.23E-2</v>
      </c>
      <c r="Y204" s="228">
        <v>62</v>
      </c>
      <c r="Z204" s="228">
        <v>69</v>
      </c>
      <c r="AA204" s="228">
        <v>-7</v>
      </c>
      <c r="AB204" s="229">
        <v>5.3E-3</v>
      </c>
      <c r="AC204" s="228">
        <v>62</v>
      </c>
      <c r="AD204" s="228">
        <v>69</v>
      </c>
      <c r="AE204" s="228">
        <v>-7</v>
      </c>
      <c r="AF204" s="229">
        <v>5.3E-3</v>
      </c>
      <c r="AG204" s="228">
        <v>134</v>
      </c>
      <c r="AH204" s="228">
        <v>146</v>
      </c>
      <c r="AI204" s="228">
        <v>-12</v>
      </c>
      <c r="AJ204" s="229">
        <v>1.14E-2</v>
      </c>
      <c r="AK204" s="228">
        <v>172</v>
      </c>
      <c r="AL204" s="228">
        <v>199</v>
      </c>
      <c r="AM204" s="228">
        <v>-27</v>
      </c>
      <c r="AN204" s="229">
        <v>1.46E-2</v>
      </c>
      <c r="AO204" s="231">
        <v>11772.39</v>
      </c>
      <c r="AP204" s="231">
        <v>11829.67</v>
      </c>
      <c r="AQ204" s="228">
        <v>0</v>
      </c>
      <c r="AR204" s="230">
        <v>510300</v>
      </c>
      <c r="AS204" s="230">
        <v>566700</v>
      </c>
      <c r="AT204" s="230">
        <v>-56400</v>
      </c>
      <c r="AU204" s="229">
        <v>-9.9500000000000005E-2</v>
      </c>
      <c r="AV204" s="230">
        <v>488400</v>
      </c>
      <c r="AW204" s="230">
        <v>532600</v>
      </c>
      <c r="AX204" s="230">
        <v>-44200</v>
      </c>
      <c r="AY204" s="229">
        <v>-8.3000000000000004E-2</v>
      </c>
      <c r="AZ204" s="230">
        <v>21400</v>
      </c>
      <c r="BA204" s="230">
        <v>32550</v>
      </c>
      <c r="BB204" s="230">
        <v>-11150</v>
      </c>
      <c r="BC204" s="229">
        <v>-0.34250000000000003</v>
      </c>
      <c r="BD204" s="228">
        <v>500</v>
      </c>
      <c r="BE204" s="230">
        <v>1550</v>
      </c>
      <c r="BF204" s="230">
        <v>-1050</v>
      </c>
      <c r="BG204" s="229">
        <v>-0.6774</v>
      </c>
      <c r="BH204" s="230">
        <v>1770900</v>
      </c>
      <c r="BI204" s="230">
        <v>1648150</v>
      </c>
      <c r="BJ204" s="230">
        <v>122750</v>
      </c>
      <c r="BK204" s="229">
        <v>7.4499999999999997E-2</v>
      </c>
      <c r="BL204" s="230">
        <v>749400</v>
      </c>
      <c r="BM204" s="230">
        <v>903850</v>
      </c>
      <c r="BN204" s="230">
        <v>-154450</v>
      </c>
      <c r="BO204" s="229">
        <v>-0.1709</v>
      </c>
      <c r="BP204" s="230">
        <v>3030600</v>
      </c>
      <c r="BQ204" s="230">
        <v>3118700</v>
      </c>
      <c r="BR204" s="230">
        <v>-88100</v>
      </c>
      <c r="BS204" s="229">
        <v>-2.8199999999999999E-2</v>
      </c>
      <c r="BT204" s="230">
        <v>473310</v>
      </c>
      <c r="BU204" s="230">
        <v>779076</v>
      </c>
      <c r="BV204" s="230">
        <v>-305766</v>
      </c>
      <c r="BW204" s="229">
        <v>-0.39250000000000002</v>
      </c>
      <c r="BX204" s="230">
        <v>2815050</v>
      </c>
      <c r="BY204" s="230">
        <v>2883800</v>
      </c>
      <c r="BZ204" s="230">
        <v>-68750</v>
      </c>
      <c r="CA204" s="229">
        <v>-2.3800000000000002E-2</v>
      </c>
      <c r="CB204" s="230">
        <v>2361150</v>
      </c>
      <c r="CC204" s="230">
        <v>2437200</v>
      </c>
      <c r="CD204" s="230">
        <v>-76050</v>
      </c>
      <c r="CE204" s="229">
        <v>-3.1199999999999999E-2</v>
      </c>
      <c r="CF204" s="230">
        <v>451950</v>
      </c>
      <c r="CG204" s="230">
        <v>444800</v>
      </c>
      <c r="CH204" s="230">
        <v>7150</v>
      </c>
      <c r="CI204" s="229">
        <v>1.61E-2</v>
      </c>
      <c r="CJ204" s="230">
        <v>1950</v>
      </c>
      <c r="CK204" s="230">
        <v>1800</v>
      </c>
      <c r="CL204" s="228">
        <v>150</v>
      </c>
      <c r="CM204" s="229">
        <v>8.3299999999999999E-2</v>
      </c>
      <c r="CN204" s="230">
        <v>1138500</v>
      </c>
      <c r="CO204" s="230">
        <v>1101100</v>
      </c>
      <c r="CP204" s="230">
        <v>37400</v>
      </c>
      <c r="CQ204" s="229">
        <v>3.4000000000000002E-2</v>
      </c>
      <c r="CR204" s="230">
        <v>491800</v>
      </c>
      <c r="CS204" s="230">
        <v>465650</v>
      </c>
      <c r="CT204" s="230">
        <v>26150</v>
      </c>
      <c r="CU204" s="229">
        <v>5.62E-2</v>
      </c>
      <c r="CV204" s="230">
        <v>4445350</v>
      </c>
      <c r="CW204" s="230">
        <v>4450550</v>
      </c>
      <c r="CX204" s="230">
        <v>-5200</v>
      </c>
      <c r="CY204" s="229">
        <v>-1.1999999999999999E-3</v>
      </c>
      <c r="CZ204" s="228">
        <v>28.36</v>
      </c>
      <c r="DA204" s="228">
        <v>29.01</v>
      </c>
      <c r="DB204" s="228">
        <v>-0.65</v>
      </c>
      <c r="DC204" s="228">
        <v>-0.65</v>
      </c>
      <c r="DD204" s="228">
        <v>29.82</v>
      </c>
      <c r="DE204" s="228">
        <v>29.83</v>
      </c>
      <c r="DF204" s="228">
        <v>-1.46</v>
      </c>
      <c r="DG204" s="228">
        <v>-0.01</v>
      </c>
      <c r="DH204" s="228">
        <v>28.14</v>
      </c>
      <c r="DI204" s="228">
        <v>28.81</v>
      </c>
      <c r="DJ204" s="228">
        <v>-0.67</v>
      </c>
      <c r="DK204" s="228">
        <v>-0.67</v>
      </c>
      <c r="DL204" s="228">
        <v>28.87</v>
      </c>
      <c r="DM204" s="228">
        <v>29.38</v>
      </c>
      <c r="DN204" s="228">
        <v>-0.51</v>
      </c>
      <c r="DO204" s="228">
        <v>-0.51</v>
      </c>
      <c r="DP204" s="228">
        <v>0.43</v>
      </c>
      <c r="DQ204" s="228">
        <v>0.42</v>
      </c>
      <c r="DR204" s="228">
        <v>0.01</v>
      </c>
      <c r="DS204" s="229">
        <v>2.3800000000000002E-2</v>
      </c>
      <c r="DT204" s="231">
        <v>13000</v>
      </c>
      <c r="DU204" s="231">
        <v>12000</v>
      </c>
      <c r="DV204" s="228">
        <v>0.42</v>
      </c>
      <c r="DW204" s="228">
        <v>0.55000000000000004</v>
      </c>
      <c r="DX204" s="228">
        <v>-0.13</v>
      </c>
      <c r="DY204" s="229">
        <v>-0.2364</v>
      </c>
      <c r="DZ204" s="229">
        <v>0.16120000000000001</v>
      </c>
      <c r="EA204" s="230">
        <v>446600</v>
      </c>
      <c r="EB204" s="229">
        <v>6.1000000000000004E-3</v>
      </c>
      <c r="EC204" s="229">
        <v>0.16120000000000001</v>
      </c>
      <c r="ED204" s="228">
        <v>57.28</v>
      </c>
      <c r="EE204" s="229">
        <v>4.8999999999999998E-3</v>
      </c>
      <c r="EF204" s="230">
        <v>252368</v>
      </c>
      <c r="EG204" s="230">
        <v>487536</v>
      </c>
      <c r="EH204" s="229">
        <v>-0.4824</v>
      </c>
      <c r="EI204" s="229">
        <v>0.53320000000000001</v>
      </c>
      <c r="EJ204" s="231">
        <v>221846.36</v>
      </c>
      <c r="EK204" s="231">
        <v>86929.47</v>
      </c>
      <c r="EL204" s="231">
        <v>60087.43</v>
      </c>
      <c r="EM204" s="231">
        <v>21742</v>
      </c>
      <c r="EN204" s="231">
        <v>368863.26</v>
      </c>
      <c r="EO204" s="231">
        <v>374172.09</v>
      </c>
      <c r="EP204" s="231">
        <v>-5308.83</v>
      </c>
      <c r="EQ204" s="229">
        <v>-1.4200000000000001E-2</v>
      </c>
      <c r="ER204" s="231">
        <v>142888</v>
      </c>
      <c r="ES204" s="231">
        <v>55908</v>
      </c>
      <c r="ET204" s="231">
        <v>333066</v>
      </c>
      <c r="EU204" s="231">
        <v>12994504</v>
      </c>
      <c r="EV204" s="231">
        <v>531862</v>
      </c>
      <c r="EW204" s="231">
        <v>528212</v>
      </c>
      <c r="EX204" s="231">
        <v>3650</v>
      </c>
      <c r="EY204" s="229">
        <v>6.8999999999999999E-3</v>
      </c>
      <c r="EZ204" s="229">
        <v>0.34210000000000002</v>
      </c>
      <c r="FA204" s="227" t="s">
        <v>691</v>
      </c>
      <c r="FB204" s="161">
        <f t="shared" si="5"/>
        <v>0</v>
      </c>
    </row>
    <row r="205" spans="1:158" ht="17.25" thickBot="1" x14ac:dyDescent="0.3">
      <c r="A205" s="226">
        <v>46146</v>
      </c>
      <c r="B205" s="227" t="s">
        <v>172</v>
      </c>
      <c r="C205" s="227" t="s">
        <v>592</v>
      </c>
      <c r="D205" s="228">
        <v>4425</v>
      </c>
      <c r="E205" s="228">
        <v>164.7</v>
      </c>
      <c r="F205" s="228">
        <v>166.97</v>
      </c>
      <c r="G205" s="228">
        <v>-2.27</v>
      </c>
      <c r="H205" s="229">
        <v>-1.3599999999999999E-2</v>
      </c>
      <c r="I205" s="228">
        <v>163.77000000000001</v>
      </c>
      <c r="J205" s="228">
        <v>165.94</v>
      </c>
      <c r="K205" s="228">
        <v>-2.17</v>
      </c>
      <c r="L205" s="229">
        <v>-1.3100000000000001E-2</v>
      </c>
      <c r="M205" s="228">
        <v>164.7</v>
      </c>
      <c r="N205" s="228">
        <v>166.97</v>
      </c>
      <c r="O205" s="228">
        <v>-2.27</v>
      </c>
      <c r="P205" s="229">
        <v>-1.3599999999999999E-2</v>
      </c>
      <c r="Q205" s="228">
        <v>164.89</v>
      </c>
      <c r="R205" s="228">
        <v>166.84</v>
      </c>
      <c r="S205" s="228">
        <v>-1.95</v>
      </c>
      <c r="T205" s="229">
        <v>-1.17E-2</v>
      </c>
      <c r="U205" s="228">
        <v>165.33</v>
      </c>
      <c r="V205" s="228">
        <v>167.66</v>
      </c>
      <c r="W205" s="228">
        <v>-2.33</v>
      </c>
      <c r="X205" s="229">
        <v>-1.3899999999999999E-2</v>
      </c>
      <c r="Y205" s="228">
        <v>0.93</v>
      </c>
      <c r="Z205" s="228">
        <v>1.03</v>
      </c>
      <c r="AA205" s="228">
        <v>-0.1</v>
      </c>
      <c r="AB205" s="229">
        <v>5.7000000000000002E-3</v>
      </c>
      <c r="AC205" s="228">
        <v>0.93</v>
      </c>
      <c r="AD205" s="228">
        <v>1.03</v>
      </c>
      <c r="AE205" s="228">
        <v>-0.1</v>
      </c>
      <c r="AF205" s="229">
        <v>5.7000000000000002E-3</v>
      </c>
      <c r="AG205" s="228">
        <v>1.1200000000000001</v>
      </c>
      <c r="AH205" s="228">
        <v>0.9</v>
      </c>
      <c r="AI205" s="228">
        <v>0.22</v>
      </c>
      <c r="AJ205" s="229">
        <v>6.7999999999999996E-3</v>
      </c>
      <c r="AK205" s="228">
        <v>1.56</v>
      </c>
      <c r="AL205" s="228">
        <v>1.72</v>
      </c>
      <c r="AM205" s="228">
        <v>-0.16</v>
      </c>
      <c r="AN205" s="229">
        <v>9.4999999999999998E-3</v>
      </c>
      <c r="AO205" s="228">
        <v>166.52</v>
      </c>
      <c r="AP205" s="228">
        <v>166.97</v>
      </c>
      <c r="AQ205" s="228">
        <v>0</v>
      </c>
      <c r="AR205" s="230">
        <v>18885900</v>
      </c>
      <c r="AS205" s="230">
        <v>26550000</v>
      </c>
      <c r="AT205" s="230">
        <v>-7664100</v>
      </c>
      <c r="AU205" s="229">
        <v>-0.28870000000000001</v>
      </c>
      <c r="AV205" s="230">
        <v>17328300</v>
      </c>
      <c r="AW205" s="230">
        <v>24580875</v>
      </c>
      <c r="AX205" s="230">
        <v>-7252575</v>
      </c>
      <c r="AY205" s="229">
        <v>-0.29499999999999998</v>
      </c>
      <c r="AZ205" s="230">
        <v>1469100</v>
      </c>
      <c r="BA205" s="230">
        <v>1805400</v>
      </c>
      <c r="BB205" s="230">
        <v>-336300</v>
      </c>
      <c r="BC205" s="229">
        <v>-0.18629999999999999</v>
      </c>
      <c r="BD205" s="230">
        <v>88500</v>
      </c>
      <c r="BE205" s="230">
        <v>163725</v>
      </c>
      <c r="BF205" s="230">
        <v>-75225</v>
      </c>
      <c r="BG205" s="229">
        <v>-0.45950000000000002</v>
      </c>
      <c r="BH205" s="230">
        <v>42320700</v>
      </c>
      <c r="BI205" s="230">
        <v>54206250</v>
      </c>
      <c r="BJ205" s="230">
        <v>-11885550</v>
      </c>
      <c r="BK205" s="229">
        <v>-0.21929999999999999</v>
      </c>
      <c r="BL205" s="230">
        <v>13407750</v>
      </c>
      <c r="BM205" s="230">
        <v>28620900</v>
      </c>
      <c r="BN205" s="230">
        <v>-15213150</v>
      </c>
      <c r="BO205" s="229">
        <v>-0.53149999999999997</v>
      </c>
      <c r="BP205" s="230">
        <v>74614350</v>
      </c>
      <c r="BQ205" s="230">
        <v>109377150</v>
      </c>
      <c r="BR205" s="230">
        <v>-34762800</v>
      </c>
      <c r="BS205" s="229">
        <v>-0.31780000000000003</v>
      </c>
      <c r="BT205" s="230">
        <v>15402062</v>
      </c>
      <c r="BU205" s="230">
        <v>18414984</v>
      </c>
      <c r="BV205" s="230">
        <v>-3012922</v>
      </c>
      <c r="BW205" s="229">
        <v>-0.1636</v>
      </c>
      <c r="BX205" s="230">
        <v>141069000</v>
      </c>
      <c r="BY205" s="230">
        <v>136710375</v>
      </c>
      <c r="BZ205" s="230">
        <v>4358625</v>
      </c>
      <c r="CA205" s="229">
        <v>3.1899999999999998E-2</v>
      </c>
      <c r="CB205" s="230">
        <v>135568725</v>
      </c>
      <c r="CC205" s="230">
        <v>131869425</v>
      </c>
      <c r="CD205" s="230">
        <v>3699300</v>
      </c>
      <c r="CE205" s="229">
        <v>2.81E-2</v>
      </c>
      <c r="CF205" s="230">
        <v>5256900</v>
      </c>
      <c r="CG205" s="230">
        <v>4681650</v>
      </c>
      <c r="CH205" s="230">
        <v>575250</v>
      </c>
      <c r="CI205" s="229">
        <v>0.1229</v>
      </c>
      <c r="CJ205" s="230">
        <v>243375</v>
      </c>
      <c r="CK205" s="230">
        <v>159300</v>
      </c>
      <c r="CL205" s="230">
        <v>84075</v>
      </c>
      <c r="CM205" s="229">
        <v>0.52780000000000005</v>
      </c>
      <c r="CN205" s="230">
        <v>62273025</v>
      </c>
      <c r="CO205" s="230">
        <v>54573525</v>
      </c>
      <c r="CP205" s="230">
        <v>7699500</v>
      </c>
      <c r="CQ205" s="229">
        <v>0.1411</v>
      </c>
      <c r="CR205" s="230">
        <v>31775925</v>
      </c>
      <c r="CS205" s="230">
        <v>31165275</v>
      </c>
      <c r="CT205" s="230">
        <v>610650</v>
      </c>
      <c r="CU205" s="229">
        <v>1.9599999999999999E-2</v>
      </c>
      <c r="CV205" s="230">
        <v>235117950</v>
      </c>
      <c r="CW205" s="230">
        <v>222449175</v>
      </c>
      <c r="CX205" s="230">
        <v>12668775</v>
      </c>
      <c r="CY205" s="229">
        <v>5.7000000000000002E-2</v>
      </c>
      <c r="CZ205" s="228">
        <v>41.16</v>
      </c>
      <c r="DA205" s="228">
        <v>40.49</v>
      </c>
      <c r="DB205" s="228">
        <v>0.67</v>
      </c>
      <c r="DC205" s="228">
        <v>0.67</v>
      </c>
      <c r="DD205" s="228">
        <v>44.48</v>
      </c>
      <c r="DE205" s="228">
        <v>44.56</v>
      </c>
      <c r="DF205" s="228">
        <v>-3.32</v>
      </c>
      <c r="DG205" s="228">
        <v>-0.08</v>
      </c>
      <c r="DH205" s="228">
        <v>41.64</v>
      </c>
      <c r="DI205" s="228">
        <v>40.71</v>
      </c>
      <c r="DJ205" s="228">
        <v>0.93</v>
      </c>
      <c r="DK205" s="228">
        <v>0.93</v>
      </c>
      <c r="DL205" s="228">
        <v>39.65</v>
      </c>
      <c r="DM205" s="228">
        <v>40.08</v>
      </c>
      <c r="DN205" s="228">
        <v>-0.43</v>
      </c>
      <c r="DO205" s="228">
        <v>-0.43</v>
      </c>
      <c r="DP205" s="228">
        <v>0.51</v>
      </c>
      <c r="DQ205" s="228">
        <v>0.56999999999999995</v>
      </c>
      <c r="DR205" s="228">
        <v>-0.06</v>
      </c>
      <c r="DS205" s="229">
        <v>-0.1053</v>
      </c>
      <c r="DT205" s="228">
        <v>190</v>
      </c>
      <c r="DU205" s="228">
        <v>180</v>
      </c>
      <c r="DV205" s="228">
        <v>0.32</v>
      </c>
      <c r="DW205" s="228">
        <v>0.53</v>
      </c>
      <c r="DX205" s="228">
        <v>-0.21</v>
      </c>
      <c r="DY205" s="229">
        <v>-0.3962</v>
      </c>
      <c r="DZ205" s="229">
        <v>3.9E-2</v>
      </c>
      <c r="EA205" s="230">
        <v>4840950</v>
      </c>
      <c r="EB205" s="229">
        <v>1.1999999999999999E-3</v>
      </c>
      <c r="EC205" s="229">
        <v>3.9E-2</v>
      </c>
      <c r="ED205" s="228">
        <v>0.45</v>
      </c>
      <c r="EE205" s="229">
        <v>2.7000000000000001E-3</v>
      </c>
      <c r="EF205" s="230">
        <v>8006513</v>
      </c>
      <c r="EG205" s="230">
        <v>8035130</v>
      </c>
      <c r="EH205" s="229">
        <v>-3.5999999999999999E-3</v>
      </c>
      <c r="EI205" s="229">
        <v>0.51980000000000004</v>
      </c>
      <c r="EJ205" s="231">
        <v>77867.53</v>
      </c>
      <c r="EK205" s="231">
        <v>22115.43</v>
      </c>
      <c r="EL205" s="231">
        <v>31457.46</v>
      </c>
      <c r="EM205" s="231">
        <v>11057</v>
      </c>
      <c r="EN205" s="231">
        <v>131440.42000000001</v>
      </c>
      <c r="EO205" s="231">
        <v>190157.16</v>
      </c>
      <c r="EP205" s="231">
        <v>-58716.74</v>
      </c>
      <c r="EQ205" s="229">
        <v>-0.30880000000000002</v>
      </c>
      <c r="ER205" s="231">
        <v>116354</v>
      </c>
      <c r="ES205" s="231">
        <v>53670</v>
      </c>
      <c r="ET205" s="231">
        <v>232352</v>
      </c>
      <c r="EU205" s="231">
        <v>289041713</v>
      </c>
      <c r="EV205" s="231">
        <v>402376</v>
      </c>
      <c r="EW205" s="231">
        <v>382609</v>
      </c>
      <c r="EX205" s="231">
        <v>19767</v>
      </c>
      <c r="EY205" s="229">
        <v>5.1700000000000003E-2</v>
      </c>
      <c r="EZ205" s="229">
        <v>0.81340000000000001</v>
      </c>
      <c r="FA205" s="227" t="s">
        <v>566</v>
      </c>
      <c r="FB205" s="161">
        <f t="shared" si="5"/>
        <v>0</v>
      </c>
    </row>
    <row r="206" spans="1:158" ht="17.25" thickBot="1" x14ac:dyDescent="0.3">
      <c r="A206" s="226">
        <v>46146</v>
      </c>
      <c r="B206" s="227" t="s">
        <v>168</v>
      </c>
      <c r="C206" s="227" t="s">
        <v>568</v>
      </c>
      <c r="D206" s="228">
        <v>400</v>
      </c>
      <c r="E206" s="231">
        <v>1328.9</v>
      </c>
      <c r="F206" s="231">
        <v>1333.6</v>
      </c>
      <c r="G206" s="228">
        <v>-4.7</v>
      </c>
      <c r="H206" s="229">
        <v>-3.5000000000000001E-3</v>
      </c>
      <c r="I206" s="231">
        <v>1321.7</v>
      </c>
      <c r="J206" s="231">
        <v>1325.6</v>
      </c>
      <c r="K206" s="228">
        <v>-3.9</v>
      </c>
      <c r="L206" s="229">
        <v>-2.8999999999999998E-3</v>
      </c>
      <c r="M206" s="231">
        <v>1328.9</v>
      </c>
      <c r="N206" s="231">
        <v>1333.6</v>
      </c>
      <c r="O206" s="228">
        <v>-4.7</v>
      </c>
      <c r="P206" s="229">
        <v>-3.5000000000000001E-3</v>
      </c>
      <c r="Q206" s="231">
        <v>1337.9</v>
      </c>
      <c r="R206" s="231">
        <v>1341.2</v>
      </c>
      <c r="S206" s="228">
        <v>-3.3</v>
      </c>
      <c r="T206" s="229">
        <v>-2.5000000000000001E-3</v>
      </c>
      <c r="U206" s="231">
        <v>1345</v>
      </c>
      <c r="V206" s="231">
        <v>1348.9</v>
      </c>
      <c r="W206" s="228">
        <v>-3.9</v>
      </c>
      <c r="X206" s="229">
        <v>-2.8999999999999998E-3</v>
      </c>
      <c r="Y206" s="228">
        <v>7.2</v>
      </c>
      <c r="Z206" s="228">
        <v>8</v>
      </c>
      <c r="AA206" s="228">
        <v>-0.8</v>
      </c>
      <c r="AB206" s="229">
        <v>5.4000000000000003E-3</v>
      </c>
      <c r="AC206" s="228">
        <v>7.2</v>
      </c>
      <c r="AD206" s="228">
        <v>8</v>
      </c>
      <c r="AE206" s="228">
        <v>-0.8</v>
      </c>
      <c r="AF206" s="229">
        <v>5.4000000000000003E-3</v>
      </c>
      <c r="AG206" s="228">
        <v>16.2</v>
      </c>
      <c r="AH206" s="228">
        <v>15.6</v>
      </c>
      <c r="AI206" s="228">
        <v>0.6</v>
      </c>
      <c r="AJ206" s="229">
        <v>1.23E-2</v>
      </c>
      <c r="AK206" s="228">
        <v>23.3</v>
      </c>
      <c r="AL206" s="228">
        <v>23.3</v>
      </c>
      <c r="AM206" s="228">
        <v>0</v>
      </c>
      <c r="AN206" s="229">
        <v>1.7600000000000001E-2</v>
      </c>
      <c r="AO206" s="231">
        <v>1331.54</v>
      </c>
      <c r="AP206" s="231">
        <v>1335.67</v>
      </c>
      <c r="AQ206" s="228">
        <v>0</v>
      </c>
      <c r="AR206" s="230">
        <v>712800</v>
      </c>
      <c r="AS206" s="230">
        <v>1199200</v>
      </c>
      <c r="AT206" s="230">
        <v>-486400</v>
      </c>
      <c r="AU206" s="229">
        <v>-0.40560000000000002</v>
      </c>
      <c r="AV206" s="230">
        <v>695200</v>
      </c>
      <c r="AW206" s="230">
        <v>1154800</v>
      </c>
      <c r="AX206" s="230">
        <v>-459600</v>
      </c>
      <c r="AY206" s="229">
        <v>-0.39800000000000002</v>
      </c>
      <c r="AZ206" s="230">
        <v>16400</v>
      </c>
      <c r="BA206" s="230">
        <v>37600</v>
      </c>
      <c r="BB206" s="230">
        <v>-21200</v>
      </c>
      <c r="BC206" s="229">
        <v>-0.56379999999999997</v>
      </c>
      <c r="BD206" s="230">
        <v>1200</v>
      </c>
      <c r="BE206" s="230">
        <v>6800</v>
      </c>
      <c r="BF206" s="230">
        <v>-5600</v>
      </c>
      <c r="BG206" s="229">
        <v>-0.82350000000000001</v>
      </c>
      <c r="BH206" s="230">
        <v>1296000</v>
      </c>
      <c r="BI206" s="230">
        <v>1560800</v>
      </c>
      <c r="BJ206" s="230">
        <v>-264800</v>
      </c>
      <c r="BK206" s="229">
        <v>-0.16969999999999999</v>
      </c>
      <c r="BL206" s="230">
        <v>370400</v>
      </c>
      <c r="BM206" s="230">
        <v>622400</v>
      </c>
      <c r="BN206" s="230">
        <v>-252000</v>
      </c>
      <c r="BO206" s="229">
        <v>-0.40489999999999998</v>
      </c>
      <c r="BP206" s="230">
        <v>2379200</v>
      </c>
      <c r="BQ206" s="230">
        <v>3382400</v>
      </c>
      <c r="BR206" s="230">
        <v>-1003200</v>
      </c>
      <c r="BS206" s="229">
        <v>-0.29659999999999997</v>
      </c>
      <c r="BT206" s="230">
        <v>1000123</v>
      </c>
      <c r="BU206" s="230">
        <v>1091504</v>
      </c>
      <c r="BV206" s="230">
        <v>-91381</v>
      </c>
      <c r="BW206" s="229">
        <v>-8.3699999999999997E-2</v>
      </c>
      <c r="BX206" s="230">
        <v>11421200</v>
      </c>
      <c r="BY206" s="230">
        <v>11050800</v>
      </c>
      <c r="BZ206" s="230">
        <v>370400</v>
      </c>
      <c r="CA206" s="229">
        <v>3.3500000000000002E-2</v>
      </c>
      <c r="CB206" s="230">
        <v>10821200</v>
      </c>
      <c r="CC206" s="230">
        <v>10458000</v>
      </c>
      <c r="CD206" s="230">
        <v>363200</v>
      </c>
      <c r="CE206" s="229">
        <v>3.4700000000000002E-2</v>
      </c>
      <c r="CF206" s="230">
        <v>592000</v>
      </c>
      <c r="CG206" s="230">
        <v>586000</v>
      </c>
      <c r="CH206" s="230">
        <v>6000</v>
      </c>
      <c r="CI206" s="229">
        <v>1.0200000000000001E-2</v>
      </c>
      <c r="CJ206" s="230">
        <v>8000</v>
      </c>
      <c r="CK206" s="230">
        <v>6800</v>
      </c>
      <c r="CL206" s="230">
        <v>1200</v>
      </c>
      <c r="CM206" s="229">
        <v>0.17649999999999999</v>
      </c>
      <c r="CN206" s="230">
        <v>2846800</v>
      </c>
      <c r="CO206" s="230">
        <v>2683200</v>
      </c>
      <c r="CP206" s="230">
        <v>163600</v>
      </c>
      <c r="CQ206" s="229">
        <v>6.0999999999999999E-2</v>
      </c>
      <c r="CR206" s="230">
        <v>1945600</v>
      </c>
      <c r="CS206" s="230">
        <v>1924000</v>
      </c>
      <c r="CT206" s="230">
        <v>21600</v>
      </c>
      <c r="CU206" s="229">
        <v>1.12E-2</v>
      </c>
      <c r="CV206" s="230">
        <v>16213600</v>
      </c>
      <c r="CW206" s="230">
        <v>15658000</v>
      </c>
      <c r="CX206" s="230">
        <v>555600</v>
      </c>
      <c r="CY206" s="229">
        <v>3.5499999999999997E-2</v>
      </c>
      <c r="CZ206" s="228">
        <v>31.11</v>
      </c>
      <c r="DA206" s="228">
        <v>30.23</v>
      </c>
      <c r="DB206" s="228">
        <v>0.88</v>
      </c>
      <c r="DC206" s="228">
        <v>0.88</v>
      </c>
      <c r="DD206" s="228">
        <v>30.32</v>
      </c>
      <c r="DE206" s="228">
        <v>30.39</v>
      </c>
      <c r="DF206" s="228">
        <v>0.79</v>
      </c>
      <c r="DG206" s="228">
        <v>-7.0000000000000007E-2</v>
      </c>
      <c r="DH206" s="228">
        <v>31</v>
      </c>
      <c r="DI206" s="228">
        <v>30.4</v>
      </c>
      <c r="DJ206" s="228">
        <v>0.6</v>
      </c>
      <c r="DK206" s="228">
        <v>0.6</v>
      </c>
      <c r="DL206" s="228">
        <v>31.48</v>
      </c>
      <c r="DM206" s="228">
        <v>29.82</v>
      </c>
      <c r="DN206" s="228">
        <v>1.66</v>
      </c>
      <c r="DO206" s="228">
        <v>1.66</v>
      </c>
      <c r="DP206" s="228">
        <v>0.68</v>
      </c>
      <c r="DQ206" s="228">
        <v>0.72</v>
      </c>
      <c r="DR206" s="228">
        <v>-0.04</v>
      </c>
      <c r="DS206" s="229">
        <v>-5.5599999999999997E-2</v>
      </c>
      <c r="DT206" s="231">
        <v>1500</v>
      </c>
      <c r="DU206" s="231">
        <v>1400</v>
      </c>
      <c r="DV206" s="228">
        <v>0.28999999999999998</v>
      </c>
      <c r="DW206" s="228">
        <v>0.4</v>
      </c>
      <c r="DX206" s="228">
        <v>-0.11</v>
      </c>
      <c r="DY206" s="229">
        <v>-0.27500000000000002</v>
      </c>
      <c r="DZ206" s="229">
        <v>5.2499999999999998E-2</v>
      </c>
      <c r="EA206" s="230">
        <v>592800</v>
      </c>
      <c r="EB206" s="229">
        <v>6.7999999999999996E-3</v>
      </c>
      <c r="EC206" s="229">
        <v>5.2499999999999998E-2</v>
      </c>
      <c r="ED206" s="228">
        <v>4.13</v>
      </c>
      <c r="EE206" s="229">
        <v>3.0999999999999999E-3</v>
      </c>
      <c r="EF206" s="230">
        <v>710052</v>
      </c>
      <c r="EG206" s="230">
        <v>721480</v>
      </c>
      <c r="EH206" s="229">
        <v>-1.5800000000000002E-2</v>
      </c>
      <c r="EI206" s="229">
        <v>0.71</v>
      </c>
      <c r="EJ206" s="231">
        <v>18654.330000000002</v>
      </c>
      <c r="EK206" s="231">
        <v>4885.28</v>
      </c>
      <c r="EL206" s="231">
        <v>9492.06</v>
      </c>
      <c r="EM206" s="231">
        <v>7660</v>
      </c>
      <c r="EN206" s="231">
        <v>33031.67</v>
      </c>
      <c r="EO206" s="231">
        <v>46923.42</v>
      </c>
      <c r="EP206" s="231">
        <v>-13891.75</v>
      </c>
      <c r="EQ206" s="229">
        <v>-0.29609999999999997</v>
      </c>
      <c r="ER206" s="231">
        <v>40680</v>
      </c>
      <c r="ES206" s="231">
        <v>26590</v>
      </c>
      <c r="ET206" s="231">
        <v>151831</v>
      </c>
      <c r="EU206" s="231">
        <v>38847259</v>
      </c>
      <c r="EV206" s="231">
        <v>219101</v>
      </c>
      <c r="EW206" s="231">
        <v>212127</v>
      </c>
      <c r="EX206" s="231">
        <v>6974</v>
      </c>
      <c r="EY206" s="229">
        <v>3.2899999999999999E-2</v>
      </c>
      <c r="EZ206" s="229">
        <v>0.41739999999999999</v>
      </c>
      <c r="FA206" s="227" t="s">
        <v>566</v>
      </c>
      <c r="FB206" s="161">
        <f t="shared" si="5"/>
        <v>0</v>
      </c>
    </row>
    <row r="207" spans="1:158" ht="17.25" thickBot="1" x14ac:dyDescent="0.3">
      <c r="A207" s="226">
        <v>46146</v>
      </c>
      <c r="B207" s="227" t="s">
        <v>162</v>
      </c>
      <c r="C207" s="227" t="s">
        <v>671</v>
      </c>
      <c r="D207" s="228">
        <v>550</v>
      </c>
      <c r="E207" s="231">
        <v>1116.0999999999999</v>
      </c>
      <c r="F207" s="231">
        <v>1119.9000000000001</v>
      </c>
      <c r="G207" s="228">
        <v>-3.8</v>
      </c>
      <c r="H207" s="229">
        <v>-3.3999999999999998E-3</v>
      </c>
      <c r="I207" s="231">
        <v>1109.8</v>
      </c>
      <c r="J207" s="231">
        <v>1112.5</v>
      </c>
      <c r="K207" s="228">
        <v>-2.7</v>
      </c>
      <c r="L207" s="229">
        <v>-2.3999999999999998E-3</v>
      </c>
      <c r="M207" s="231">
        <v>1116.0999999999999</v>
      </c>
      <c r="N207" s="231">
        <v>1119.9000000000001</v>
      </c>
      <c r="O207" s="228">
        <v>-3.8</v>
      </c>
      <c r="P207" s="229">
        <v>-3.3999999999999998E-3</v>
      </c>
      <c r="Q207" s="231">
        <v>1123.4000000000001</v>
      </c>
      <c r="R207" s="231">
        <v>1127.0999999999999</v>
      </c>
      <c r="S207" s="228">
        <v>-3.7</v>
      </c>
      <c r="T207" s="229">
        <v>-3.3E-3</v>
      </c>
      <c r="U207" s="228">
        <v>0</v>
      </c>
      <c r="V207" s="228">
        <v>0</v>
      </c>
      <c r="W207" s="228">
        <v>0</v>
      </c>
      <c r="X207" s="229">
        <v>0</v>
      </c>
      <c r="Y207" s="228">
        <v>6.3</v>
      </c>
      <c r="Z207" s="228">
        <v>7.4</v>
      </c>
      <c r="AA207" s="228">
        <v>-1.1000000000000001</v>
      </c>
      <c r="AB207" s="229">
        <v>5.7000000000000002E-3</v>
      </c>
      <c r="AC207" s="228">
        <v>6.3</v>
      </c>
      <c r="AD207" s="228">
        <v>7.4</v>
      </c>
      <c r="AE207" s="228">
        <v>-1.1000000000000001</v>
      </c>
      <c r="AF207" s="229">
        <v>5.7000000000000002E-3</v>
      </c>
      <c r="AG207" s="228">
        <v>13.6</v>
      </c>
      <c r="AH207" s="228">
        <v>14.6</v>
      </c>
      <c r="AI207" s="228">
        <v>-1</v>
      </c>
      <c r="AJ207" s="229">
        <v>1.23E-2</v>
      </c>
      <c r="AK207" s="228">
        <v>0</v>
      </c>
      <c r="AL207" s="228">
        <v>0</v>
      </c>
      <c r="AM207" s="228">
        <v>0</v>
      </c>
      <c r="AN207" s="229">
        <v>0</v>
      </c>
      <c r="AO207" s="231">
        <v>1119.72</v>
      </c>
      <c r="AP207" s="231">
        <v>1122.78</v>
      </c>
      <c r="AQ207" s="228">
        <v>0</v>
      </c>
      <c r="AR207" s="230">
        <v>658350</v>
      </c>
      <c r="AS207" s="230">
        <v>364650</v>
      </c>
      <c r="AT207" s="230">
        <v>293700</v>
      </c>
      <c r="AU207" s="229">
        <v>0.8054</v>
      </c>
      <c r="AV207" s="230">
        <v>649000</v>
      </c>
      <c r="AW207" s="230">
        <v>358050</v>
      </c>
      <c r="AX207" s="230">
        <v>290950</v>
      </c>
      <c r="AY207" s="229">
        <v>0.81259999999999999</v>
      </c>
      <c r="AZ207" s="230">
        <v>9350</v>
      </c>
      <c r="BA207" s="230">
        <v>6600</v>
      </c>
      <c r="BB207" s="230">
        <v>2750</v>
      </c>
      <c r="BC207" s="229">
        <v>0.41670000000000001</v>
      </c>
      <c r="BD207" s="228">
        <v>0</v>
      </c>
      <c r="BE207" s="228">
        <v>0</v>
      </c>
      <c r="BF207" s="228">
        <v>0</v>
      </c>
      <c r="BG207" s="229">
        <v>0</v>
      </c>
      <c r="BH207" s="230">
        <v>632500</v>
      </c>
      <c r="BI207" s="230">
        <v>479600</v>
      </c>
      <c r="BJ207" s="230">
        <v>152900</v>
      </c>
      <c r="BK207" s="229">
        <v>0.31879999999999997</v>
      </c>
      <c r="BL207" s="230">
        <v>198000</v>
      </c>
      <c r="BM207" s="230">
        <v>135850</v>
      </c>
      <c r="BN207" s="230">
        <v>62150</v>
      </c>
      <c r="BO207" s="229">
        <v>0.45750000000000002</v>
      </c>
      <c r="BP207" s="230">
        <v>1488850</v>
      </c>
      <c r="BQ207" s="230">
        <v>980100</v>
      </c>
      <c r="BR207" s="230">
        <v>508750</v>
      </c>
      <c r="BS207" s="229">
        <v>0.51910000000000001</v>
      </c>
      <c r="BT207" s="230">
        <v>661276</v>
      </c>
      <c r="BU207" s="230">
        <v>615492</v>
      </c>
      <c r="BV207" s="230">
        <v>45784</v>
      </c>
      <c r="BW207" s="229">
        <v>7.4399999999999994E-2</v>
      </c>
      <c r="BX207" s="230">
        <v>4323000</v>
      </c>
      <c r="BY207" s="230">
        <v>4356000</v>
      </c>
      <c r="BZ207" s="230">
        <v>-33000</v>
      </c>
      <c r="CA207" s="229">
        <v>-7.6E-3</v>
      </c>
      <c r="CB207" s="230">
        <v>4296050</v>
      </c>
      <c r="CC207" s="230">
        <v>4329050</v>
      </c>
      <c r="CD207" s="230">
        <v>-33000</v>
      </c>
      <c r="CE207" s="229">
        <v>-7.6E-3</v>
      </c>
      <c r="CF207" s="230">
        <v>26950</v>
      </c>
      <c r="CG207" s="230">
        <v>26950</v>
      </c>
      <c r="CH207" s="228">
        <v>0</v>
      </c>
      <c r="CI207" s="229">
        <v>0</v>
      </c>
      <c r="CJ207" s="228">
        <v>0</v>
      </c>
      <c r="CK207" s="228">
        <v>0</v>
      </c>
      <c r="CL207" s="228">
        <v>0</v>
      </c>
      <c r="CM207" s="229">
        <v>0</v>
      </c>
      <c r="CN207" s="230">
        <v>1019700</v>
      </c>
      <c r="CO207" s="230">
        <v>814000</v>
      </c>
      <c r="CP207" s="230">
        <v>205700</v>
      </c>
      <c r="CQ207" s="229">
        <v>0.25269999999999998</v>
      </c>
      <c r="CR207" s="230">
        <v>465300</v>
      </c>
      <c r="CS207" s="230">
        <v>382250</v>
      </c>
      <c r="CT207" s="230">
        <v>83050</v>
      </c>
      <c r="CU207" s="229">
        <v>0.21729999999999999</v>
      </c>
      <c r="CV207" s="230">
        <v>5808000</v>
      </c>
      <c r="CW207" s="230">
        <v>5552250</v>
      </c>
      <c r="CX207" s="230">
        <v>255750</v>
      </c>
      <c r="CY207" s="229">
        <v>4.6100000000000002E-2</v>
      </c>
      <c r="CZ207" s="228">
        <v>40.98</v>
      </c>
      <c r="DA207" s="228">
        <v>40.96</v>
      </c>
      <c r="DB207" s="228">
        <v>0.02</v>
      </c>
      <c r="DC207" s="228">
        <v>0.02</v>
      </c>
      <c r="DD207" s="228">
        <v>42.42</v>
      </c>
      <c r="DE207" s="228">
        <v>42.53</v>
      </c>
      <c r="DF207" s="228">
        <v>-1.44</v>
      </c>
      <c r="DG207" s="228">
        <v>-0.11</v>
      </c>
      <c r="DH207" s="228">
        <v>40.08</v>
      </c>
      <c r="DI207" s="228">
        <v>40.6</v>
      </c>
      <c r="DJ207" s="228">
        <v>-0.52</v>
      </c>
      <c r="DK207" s="228">
        <v>-0.52</v>
      </c>
      <c r="DL207" s="228">
        <v>43.85</v>
      </c>
      <c r="DM207" s="228">
        <v>42.23</v>
      </c>
      <c r="DN207" s="228">
        <v>1.62</v>
      </c>
      <c r="DO207" s="228">
        <v>1.62</v>
      </c>
      <c r="DP207" s="228">
        <v>0.46</v>
      </c>
      <c r="DQ207" s="228">
        <v>0.47</v>
      </c>
      <c r="DR207" s="228">
        <v>-0.01</v>
      </c>
      <c r="DS207" s="229">
        <v>-2.1299999999999999E-2</v>
      </c>
      <c r="DT207" s="231">
        <v>1200</v>
      </c>
      <c r="DU207" s="231">
        <v>1100</v>
      </c>
      <c r="DV207" s="228">
        <v>0.31</v>
      </c>
      <c r="DW207" s="228">
        <v>0.28000000000000003</v>
      </c>
      <c r="DX207" s="228">
        <v>0.03</v>
      </c>
      <c r="DY207" s="229">
        <v>0.1071</v>
      </c>
      <c r="DZ207" s="229">
        <v>6.1999999999999998E-3</v>
      </c>
      <c r="EA207" s="230">
        <v>26950</v>
      </c>
      <c r="EB207" s="229">
        <v>6.4999999999999997E-3</v>
      </c>
      <c r="EC207" s="229">
        <v>6.1999999999999998E-3</v>
      </c>
      <c r="ED207" s="228">
        <v>3.06</v>
      </c>
      <c r="EE207" s="229">
        <v>2.7000000000000001E-3</v>
      </c>
      <c r="EF207" s="230">
        <v>322098</v>
      </c>
      <c r="EG207" s="230">
        <v>291595</v>
      </c>
      <c r="EH207" s="229">
        <v>0.1046</v>
      </c>
      <c r="EI207" s="229">
        <v>0.48709999999999998</v>
      </c>
      <c r="EJ207" s="231">
        <v>7731.29</v>
      </c>
      <c r="EK207" s="231">
        <v>2188.1999999999998</v>
      </c>
      <c r="EL207" s="231">
        <v>7371.99</v>
      </c>
      <c r="EM207" s="231">
        <v>2305</v>
      </c>
      <c r="EN207" s="231">
        <v>17291.48</v>
      </c>
      <c r="EO207" s="231">
        <v>11408.96</v>
      </c>
      <c r="EP207" s="231">
        <v>5882.52</v>
      </c>
      <c r="EQ207" s="229">
        <v>0.51559999999999995</v>
      </c>
      <c r="ER207" s="231">
        <v>12207</v>
      </c>
      <c r="ES207" s="231">
        <v>5072</v>
      </c>
      <c r="ET207" s="231">
        <v>48251</v>
      </c>
      <c r="EU207" s="231">
        <v>27343613</v>
      </c>
      <c r="EV207" s="231">
        <v>65531</v>
      </c>
      <c r="EW207" s="231">
        <v>62696</v>
      </c>
      <c r="EX207" s="231">
        <v>2835</v>
      </c>
      <c r="EY207" s="229">
        <v>4.5199999999999997E-2</v>
      </c>
      <c r="EZ207" s="229">
        <v>0.21240000000000001</v>
      </c>
      <c r="FA207" s="227" t="s">
        <v>567</v>
      </c>
      <c r="FB207" s="161">
        <f t="shared" si="5"/>
        <v>0</v>
      </c>
    </row>
    <row r="208" spans="1:158" ht="17.25" thickBot="1" x14ac:dyDescent="0.3">
      <c r="A208" s="226">
        <v>46146</v>
      </c>
      <c r="B208" s="227" t="s">
        <v>498</v>
      </c>
      <c r="C208" s="227" t="s">
        <v>303</v>
      </c>
      <c r="D208" s="228">
        <v>1355</v>
      </c>
      <c r="E208" s="228">
        <v>647.54999999999995</v>
      </c>
      <c r="F208" s="228">
        <v>646</v>
      </c>
      <c r="G208" s="228">
        <v>1.55</v>
      </c>
      <c r="H208" s="229">
        <v>2.3999999999999998E-3</v>
      </c>
      <c r="I208" s="228">
        <v>643.35</v>
      </c>
      <c r="J208" s="228">
        <v>641.85</v>
      </c>
      <c r="K208" s="228">
        <v>1.5</v>
      </c>
      <c r="L208" s="229">
        <v>2.3E-3</v>
      </c>
      <c r="M208" s="228">
        <v>647.54999999999995</v>
      </c>
      <c r="N208" s="228">
        <v>646</v>
      </c>
      <c r="O208" s="228">
        <v>1.55</v>
      </c>
      <c r="P208" s="229">
        <v>2.3999999999999998E-3</v>
      </c>
      <c r="Q208" s="228">
        <v>651.4</v>
      </c>
      <c r="R208" s="228">
        <v>651.29999999999995</v>
      </c>
      <c r="S208" s="228">
        <v>0.1</v>
      </c>
      <c r="T208" s="229">
        <v>2.0000000000000001E-4</v>
      </c>
      <c r="U208" s="228">
        <v>651.15</v>
      </c>
      <c r="V208" s="228">
        <v>636.5</v>
      </c>
      <c r="W208" s="228">
        <v>14.65</v>
      </c>
      <c r="X208" s="229">
        <v>2.3E-2</v>
      </c>
      <c r="Y208" s="228">
        <v>4.2</v>
      </c>
      <c r="Z208" s="228">
        <v>4.1500000000000004</v>
      </c>
      <c r="AA208" s="228">
        <v>0.05</v>
      </c>
      <c r="AB208" s="229">
        <v>6.4999999999999997E-3</v>
      </c>
      <c r="AC208" s="228">
        <v>4.2</v>
      </c>
      <c r="AD208" s="228">
        <v>4.1500000000000004</v>
      </c>
      <c r="AE208" s="228">
        <v>0.05</v>
      </c>
      <c r="AF208" s="229">
        <v>6.4999999999999997E-3</v>
      </c>
      <c r="AG208" s="228">
        <v>8.0500000000000007</v>
      </c>
      <c r="AH208" s="228">
        <v>9.4499999999999993</v>
      </c>
      <c r="AI208" s="228">
        <v>-1.4</v>
      </c>
      <c r="AJ208" s="229">
        <v>1.2500000000000001E-2</v>
      </c>
      <c r="AK208" s="228">
        <v>7.8</v>
      </c>
      <c r="AL208" s="228">
        <v>-5.35</v>
      </c>
      <c r="AM208" s="228">
        <v>13.15</v>
      </c>
      <c r="AN208" s="229">
        <v>1.21E-2</v>
      </c>
      <c r="AO208" s="228">
        <v>650.77</v>
      </c>
      <c r="AP208" s="228">
        <v>654</v>
      </c>
      <c r="AQ208" s="228">
        <v>0</v>
      </c>
      <c r="AR208" s="230">
        <v>2054180</v>
      </c>
      <c r="AS208" s="230">
        <v>1508115</v>
      </c>
      <c r="AT208" s="230">
        <v>546065</v>
      </c>
      <c r="AU208" s="229">
        <v>0.36209999999999998</v>
      </c>
      <c r="AV208" s="230">
        <v>1978300</v>
      </c>
      <c r="AW208" s="230">
        <v>1432235</v>
      </c>
      <c r="AX208" s="230">
        <v>546065</v>
      </c>
      <c r="AY208" s="229">
        <v>0.38129999999999997</v>
      </c>
      <c r="AZ208" s="230">
        <v>70460</v>
      </c>
      <c r="BA208" s="230">
        <v>67750</v>
      </c>
      <c r="BB208" s="230">
        <v>2710</v>
      </c>
      <c r="BC208" s="229">
        <v>0.04</v>
      </c>
      <c r="BD208" s="230">
        <v>5420</v>
      </c>
      <c r="BE208" s="230">
        <v>8130</v>
      </c>
      <c r="BF208" s="230">
        <v>-2710</v>
      </c>
      <c r="BG208" s="229">
        <v>-0.33329999999999999</v>
      </c>
      <c r="BH208" s="230">
        <v>2731680</v>
      </c>
      <c r="BI208" s="230">
        <v>2490490</v>
      </c>
      <c r="BJ208" s="230">
        <v>241190</v>
      </c>
      <c r="BK208" s="229">
        <v>9.6799999999999997E-2</v>
      </c>
      <c r="BL208" s="230">
        <v>1211370</v>
      </c>
      <c r="BM208" s="230">
        <v>1214080</v>
      </c>
      <c r="BN208" s="230">
        <v>-2710</v>
      </c>
      <c r="BO208" s="229">
        <v>-2.2000000000000001E-3</v>
      </c>
      <c r="BP208" s="230">
        <v>5997230</v>
      </c>
      <c r="BQ208" s="230">
        <v>5212685</v>
      </c>
      <c r="BR208" s="230">
        <v>784545</v>
      </c>
      <c r="BS208" s="229">
        <v>0.15049999999999999</v>
      </c>
      <c r="BT208" s="230">
        <v>2019448</v>
      </c>
      <c r="BU208" s="230">
        <v>2179242</v>
      </c>
      <c r="BV208" s="230">
        <v>-159794</v>
      </c>
      <c r="BW208" s="229">
        <v>-7.3300000000000004E-2</v>
      </c>
      <c r="BX208" s="230">
        <v>28736840</v>
      </c>
      <c r="BY208" s="230">
        <v>28763940</v>
      </c>
      <c r="BZ208" s="230">
        <v>-27100</v>
      </c>
      <c r="CA208" s="229">
        <v>-8.9999999999999998E-4</v>
      </c>
      <c r="CB208" s="230">
        <v>28425190</v>
      </c>
      <c r="CC208" s="230">
        <v>28468550</v>
      </c>
      <c r="CD208" s="230">
        <v>-43360</v>
      </c>
      <c r="CE208" s="229">
        <v>-1.5E-3</v>
      </c>
      <c r="CF208" s="230">
        <v>302165</v>
      </c>
      <c r="CG208" s="230">
        <v>287260</v>
      </c>
      <c r="CH208" s="230">
        <v>14905</v>
      </c>
      <c r="CI208" s="229">
        <v>5.1900000000000002E-2</v>
      </c>
      <c r="CJ208" s="230">
        <v>9485</v>
      </c>
      <c r="CK208" s="230">
        <v>8130</v>
      </c>
      <c r="CL208" s="230">
        <v>1355</v>
      </c>
      <c r="CM208" s="229">
        <v>0.16669999999999999</v>
      </c>
      <c r="CN208" s="230">
        <v>4422720</v>
      </c>
      <c r="CO208" s="230">
        <v>4043320</v>
      </c>
      <c r="CP208" s="230">
        <v>379400</v>
      </c>
      <c r="CQ208" s="229">
        <v>9.3799999999999994E-2</v>
      </c>
      <c r="CR208" s="230">
        <v>3254710</v>
      </c>
      <c r="CS208" s="230">
        <v>3181540</v>
      </c>
      <c r="CT208" s="230">
        <v>73170</v>
      </c>
      <c r="CU208" s="229">
        <v>2.3E-2</v>
      </c>
      <c r="CV208" s="230">
        <v>36414270</v>
      </c>
      <c r="CW208" s="230">
        <v>35988800</v>
      </c>
      <c r="CX208" s="230">
        <v>425470</v>
      </c>
      <c r="CY208" s="229">
        <v>1.18E-2</v>
      </c>
      <c r="CZ208" s="228">
        <v>35.56</v>
      </c>
      <c r="DA208" s="228">
        <v>34.4</v>
      </c>
      <c r="DB208" s="228">
        <v>1.1599999999999999</v>
      </c>
      <c r="DC208" s="228">
        <v>1.1599999999999999</v>
      </c>
      <c r="DD208" s="228">
        <v>41.16</v>
      </c>
      <c r="DE208" s="228">
        <v>41.26</v>
      </c>
      <c r="DF208" s="228">
        <v>-5.6</v>
      </c>
      <c r="DG208" s="228">
        <v>-0.1</v>
      </c>
      <c r="DH208" s="228">
        <v>35.380000000000003</v>
      </c>
      <c r="DI208" s="228">
        <v>34.14</v>
      </c>
      <c r="DJ208" s="228">
        <v>1.24</v>
      </c>
      <c r="DK208" s="228">
        <v>1.24</v>
      </c>
      <c r="DL208" s="228">
        <v>35.96</v>
      </c>
      <c r="DM208" s="228">
        <v>34.93</v>
      </c>
      <c r="DN208" s="228">
        <v>1.03</v>
      </c>
      <c r="DO208" s="228">
        <v>1.03</v>
      </c>
      <c r="DP208" s="228">
        <v>0.74</v>
      </c>
      <c r="DQ208" s="228">
        <v>0.79</v>
      </c>
      <c r="DR208" s="228">
        <v>-0.05</v>
      </c>
      <c r="DS208" s="229">
        <v>-6.3299999999999995E-2</v>
      </c>
      <c r="DT208" s="228">
        <v>650</v>
      </c>
      <c r="DU208" s="228">
        <v>650</v>
      </c>
      <c r="DV208" s="228">
        <v>0.44</v>
      </c>
      <c r="DW208" s="228">
        <v>0.49</v>
      </c>
      <c r="DX208" s="228">
        <v>-0.05</v>
      </c>
      <c r="DY208" s="229">
        <v>-0.10199999999999999</v>
      </c>
      <c r="DZ208" s="229">
        <v>1.0800000000000001E-2</v>
      </c>
      <c r="EA208" s="230">
        <v>295390</v>
      </c>
      <c r="EB208" s="229">
        <v>5.8999999999999999E-3</v>
      </c>
      <c r="EC208" s="229">
        <v>1.0800000000000001E-2</v>
      </c>
      <c r="ED208" s="228">
        <v>3.23</v>
      </c>
      <c r="EE208" s="229">
        <v>5.0000000000000001E-3</v>
      </c>
      <c r="EF208" s="230">
        <v>1262740</v>
      </c>
      <c r="EG208" s="230">
        <v>1243907</v>
      </c>
      <c r="EH208" s="229">
        <v>1.5100000000000001E-2</v>
      </c>
      <c r="EI208" s="229">
        <v>0.62529999999999997</v>
      </c>
      <c r="EJ208" s="231">
        <v>18794.740000000002</v>
      </c>
      <c r="EK208" s="231">
        <v>7825.76</v>
      </c>
      <c r="EL208" s="231">
        <v>13370.14</v>
      </c>
      <c r="EM208" s="231">
        <v>7391</v>
      </c>
      <c r="EN208" s="231">
        <v>39990.639999999999</v>
      </c>
      <c r="EO208" s="231">
        <v>34460.04</v>
      </c>
      <c r="EP208" s="231">
        <v>5530.6</v>
      </c>
      <c r="EQ208" s="229">
        <v>0.1605</v>
      </c>
      <c r="ER208" s="231">
        <v>29714</v>
      </c>
      <c r="ES208" s="231">
        <v>20878</v>
      </c>
      <c r="ET208" s="231">
        <v>186097</v>
      </c>
      <c r="EU208" s="231">
        <v>84189026</v>
      </c>
      <c r="EV208" s="231">
        <v>236690</v>
      </c>
      <c r="EW208" s="231">
        <v>233389</v>
      </c>
      <c r="EX208" s="231">
        <v>3301</v>
      </c>
      <c r="EY208" s="229">
        <v>1.41E-2</v>
      </c>
      <c r="EZ208" s="229">
        <v>0.4325</v>
      </c>
      <c r="FA208" s="227" t="s">
        <v>691</v>
      </c>
      <c r="FB208" s="161">
        <f t="shared" si="5"/>
        <v>0</v>
      </c>
    </row>
    <row r="209" spans="1:158" ht="17.25" thickBot="1" x14ac:dyDescent="0.3">
      <c r="A209" s="226">
        <v>46146</v>
      </c>
      <c r="B209" s="227" t="s">
        <v>168</v>
      </c>
      <c r="C209" s="227" t="s">
        <v>585</v>
      </c>
      <c r="D209" s="228">
        <v>1125</v>
      </c>
      <c r="E209" s="228">
        <v>509.65</v>
      </c>
      <c r="F209" s="228">
        <v>516.79999999999995</v>
      </c>
      <c r="G209" s="228">
        <v>-7.15</v>
      </c>
      <c r="H209" s="229">
        <v>-1.38E-2</v>
      </c>
      <c r="I209" s="228">
        <v>506.75</v>
      </c>
      <c r="J209" s="228">
        <v>513.70000000000005</v>
      </c>
      <c r="K209" s="228">
        <v>-6.95</v>
      </c>
      <c r="L209" s="229">
        <v>-1.35E-2</v>
      </c>
      <c r="M209" s="228">
        <v>509.65</v>
      </c>
      <c r="N209" s="228">
        <v>516.79999999999995</v>
      </c>
      <c r="O209" s="228">
        <v>-7.15</v>
      </c>
      <c r="P209" s="229">
        <v>-1.38E-2</v>
      </c>
      <c r="Q209" s="228">
        <v>512.85</v>
      </c>
      <c r="R209" s="228">
        <v>520.20000000000005</v>
      </c>
      <c r="S209" s="228">
        <v>-7.35</v>
      </c>
      <c r="T209" s="229">
        <v>-1.41E-2</v>
      </c>
      <c r="U209" s="228">
        <v>516.25</v>
      </c>
      <c r="V209" s="228">
        <v>523.45000000000005</v>
      </c>
      <c r="W209" s="228">
        <v>-7.2</v>
      </c>
      <c r="X209" s="229">
        <v>-1.38E-2</v>
      </c>
      <c r="Y209" s="228">
        <v>2.9</v>
      </c>
      <c r="Z209" s="228">
        <v>3.1</v>
      </c>
      <c r="AA209" s="228">
        <v>-0.2</v>
      </c>
      <c r="AB209" s="229">
        <v>5.7000000000000002E-3</v>
      </c>
      <c r="AC209" s="228">
        <v>2.9</v>
      </c>
      <c r="AD209" s="228">
        <v>3.1</v>
      </c>
      <c r="AE209" s="228">
        <v>-0.2</v>
      </c>
      <c r="AF209" s="229">
        <v>5.7000000000000002E-3</v>
      </c>
      <c r="AG209" s="228">
        <v>6.1</v>
      </c>
      <c r="AH209" s="228">
        <v>6.5</v>
      </c>
      <c r="AI209" s="228">
        <v>-0.4</v>
      </c>
      <c r="AJ209" s="229">
        <v>1.2E-2</v>
      </c>
      <c r="AK209" s="228">
        <v>9.5</v>
      </c>
      <c r="AL209" s="228">
        <v>9.75</v>
      </c>
      <c r="AM209" s="228">
        <v>-0.25</v>
      </c>
      <c r="AN209" s="229">
        <v>1.8700000000000001E-2</v>
      </c>
      <c r="AO209" s="228">
        <v>514.33000000000004</v>
      </c>
      <c r="AP209" s="228">
        <v>517.59</v>
      </c>
      <c r="AQ209" s="228">
        <v>0</v>
      </c>
      <c r="AR209" s="230">
        <v>4813875</v>
      </c>
      <c r="AS209" s="230">
        <v>7269750</v>
      </c>
      <c r="AT209" s="230">
        <v>-2455875</v>
      </c>
      <c r="AU209" s="229">
        <v>-0.33779999999999999</v>
      </c>
      <c r="AV209" s="230">
        <v>4656375</v>
      </c>
      <c r="AW209" s="230">
        <v>6993000</v>
      </c>
      <c r="AX209" s="230">
        <v>-2336625</v>
      </c>
      <c r="AY209" s="229">
        <v>-0.33410000000000001</v>
      </c>
      <c r="AZ209" s="230">
        <v>126000</v>
      </c>
      <c r="BA209" s="230">
        <v>253125</v>
      </c>
      <c r="BB209" s="230">
        <v>-127125</v>
      </c>
      <c r="BC209" s="229">
        <v>-0.50219999999999998</v>
      </c>
      <c r="BD209" s="230">
        <v>31500</v>
      </c>
      <c r="BE209" s="230">
        <v>23625</v>
      </c>
      <c r="BF209" s="230">
        <v>7875</v>
      </c>
      <c r="BG209" s="229">
        <v>0.33329999999999999</v>
      </c>
      <c r="BH209" s="230">
        <v>10289250</v>
      </c>
      <c r="BI209" s="230">
        <v>8866125</v>
      </c>
      <c r="BJ209" s="230">
        <v>1423125</v>
      </c>
      <c r="BK209" s="229">
        <v>0.1605</v>
      </c>
      <c r="BL209" s="230">
        <v>4548375</v>
      </c>
      <c r="BM209" s="230">
        <v>6014250</v>
      </c>
      <c r="BN209" s="230">
        <v>-1465875</v>
      </c>
      <c r="BO209" s="229">
        <v>-0.2437</v>
      </c>
      <c r="BP209" s="230">
        <v>19651500</v>
      </c>
      <c r="BQ209" s="230">
        <v>22150125</v>
      </c>
      <c r="BR209" s="230">
        <v>-2498625</v>
      </c>
      <c r="BS209" s="229">
        <v>-0.1128</v>
      </c>
      <c r="BT209" s="230">
        <v>5677122</v>
      </c>
      <c r="BU209" s="230">
        <v>7514844</v>
      </c>
      <c r="BV209" s="230">
        <v>-1837722</v>
      </c>
      <c r="BW209" s="229">
        <v>-0.2445</v>
      </c>
      <c r="BX209" s="230">
        <v>48680100</v>
      </c>
      <c r="BY209" s="230">
        <v>48492450</v>
      </c>
      <c r="BZ209" s="230">
        <v>187650</v>
      </c>
      <c r="CA209" s="229">
        <v>3.8999999999999998E-3</v>
      </c>
      <c r="CB209" s="230">
        <v>47566125</v>
      </c>
      <c r="CC209" s="230">
        <v>47410875</v>
      </c>
      <c r="CD209" s="230">
        <v>155250</v>
      </c>
      <c r="CE209" s="229">
        <v>3.3E-3</v>
      </c>
      <c r="CF209" s="230">
        <v>1083375</v>
      </c>
      <c r="CG209" s="230">
        <v>1058625</v>
      </c>
      <c r="CH209" s="230">
        <v>24750</v>
      </c>
      <c r="CI209" s="229">
        <v>2.3400000000000001E-2</v>
      </c>
      <c r="CJ209" s="230">
        <v>30600</v>
      </c>
      <c r="CK209" s="230">
        <v>22950</v>
      </c>
      <c r="CL209" s="230">
        <v>7650</v>
      </c>
      <c r="CM209" s="229">
        <v>0.33329999999999999</v>
      </c>
      <c r="CN209" s="230">
        <v>11112750</v>
      </c>
      <c r="CO209" s="230">
        <v>10838250</v>
      </c>
      <c r="CP209" s="230">
        <v>274500</v>
      </c>
      <c r="CQ209" s="229">
        <v>2.53E-2</v>
      </c>
      <c r="CR209" s="230">
        <v>6280875</v>
      </c>
      <c r="CS209" s="230">
        <v>5829750</v>
      </c>
      <c r="CT209" s="230">
        <v>451125</v>
      </c>
      <c r="CU209" s="229">
        <v>7.7399999999999997E-2</v>
      </c>
      <c r="CV209" s="230">
        <v>66073725</v>
      </c>
      <c r="CW209" s="230">
        <v>65160450</v>
      </c>
      <c r="CX209" s="230">
        <v>913275</v>
      </c>
      <c r="CY209" s="229">
        <v>1.4E-2</v>
      </c>
      <c r="CZ209" s="228">
        <v>32.83</v>
      </c>
      <c r="DA209" s="228">
        <v>32.33</v>
      </c>
      <c r="DB209" s="228">
        <v>0.5</v>
      </c>
      <c r="DC209" s="228">
        <v>0.5</v>
      </c>
      <c r="DD209" s="228">
        <v>38.9</v>
      </c>
      <c r="DE209" s="228">
        <v>38.950000000000003</v>
      </c>
      <c r="DF209" s="228">
        <v>-6.07</v>
      </c>
      <c r="DG209" s="228">
        <v>-0.05</v>
      </c>
      <c r="DH209" s="228">
        <v>32.35</v>
      </c>
      <c r="DI209" s="228">
        <v>32.31</v>
      </c>
      <c r="DJ209" s="228">
        <v>0.04</v>
      </c>
      <c r="DK209" s="228">
        <v>0.04</v>
      </c>
      <c r="DL209" s="228">
        <v>33.93</v>
      </c>
      <c r="DM209" s="228">
        <v>32.36</v>
      </c>
      <c r="DN209" s="228">
        <v>1.57</v>
      </c>
      <c r="DO209" s="228">
        <v>1.57</v>
      </c>
      <c r="DP209" s="228">
        <v>0.56999999999999995</v>
      </c>
      <c r="DQ209" s="228">
        <v>0.54</v>
      </c>
      <c r="DR209" s="228">
        <v>0.03</v>
      </c>
      <c r="DS209" s="229">
        <v>5.5599999999999997E-2</v>
      </c>
      <c r="DT209" s="228">
        <v>500</v>
      </c>
      <c r="DU209" s="228">
        <v>500</v>
      </c>
      <c r="DV209" s="228">
        <v>0.44</v>
      </c>
      <c r="DW209" s="228">
        <v>0.68</v>
      </c>
      <c r="DX209" s="228">
        <v>-0.24</v>
      </c>
      <c r="DY209" s="229">
        <v>-0.35289999999999999</v>
      </c>
      <c r="DZ209" s="229">
        <v>2.29E-2</v>
      </c>
      <c r="EA209" s="230">
        <v>1081575</v>
      </c>
      <c r="EB209" s="229">
        <v>6.3E-3</v>
      </c>
      <c r="EC209" s="229">
        <v>2.29E-2</v>
      </c>
      <c r="ED209" s="228">
        <v>3.26</v>
      </c>
      <c r="EE209" s="229">
        <v>6.3E-3</v>
      </c>
      <c r="EF209" s="230">
        <v>3138267</v>
      </c>
      <c r="EG209" s="230">
        <v>4404085</v>
      </c>
      <c r="EH209" s="229">
        <v>-0.28739999999999999</v>
      </c>
      <c r="EI209" s="229">
        <v>0.55279999999999996</v>
      </c>
      <c r="EJ209" s="231">
        <v>56750.93</v>
      </c>
      <c r="EK209" s="231">
        <v>22930.55</v>
      </c>
      <c r="EL209" s="231">
        <v>24787.3</v>
      </c>
      <c r="EM209" s="231">
        <v>27296</v>
      </c>
      <c r="EN209" s="231">
        <v>104468.78</v>
      </c>
      <c r="EO209" s="231">
        <v>116775.12</v>
      </c>
      <c r="EP209" s="231">
        <v>-12306.34</v>
      </c>
      <c r="EQ209" s="229">
        <v>-0.10539999999999999</v>
      </c>
      <c r="ER209" s="231">
        <v>59174</v>
      </c>
      <c r="ES209" s="231">
        <v>30880</v>
      </c>
      <c r="ET209" s="231">
        <v>248135</v>
      </c>
      <c r="EU209" s="231">
        <v>205765243</v>
      </c>
      <c r="EV209" s="231">
        <v>338189</v>
      </c>
      <c r="EW209" s="231">
        <v>337250</v>
      </c>
      <c r="EX209" s="228">
        <v>939</v>
      </c>
      <c r="EY209" s="229">
        <v>2.8E-3</v>
      </c>
      <c r="EZ209" s="229">
        <v>0.3211</v>
      </c>
      <c r="FA209" s="227" t="s">
        <v>566</v>
      </c>
      <c r="FB209" s="161">
        <f t="shared" si="5"/>
        <v>0</v>
      </c>
    </row>
    <row r="210" spans="1:158" ht="17.25" thickBot="1" x14ac:dyDescent="0.3">
      <c r="A210" s="226">
        <v>46146</v>
      </c>
      <c r="B210" s="227" t="s">
        <v>227</v>
      </c>
      <c r="C210" s="227" t="s">
        <v>304</v>
      </c>
      <c r="D210" s="228">
        <v>1150</v>
      </c>
      <c r="E210" s="228">
        <v>296</v>
      </c>
      <c r="F210" s="228">
        <v>273.2</v>
      </c>
      <c r="G210" s="228">
        <v>22.8</v>
      </c>
      <c r="H210" s="229">
        <v>8.3500000000000005E-2</v>
      </c>
      <c r="I210" s="228">
        <v>294.64999999999998</v>
      </c>
      <c r="J210" s="228">
        <v>271.55</v>
      </c>
      <c r="K210" s="228">
        <v>23.1</v>
      </c>
      <c r="L210" s="229">
        <v>8.5099999999999995E-2</v>
      </c>
      <c r="M210" s="228">
        <v>296</v>
      </c>
      <c r="N210" s="228">
        <v>273.2</v>
      </c>
      <c r="O210" s="228">
        <v>22.8</v>
      </c>
      <c r="P210" s="229">
        <v>8.3500000000000005E-2</v>
      </c>
      <c r="Q210" s="228">
        <v>297.95</v>
      </c>
      <c r="R210" s="228">
        <v>275.3</v>
      </c>
      <c r="S210" s="228">
        <v>22.65</v>
      </c>
      <c r="T210" s="229">
        <v>8.2299999999999998E-2</v>
      </c>
      <c r="U210" s="228">
        <v>299.10000000000002</v>
      </c>
      <c r="V210" s="228">
        <v>276.10000000000002</v>
      </c>
      <c r="W210" s="228">
        <v>23</v>
      </c>
      <c r="X210" s="229">
        <v>8.3299999999999999E-2</v>
      </c>
      <c r="Y210" s="228">
        <v>1.35</v>
      </c>
      <c r="Z210" s="228">
        <v>1.65</v>
      </c>
      <c r="AA210" s="228">
        <v>-0.3</v>
      </c>
      <c r="AB210" s="229">
        <v>4.5999999999999999E-3</v>
      </c>
      <c r="AC210" s="228">
        <v>1.35</v>
      </c>
      <c r="AD210" s="228">
        <v>1.65</v>
      </c>
      <c r="AE210" s="228">
        <v>-0.3</v>
      </c>
      <c r="AF210" s="229">
        <v>4.5999999999999999E-3</v>
      </c>
      <c r="AG210" s="228">
        <v>3.3</v>
      </c>
      <c r="AH210" s="228">
        <v>3.75</v>
      </c>
      <c r="AI210" s="228">
        <v>-0.45</v>
      </c>
      <c r="AJ210" s="229">
        <v>1.12E-2</v>
      </c>
      <c r="AK210" s="228">
        <v>4.45</v>
      </c>
      <c r="AL210" s="228">
        <v>4.55</v>
      </c>
      <c r="AM210" s="228">
        <v>-0.1</v>
      </c>
      <c r="AN210" s="229">
        <v>1.5100000000000001E-2</v>
      </c>
      <c r="AO210" s="228">
        <v>291.19</v>
      </c>
      <c r="AP210" s="228">
        <v>292.47000000000003</v>
      </c>
      <c r="AQ210" s="228">
        <v>0</v>
      </c>
      <c r="AR210" s="230">
        <v>31089100</v>
      </c>
      <c r="AS210" s="230">
        <v>27654050</v>
      </c>
      <c r="AT210" s="230">
        <v>3435050</v>
      </c>
      <c r="AU210" s="229">
        <v>0.1242</v>
      </c>
      <c r="AV210" s="230">
        <v>29172050</v>
      </c>
      <c r="AW210" s="230">
        <v>27048000</v>
      </c>
      <c r="AX210" s="230">
        <v>2124050</v>
      </c>
      <c r="AY210" s="229">
        <v>7.85E-2</v>
      </c>
      <c r="AZ210" s="230">
        <v>1436350</v>
      </c>
      <c r="BA210" s="230">
        <v>485300</v>
      </c>
      <c r="BB210" s="230">
        <v>951050</v>
      </c>
      <c r="BC210" s="229">
        <v>1.9597</v>
      </c>
      <c r="BD210" s="230">
        <v>480700</v>
      </c>
      <c r="BE210" s="230">
        <v>120750</v>
      </c>
      <c r="BF210" s="230">
        <v>359950</v>
      </c>
      <c r="BG210" s="229">
        <v>2.9809999999999999</v>
      </c>
      <c r="BH210" s="230">
        <v>153604350</v>
      </c>
      <c r="BI210" s="230">
        <v>49279800</v>
      </c>
      <c r="BJ210" s="230">
        <v>104324550</v>
      </c>
      <c r="BK210" s="229">
        <v>2.117</v>
      </c>
      <c r="BL210" s="230">
        <v>46034500</v>
      </c>
      <c r="BM210" s="230">
        <v>28272750</v>
      </c>
      <c r="BN210" s="230">
        <v>17761750</v>
      </c>
      <c r="BO210" s="229">
        <v>0.62819999999999998</v>
      </c>
      <c r="BP210" s="230">
        <v>230727950</v>
      </c>
      <c r="BQ210" s="230">
        <v>105206600</v>
      </c>
      <c r="BR210" s="230">
        <v>125521350</v>
      </c>
      <c r="BS210" s="229">
        <v>1.1931</v>
      </c>
      <c r="BT210" s="230">
        <v>92116248</v>
      </c>
      <c r="BU210" s="230">
        <v>77151197</v>
      </c>
      <c r="BV210" s="230">
        <v>14965051</v>
      </c>
      <c r="BW210" s="229">
        <v>0.19400000000000001</v>
      </c>
      <c r="BX210" s="230">
        <v>21927050</v>
      </c>
      <c r="BY210" s="230">
        <v>14211700</v>
      </c>
      <c r="BZ210" s="230">
        <v>7715350</v>
      </c>
      <c r="CA210" s="229">
        <v>0.54290000000000005</v>
      </c>
      <c r="CB210" s="230">
        <v>20961050</v>
      </c>
      <c r="CC210" s="230">
        <v>13846000</v>
      </c>
      <c r="CD210" s="230">
        <v>7115050</v>
      </c>
      <c r="CE210" s="229">
        <v>0.51390000000000002</v>
      </c>
      <c r="CF210" s="230">
        <v>656650</v>
      </c>
      <c r="CG210" s="230">
        <v>276000</v>
      </c>
      <c r="CH210" s="230">
        <v>380650</v>
      </c>
      <c r="CI210" s="229">
        <v>1.3792</v>
      </c>
      <c r="CJ210" s="230">
        <v>309350</v>
      </c>
      <c r="CK210" s="230">
        <v>89700</v>
      </c>
      <c r="CL210" s="230">
        <v>219650</v>
      </c>
      <c r="CM210" s="229">
        <v>2.4487000000000001</v>
      </c>
      <c r="CN210" s="230">
        <v>24973400</v>
      </c>
      <c r="CO210" s="230">
        <v>16281700</v>
      </c>
      <c r="CP210" s="230">
        <v>8691700</v>
      </c>
      <c r="CQ210" s="229">
        <v>0.53380000000000005</v>
      </c>
      <c r="CR210" s="230">
        <v>12556850</v>
      </c>
      <c r="CS210" s="230">
        <v>7010400</v>
      </c>
      <c r="CT210" s="230">
        <v>5546450</v>
      </c>
      <c r="CU210" s="229">
        <v>0.79120000000000001</v>
      </c>
      <c r="CV210" s="230">
        <v>59457300</v>
      </c>
      <c r="CW210" s="230">
        <v>37503800</v>
      </c>
      <c r="CX210" s="230">
        <v>21953500</v>
      </c>
      <c r="CY210" s="229">
        <v>0.58540000000000003</v>
      </c>
      <c r="CZ210" s="228">
        <v>50.18</v>
      </c>
      <c r="DA210" s="228">
        <v>47.89</v>
      </c>
      <c r="DB210" s="228">
        <v>2.29</v>
      </c>
      <c r="DC210" s="228">
        <v>2.29</v>
      </c>
      <c r="DD210" s="228">
        <v>43.1</v>
      </c>
      <c r="DE210" s="228">
        <v>41.82</v>
      </c>
      <c r="DF210" s="228">
        <v>7.08</v>
      </c>
      <c r="DG210" s="228">
        <v>1.28</v>
      </c>
      <c r="DH210" s="228">
        <v>50.14</v>
      </c>
      <c r="DI210" s="228">
        <v>49.54</v>
      </c>
      <c r="DJ210" s="228">
        <v>0.6</v>
      </c>
      <c r="DK210" s="228">
        <v>0.6</v>
      </c>
      <c r="DL210" s="228">
        <v>50.31</v>
      </c>
      <c r="DM210" s="228">
        <v>45.02</v>
      </c>
      <c r="DN210" s="228">
        <v>5.29</v>
      </c>
      <c r="DO210" s="228">
        <v>5.29</v>
      </c>
      <c r="DP210" s="228">
        <v>0.5</v>
      </c>
      <c r="DQ210" s="228">
        <v>0.43</v>
      </c>
      <c r="DR210" s="228">
        <v>7.0000000000000007E-2</v>
      </c>
      <c r="DS210" s="229">
        <v>0.1628</v>
      </c>
      <c r="DT210" s="228">
        <v>300</v>
      </c>
      <c r="DU210" s="228">
        <v>280</v>
      </c>
      <c r="DV210" s="228">
        <v>0.3</v>
      </c>
      <c r="DW210" s="228">
        <v>0.56999999999999995</v>
      </c>
      <c r="DX210" s="228">
        <v>-0.27</v>
      </c>
      <c r="DY210" s="229">
        <v>-0.47370000000000001</v>
      </c>
      <c r="DZ210" s="229">
        <v>4.41E-2</v>
      </c>
      <c r="EA210" s="230">
        <v>365700</v>
      </c>
      <c r="EB210" s="229">
        <v>6.6E-3</v>
      </c>
      <c r="EC210" s="229">
        <v>4.41E-2</v>
      </c>
      <c r="ED210" s="228">
        <v>1.28</v>
      </c>
      <c r="EE210" s="229">
        <v>4.4000000000000003E-3</v>
      </c>
      <c r="EF210" s="230">
        <v>29384415</v>
      </c>
      <c r="EG210" s="230">
        <v>38888031</v>
      </c>
      <c r="EH210" s="229">
        <v>-0.24440000000000001</v>
      </c>
      <c r="EI210" s="229">
        <v>0.31900000000000001</v>
      </c>
      <c r="EJ210" s="231">
        <v>487366.18</v>
      </c>
      <c r="EK210" s="231">
        <v>129052.78</v>
      </c>
      <c r="EL210" s="231">
        <v>90563.3</v>
      </c>
      <c r="EM210" s="231">
        <v>20833</v>
      </c>
      <c r="EN210" s="231">
        <v>706982.26</v>
      </c>
      <c r="EO210" s="231">
        <v>306177.12</v>
      </c>
      <c r="EP210" s="231">
        <v>400805.14</v>
      </c>
      <c r="EQ210" s="229">
        <v>1.3090999999999999</v>
      </c>
      <c r="ER210" s="231">
        <v>77728</v>
      </c>
      <c r="ES210" s="231">
        <v>33605</v>
      </c>
      <c r="ET210" s="231">
        <v>64926</v>
      </c>
      <c r="EU210" s="231">
        <v>255495438</v>
      </c>
      <c r="EV210" s="231">
        <v>176260</v>
      </c>
      <c r="EW210" s="231">
        <v>106793</v>
      </c>
      <c r="EX210" s="231">
        <v>69467</v>
      </c>
      <c r="EY210" s="229">
        <v>0.65049999999999997</v>
      </c>
      <c r="EZ210" s="229">
        <v>0.23269999999999999</v>
      </c>
      <c r="FA210" s="227" t="s">
        <v>555</v>
      </c>
      <c r="FB210" s="161">
        <f t="shared" si="5"/>
        <v>0</v>
      </c>
    </row>
    <row r="211" spans="1:158" ht="17.25" thickBot="1" x14ac:dyDescent="0.3">
      <c r="A211" s="226">
        <v>46146</v>
      </c>
      <c r="B211" s="227" t="s">
        <v>614</v>
      </c>
      <c r="C211" s="227" t="s">
        <v>695</v>
      </c>
      <c r="D211" s="228">
        <v>4850</v>
      </c>
      <c r="E211" s="228">
        <v>126.2</v>
      </c>
      <c r="F211" s="228">
        <v>123.03</v>
      </c>
      <c r="G211" s="228">
        <v>3.17</v>
      </c>
      <c r="H211" s="229">
        <v>2.58E-2</v>
      </c>
      <c r="I211" s="228">
        <v>125.29</v>
      </c>
      <c r="J211" s="228">
        <v>122.29</v>
      </c>
      <c r="K211" s="228">
        <v>3</v>
      </c>
      <c r="L211" s="229">
        <v>2.4500000000000001E-2</v>
      </c>
      <c r="M211" s="228">
        <v>126.2</v>
      </c>
      <c r="N211" s="228">
        <v>123.03</v>
      </c>
      <c r="O211" s="228">
        <v>3.17</v>
      </c>
      <c r="P211" s="229">
        <v>2.58E-2</v>
      </c>
      <c r="Q211" s="228">
        <v>126.85</v>
      </c>
      <c r="R211" s="228">
        <v>123.58</v>
      </c>
      <c r="S211" s="228">
        <v>3.27</v>
      </c>
      <c r="T211" s="229">
        <v>2.6499999999999999E-2</v>
      </c>
      <c r="U211" s="228">
        <v>122.7</v>
      </c>
      <c r="V211" s="228">
        <v>122.7</v>
      </c>
      <c r="W211" s="228">
        <v>0</v>
      </c>
      <c r="X211" s="229">
        <v>0</v>
      </c>
      <c r="Y211" s="228">
        <v>0.91</v>
      </c>
      <c r="Z211" s="228">
        <v>0.74</v>
      </c>
      <c r="AA211" s="228">
        <v>0.17</v>
      </c>
      <c r="AB211" s="229">
        <v>7.3000000000000001E-3</v>
      </c>
      <c r="AC211" s="228">
        <v>0.91</v>
      </c>
      <c r="AD211" s="228">
        <v>0.74</v>
      </c>
      <c r="AE211" s="228">
        <v>0.17</v>
      </c>
      <c r="AF211" s="229">
        <v>7.3000000000000001E-3</v>
      </c>
      <c r="AG211" s="228">
        <v>1.56</v>
      </c>
      <c r="AH211" s="228">
        <v>1.29</v>
      </c>
      <c r="AI211" s="228">
        <v>0.27</v>
      </c>
      <c r="AJ211" s="229">
        <v>1.2500000000000001E-2</v>
      </c>
      <c r="AK211" s="228">
        <v>-2.59</v>
      </c>
      <c r="AL211" s="228">
        <v>0.41</v>
      </c>
      <c r="AM211" s="228">
        <v>-3</v>
      </c>
      <c r="AN211" s="229">
        <v>-2.07E-2</v>
      </c>
      <c r="AO211" s="228">
        <v>125.38</v>
      </c>
      <c r="AP211" s="228">
        <v>125.31</v>
      </c>
      <c r="AQ211" s="228">
        <v>0</v>
      </c>
      <c r="AR211" s="230">
        <v>3496850</v>
      </c>
      <c r="AS211" s="230">
        <v>3957600</v>
      </c>
      <c r="AT211" s="230">
        <v>-460750</v>
      </c>
      <c r="AU211" s="229">
        <v>-0.1164</v>
      </c>
      <c r="AV211" s="230">
        <v>3298000</v>
      </c>
      <c r="AW211" s="230">
        <v>3627800</v>
      </c>
      <c r="AX211" s="230">
        <v>-329800</v>
      </c>
      <c r="AY211" s="229">
        <v>-9.0899999999999995E-2</v>
      </c>
      <c r="AZ211" s="230">
        <v>198850</v>
      </c>
      <c r="BA211" s="230">
        <v>324950</v>
      </c>
      <c r="BB211" s="230">
        <v>-126100</v>
      </c>
      <c r="BC211" s="229">
        <v>-0.3881</v>
      </c>
      <c r="BD211" s="228">
        <v>0</v>
      </c>
      <c r="BE211" s="230">
        <v>4850</v>
      </c>
      <c r="BF211" s="230">
        <v>-4850</v>
      </c>
      <c r="BG211" s="229">
        <v>-1</v>
      </c>
      <c r="BH211" s="230">
        <v>5111900</v>
      </c>
      <c r="BI211" s="230">
        <v>1779950</v>
      </c>
      <c r="BJ211" s="230">
        <v>3331950</v>
      </c>
      <c r="BK211" s="229">
        <v>1.8718999999999999</v>
      </c>
      <c r="BL211" s="230">
        <v>931200</v>
      </c>
      <c r="BM211" s="230">
        <v>572300</v>
      </c>
      <c r="BN211" s="230">
        <v>358900</v>
      </c>
      <c r="BO211" s="229">
        <v>0.62709999999999999</v>
      </c>
      <c r="BP211" s="230">
        <v>9539950</v>
      </c>
      <c r="BQ211" s="230">
        <v>6309850</v>
      </c>
      <c r="BR211" s="230">
        <v>3230100</v>
      </c>
      <c r="BS211" s="229">
        <v>0.51190000000000002</v>
      </c>
      <c r="BT211" s="230">
        <v>4764473</v>
      </c>
      <c r="BU211" s="230">
        <v>6237821</v>
      </c>
      <c r="BV211" s="230">
        <v>-1473348</v>
      </c>
      <c r="BW211" s="229">
        <v>-0.23619999999999999</v>
      </c>
      <c r="BX211" s="230">
        <v>28163950</v>
      </c>
      <c r="BY211" s="230">
        <v>27470400</v>
      </c>
      <c r="BZ211" s="230">
        <v>693550</v>
      </c>
      <c r="CA211" s="229">
        <v>2.52E-2</v>
      </c>
      <c r="CB211" s="230">
        <v>27732300</v>
      </c>
      <c r="CC211" s="230">
        <v>27096950</v>
      </c>
      <c r="CD211" s="230">
        <v>635350</v>
      </c>
      <c r="CE211" s="229">
        <v>2.3400000000000001E-2</v>
      </c>
      <c r="CF211" s="230">
        <v>378300</v>
      </c>
      <c r="CG211" s="230">
        <v>320100</v>
      </c>
      <c r="CH211" s="230">
        <v>58200</v>
      </c>
      <c r="CI211" s="229">
        <v>0.18179999999999999</v>
      </c>
      <c r="CJ211" s="230">
        <v>53350</v>
      </c>
      <c r="CK211" s="230">
        <v>53350</v>
      </c>
      <c r="CL211" s="228">
        <v>0</v>
      </c>
      <c r="CM211" s="229">
        <v>0</v>
      </c>
      <c r="CN211" s="230">
        <v>3099150</v>
      </c>
      <c r="CO211" s="230">
        <v>2337700</v>
      </c>
      <c r="CP211" s="230">
        <v>761450</v>
      </c>
      <c r="CQ211" s="229">
        <v>0.32569999999999999</v>
      </c>
      <c r="CR211" s="230">
        <v>1493800</v>
      </c>
      <c r="CS211" s="230">
        <v>1333750</v>
      </c>
      <c r="CT211" s="230">
        <v>160050</v>
      </c>
      <c r="CU211" s="229">
        <v>0.12</v>
      </c>
      <c r="CV211" s="230">
        <v>32756900</v>
      </c>
      <c r="CW211" s="230">
        <v>31141850</v>
      </c>
      <c r="CX211" s="230">
        <v>1615050</v>
      </c>
      <c r="CY211" s="229">
        <v>5.1900000000000002E-2</v>
      </c>
      <c r="CZ211" s="228">
        <v>41.25</v>
      </c>
      <c r="DA211" s="228">
        <v>41.9</v>
      </c>
      <c r="DB211" s="228">
        <v>-0.65</v>
      </c>
      <c r="DC211" s="228">
        <v>-0.65</v>
      </c>
      <c r="DD211" s="228">
        <v>38.18</v>
      </c>
      <c r="DE211" s="228">
        <v>38.14</v>
      </c>
      <c r="DF211" s="228">
        <v>3.07</v>
      </c>
      <c r="DG211" s="228">
        <v>0.04</v>
      </c>
      <c r="DH211" s="228">
        <v>40.96</v>
      </c>
      <c r="DI211" s="228">
        <v>41.71</v>
      </c>
      <c r="DJ211" s="228">
        <v>-0.75</v>
      </c>
      <c r="DK211" s="228">
        <v>-0.75</v>
      </c>
      <c r="DL211" s="228">
        <v>42.81</v>
      </c>
      <c r="DM211" s="228">
        <v>42.46</v>
      </c>
      <c r="DN211" s="228">
        <v>0.35</v>
      </c>
      <c r="DO211" s="228">
        <v>0.35</v>
      </c>
      <c r="DP211" s="228">
        <v>0.48</v>
      </c>
      <c r="DQ211" s="228">
        <v>0.56999999999999995</v>
      </c>
      <c r="DR211" s="228">
        <v>-0.09</v>
      </c>
      <c r="DS211" s="229">
        <v>-0.15790000000000001</v>
      </c>
      <c r="DT211" s="228">
        <v>130</v>
      </c>
      <c r="DU211" s="228">
        <v>120</v>
      </c>
      <c r="DV211" s="228">
        <v>0.18</v>
      </c>
      <c r="DW211" s="228">
        <v>0.32</v>
      </c>
      <c r="DX211" s="228">
        <v>-0.14000000000000001</v>
      </c>
      <c r="DY211" s="229">
        <v>-0.4375</v>
      </c>
      <c r="DZ211" s="229">
        <v>1.5299999999999999E-2</v>
      </c>
      <c r="EA211" s="230">
        <v>373450</v>
      </c>
      <c r="EB211" s="229">
        <v>5.1999999999999998E-3</v>
      </c>
      <c r="EC211" s="229">
        <v>1.5299999999999999E-2</v>
      </c>
      <c r="ED211" s="228">
        <v>-7.0000000000000007E-2</v>
      </c>
      <c r="EE211" s="229">
        <v>-5.9999999999999995E-4</v>
      </c>
      <c r="EF211" s="230">
        <v>1934346</v>
      </c>
      <c r="EG211" s="230">
        <v>2781140</v>
      </c>
      <c r="EH211" s="229">
        <v>-0.30449999999999999</v>
      </c>
      <c r="EI211" s="229">
        <v>0.40600000000000003</v>
      </c>
      <c r="EJ211" s="231">
        <v>6760.17</v>
      </c>
      <c r="EK211" s="231">
        <v>1168.8499999999999</v>
      </c>
      <c r="EL211" s="231">
        <v>4384.18</v>
      </c>
      <c r="EM211" s="231">
        <v>2838</v>
      </c>
      <c r="EN211" s="231">
        <v>12313.2</v>
      </c>
      <c r="EO211" s="231">
        <v>7876.32</v>
      </c>
      <c r="EP211" s="231">
        <v>4436.88</v>
      </c>
      <c r="EQ211" s="229">
        <v>0.56330000000000002</v>
      </c>
      <c r="ER211" s="231">
        <v>4003</v>
      </c>
      <c r="ES211" s="231">
        <v>1847</v>
      </c>
      <c r="ET211" s="231">
        <v>35543</v>
      </c>
      <c r="EU211" s="231">
        <v>321828727</v>
      </c>
      <c r="EV211" s="231">
        <v>41393</v>
      </c>
      <c r="EW211" s="231">
        <v>38468</v>
      </c>
      <c r="EX211" s="231">
        <v>2925</v>
      </c>
      <c r="EY211" s="229">
        <v>7.5999999999999998E-2</v>
      </c>
      <c r="EZ211" s="229">
        <v>0.1018</v>
      </c>
      <c r="FA211" s="227" t="s">
        <v>555</v>
      </c>
      <c r="FB211" s="161">
        <f t="shared" si="5"/>
        <v>0</v>
      </c>
    </row>
    <row r="212" spans="1:158" ht="17.25" thickBot="1" x14ac:dyDescent="0.3">
      <c r="A212" s="226">
        <v>46146</v>
      </c>
      <c r="B212" s="227" t="s">
        <v>184</v>
      </c>
      <c r="C212" s="227" t="s">
        <v>305</v>
      </c>
      <c r="D212" s="228">
        <v>375</v>
      </c>
      <c r="E212" s="231">
        <v>1455.3</v>
      </c>
      <c r="F212" s="231">
        <v>1434</v>
      </c>
      <c r="G212" s="228">
        <v>21.3</v>
      </c>
      <c r="H212" s="229">
        <v>1.49E-2</v>
      </c>
      <c r="I212" s="231">
        <v>1454.2</v>
      </c>
      <c r="J212" s="231">
        <v>1430.4</v>
      </c>
      <c r="K212" s="228">
        <v>23.8</v>
      </c>
      <c r="L212" s="229">
        <v>1.66E-2</v>
      </c>
      <c r="M212" s="231">
        <v>1455.3</v>
      </c>
      <c r="N212" s="231">
        <v>1434</v>
      </c>
      <c r="O212" s="228">
        <v>21.3</v>
      </c>
      <c r="P212" s="229">
        <v>1.49E-2</v>
      </c>
      <c r="Q212" s="231">
        <v>1440</v>
      </c>
      <c r="R212" s="231">
        <v>1419.2</v>
      </c>
      <c r="S212" s="228">
        <v>20.8</v>
      </c>
      <c r="T212" s="229">
        <v>1.47E-2</v>
      </c>
      <c r="U212" s="231">
        <v>1430</v>
      </c>
      <c r="V212" s="231">
        <v>1411.7</v>
      </c>
      <c r="W212" s="228">
        <v>18.3</v>
      </c>
      <c r="X212" s="229">
        <v>1.2999999999999999E-2</v>
      </c>
      <c r="Y212" s="228">
        <v>1.1000000000000001</v>
      </c>
      <c r="Z212" s="228">
        <v>3.6</v>
      </c>
      <c r="AA212" s="228">
        <v>-2.5</v>
      </c>
      <c r="AB212" s="229">
        <v>8.0000000000000004E-4</v>
      </c>
      <c r="AC212" s="228">
        <v>1.1000000000000001</v>
      </c>
      <c r="AD212" s="228">
        <v>3.6</v>
      </c>
      <c r="AE212" s="228">
        <v>-2.5</v>
      </c>
      <c r="AF212" s="229">
        <v>8.0000000000000004E-4</v>
      </c>
      <c r="AG212" s="228">
        <v>-14.2</v>
      </c>
      <c r="AH212" s="228">
        <v>-11.2</v>
      </c>
      <c r="AI212" s="228">
        <v>-3</v>
      </c>
      <c r="AJ212" s="229">
        <v>-9.7999999999999997E-3</v>
      </c>
      <c r="AK212" s="228">
        <v>-24.2</v>
      </c>
      <c r="AL212" s="228">
        <v>-18.7</v>
      </c>
      <c r="AM212" s="228">
        <v>-5.5</v>
      </c>
      <c r="AN212" s="229">
        <v>-1.66E-2</v>
      </c>
      <c r="AO212" s="231">
        <v>1441.69</v>
      </c>
      <c r="AP212" s="231">
        <v>1428.35</v>
      </c>
      <c r="AQ212" s="228">
        <v>0</v>
      </c>
      <c r="AR212" s="230">
        <v>1438500</v>
      </c>
      <c r="AS212" s="230">
        <v>1592250</v>
      </c>
      <c r="AT212" s="230">
        <v>-153750</v>
      </c>
      <c r="AU212" s="229">
        <v>-9.6600000000000005E-2</v>
      </c>
      <c r="AV212" s="230">
        <v>1342500</v>
      </c>
      <c r="AW212" s="230">
        <v>1488000</v>
      </c>
      <c r="AX212" s="230">
        <v>-145500</v>
      </c>
      <c r="AY212" s="229">
        <v>-9.7799999999999998E-2</v>
      </c>
      <c r="AZ212" s="230">
        <v>91125</v>
      </c>
      <c r="BA212" s="230">
        <v>99375</v>
      </c>
      <c r="BB212" s="230">
        <v>-8250</v>
      </c>
      <c r="BC212" s="229">
        <v>-8.3000000000000004E-2</v>
      </c>
      <c r="BD212" s="230">
        <v>4875</v>
      </c>
      <c r="BE212" s="230">
        <v>4875</v>
      </c>
      <c r="BF212" s="228">
        <v>0</v>
      </c>
      <c r="BG212" s="229">
        <v>0</v>
      </c>
      <c r="BH212" s="230">
        <v>3276375</v>
      </c>
      <c r="BI212" s="230">
        <v>3225750</v>
      </c>
      <c r="BJ212" s="230">
        <v>50625</v>
      </c>
      <c r="BK212" s="229">
        <v>1.5699999999999999E-2</v>
      </c>
      <c r="BL212" s="230">
        <v>1210500</v>
      </c>
      <c r="BM212" s="230">
        <v>1785750</v>
      </c>
      <c r="BN212" s="230">
        <v>-575250</v>
      </c>
      <c r="BO212" s="229">
        <v>-0.3221</v>
      </c>
      <c r="BP212" s="230">
        <v>5925375</v>
      </c>
      <c r="BQ212" s="230">
        <v>6603750</v>
      </c>
      <c r="BR212" s="230">
        <v>-678375</v>
      </c>
      <c r="BS212" s="229">
        <v>-0.1027</v>
      </c>
      <c r="BT212" s="230">
        <v>525162</v>
      </c>
      <c r="BU212" s="230">
        <v>1388284</v>
      </c>
      <c r="BV212" s="230">
        <v>-863122</v>
      </c>
      <c r="BW212" s="229">
        <v>-0.62170000000000003</v>
      </c>
      <c r="BX212" s="230">
        <v>10036500</v>
      </c>
      <c r="BY212" s="230">
        <v>10114875</v>
      </c>
      <c r="BZ212" s="230">
        <v>-78375</v>
      </c>
      <c r="CA212" s="229">
        <v>-7.7000000000000002E-3</v>
      </c>
      <c r="CB212" s="230">
        <v>9784125</v>
      </c>
      <c r="CC212" s="230">
        <v>9869625</v>
      </c>
      <c r="CD212" s="230">
        <v>-85500</v>
      </c>
      <c r="CE212" s="229">
        <v>-8.6999999999999994E-3</v>
      </c>
      <c r="CF212" s="230">
        <v>231375</v>
      </c>
      <c r="CG212" s="230">
        <v>227625</v>
      </c>
      <c r="CH212" s="230">
        <v>3750</v>
      </c>
      <c r="CI212" s="229">
        <v>1.6500000000000001E-2</v>
      </c>
      <c r="CJ212" s="230">
        <v>21000</v>
      </c>
      <c r="CK212" s="230">
        <v>17625</v>
      </c>
      <c r="CL212" s="230">
        <v>3375</v>
      </c>
      <c r="CM212" s="229">
        <v>0.1915</v>
      </c>
      <c r="CN212" s="230">
        <v>2436750</v>
      </c>
      <c r="CO212" s="230">
        <v>2325000</v>
      </c>
      <c r="CP212" s="230">
        <v>111750</v>
      </c>
      <c r="CQ212" s="229">
        <v>4.8099999999999997E-2</v>
      </c>
      <c r="CR212" s="230">
        <v>1738500</v>
      </c>
      <c r="CS212" s="230">
        <v>1687500</v>
      </c>
      <c r="CT212" s="230">
        <v>51000</v>
      </c>
      <c r="CU212" s="229">
        <v>3.0200000000000001E-2</v>
      </c>
      <c r="CV212" s="230">
        <v>14211750</v>
      </c>
      <c r="CW212" s="230">
        <v>14127375</v>
      </c>
      <c r="CX212" s="230">
        <v>84375</v>
      </c>
      <c r="CY212" s="229">
        <v>6.0000000000000001E-3</v>
      </c>
      <c r="CZ212" s="228">
        <v>44.88</v>
      </c>
      <c r="DA212" s="228">
        <v>43.72</v>
      </c>
      <c r="DB212" s="228">
        <v>1.1599999999999999</v>
      </c>
      <c r="DC212" s="228">
        <v>1.1599999999999999</v>
      </c>
      <c r="DD212" s="228">
        <v>39.97</v>
      </c>
      <c r="DE212" s="228">
        <v>40.020000000000003</v>
      </c>
      <c r="DF212" s="228">
        <v>4.91</v>
      </c>
      <c r="DG212" s="228">
        <v>-0.05</v>
      </c>
      <c r="DH212" s="228">
        <v>44.84</v>
      </c>
      <c r="DI212" s="228">
        <v>43.87</v>
      </c>
      <c r="DJ212" s="228">
        <v>0.97</v>
      </c>
      <c r="DK212" s="228">
        <v>0.97</v>
      </c>
      <c r="DL212" s="228">
        <v>45.01</v>
      </c>
      <c r="DM212" s="228">
        <v>43.46</v>
      </c>
      <c r="DN212" s="228">
        <v>1.55</v>
      </c>
      <c r="DO212" s="228">
        <v>1.55</v>
      </c>
      <c r="DP212" s="228">
        <v>0.71</v>
      </c>
      <c r="DQ212" s="228">
        <v>0.73</v>
      </c>
      <c r="DR212" s="228">
        <v>-0.02</v>
      </c>
      <c r="DS212" s="229">
        <v>-2.7400000000000001E-2</v>
      </c>
      <c r="DT212" s="231">
        <v>1500</v>
      </c>
      <c r="DU212" s="231">
        <v>1400</v>
      </c>
      <c r="DV212" s="228">
        <v>0.37</v>
      </c>
      <c r="DW212" s="228">
        <v>0.55000000000000004</v>
      </c>
      <c r="DX212" s="228">
        <v>-0.18</v>
      </c>
      <c r="DY212" s="229">
        <v>-0.32729999999999998</v>
      </c>
      <c r="DZ212" s="229">
        <v>2.5100000000000001E-2</v>
      </c>
      <c r="EA212" s="230">
        <v>245250</v>
      </c>
      <c r="EB212" s="229">
        <v>-1.0500000000000001E-2</v>
      </c>
      <c r="EC212" s="229">
        <v>2.5100000000000001E-2</v>
      </c>
      <c r="ED212" s="228">
        <v>-13.34</v>
      </c>
      <c r="EE212" s="229">
        <v>-9.2999999999999992E-3</v>
      </c>
      <c r="EF212" s="230">
        <v>102325</v>
      </c>
      <c r="EG212" s="230">
        <v>705284</v>
      </c>
      <c r="EH212" s="229">
        <v>-0.85489999999999999</v>
      </c>
      <c r="EI212" s="229">
        <v>0.1948</v>
      </c>
      <c r="EJ212" s="231">
        <v>51082.33</v>
      </c>
      <c r="EK212" s="231">
        <v>17273.21</v>
      </c>
      <c r="EL212" s="231">
        <v>20725.72</v>
      </c>
      <c r="EM212" s="231">
        <v>11011</v>
      </c>
      <c r="EN212" s="231">
        <v>89081.26</v>
      </c>
      <c r="EO212" s="231">
        <v>98549.23</v>
      </c>
      <c r="EP212" s="231">
        <v>-9467.9699999999993</v>
      </c>
      <c r="EQ212" s="229">
        <v>-9.6100000000000005E-2</v>
      </c>
      <c r="ER212" s="231">
        <v>37397</v>
      </c>
      <c r="ES212" s="231">
        <v>23901</v>
      </c>
      <c r="ET212" s="231">
        <v>146020</v>
      </c>
      <c r="EU212" s="231">
        <v>25134629</v>
      </c>
      <c r="EV212" s="231">
        <v>207319</v>
      </c>
      <c r="EW212" s="231">
        <v>203865</v>
      </c>
      <c r="EX212" s="231">
        <v>3454</v>
      </c>
      <c r="EY212" s="229">
        <v>1.6899999999999998E-2</v>
      </c>
      <c r="EZ212" s="229">
        <v>0.56540000000000001</v>
      </c>
      <c r="FA212" s="227" t="s">
        <v>691</v>
      </c>
      <c r="FB212" s="161">
        <f t="shared" si="5"/>
        <v>0</v>
      </c>
    </row>
    <row r="213" spans="1:158" ht="17.25" thickBot="1" x14ac:dyDescent="0.3">
      <c r="A213" s="226">
        <v>46146</v>
      </c>
      <c r="B213" s="227" t="s">
        <v>184</v>
      </c>
      <c r="C213" s="227" t="s">
        <v>688</v>
      </c>
      <c r="D213" s="228">
        <v>175</v>
      </c>
      <c r="E213" s="231">
        <v>3145</v>
      </c>
      <c r="F213" s="231">
        <v>3133.4</v>
      </c>
      <c r="G213" s="228">
        <v>11.6</v>
      </c>
      <c r="H213" s="229">
        <v>3.7000000000000002E-3</v>
      </c>
      <c r="I213" s="231">
        <v>3136.3</v>
      </c>
      <c r="J213" s="231">
        <v>3118.8</v>
      </c>
      <c r="K213" s="228">
        <v>17.5</v>
      </c>
      <c r="L213" s="229">
        <v>5.5999999999999999E-3</v>
      </c>
      <c r="M213" s="231">
        <v>3145</v>
      </c>
      <c r="N213" s="231">
        <v>3133.4</v>
      </c>
      <c r="O213" s="228">
        <v>11.6</v>
      </c>
      <c r="P213" s="229">
        <v>3.7000000000000002E-3</v>
      </c>
      <c r="Q213" s="231">
        <v>3162.1</v>
      </c>
      <c r="R213" s="231">
        <v>3143.9</v>
      </c>
      <c r="S213" s="228">
        <v>18.2</v>
      </c>
      <c r="T213" s="229">
        <v>5.7999999999999996E-3</v>
      </c>
      <c r="U213" s="231">
        <v>3175.6</v>
      </c>
      <c r="V213" s="231">
        <v>3162.9</v>
      </c>
      <c r="W213" s="228">
        <v>12.7</v>
      </c>
      <c r="X213" s="229">
        <v>4.0000000000000001E-3</v>
      </c>
      <c r="Y213" s="228">
        <v>8.6999999999999993</v>
      </c>
      <c r="Z213" s="228">
        <v>14.6</v>
      </c>
      <c r="AA213" s="228">
        <v>-5.9</v>
      </c>
      <c r="AB213" s="229">
        <v>2.8E-3</v>
      </c>
      <c r="AC213" s="228">
        <v>8.6999999999999993</v>
      </c>
      <c r="AD213" s="228">
        <v>14.6</v>
      </c>
      <c r="AE213" s="228">
        <v>-5.9</v>
      </c>
      <c r="AF213" s="229">
        <v>2.8E-3</v>
      </c>
      <c r="AG213" s="228">
        <v>25.8</v>
      </c>
      <c r="AH213" s="228">
        <v>25.1</v>
      </c>
      <c r="AI213" s="228">
        <v>0.7</v>
      </c>
      <c r="AJ213" s="229">
        <v>8.2000000000000007E-3</v>
      </c>
      <c r="AK213" s="228">
        <v>39.299999999999997</v>
      </c>
      <c r="AL213" s="228">
        <v>44.1</v>
      </c>
      <c r="AM213" s="228">
        <v>-4.8</v>
      </c>
      <c r="AN213" s="229">
        <v>1.2500000000000001E-2</v>
      </c>
      <c r="AO213" s="231">
        <v>3136.83</v>
      </c>
      <c r="AP213" s="231">
        <v>3154.95</v>
      </c>
      <c r="AQ213" s="228">
        <v>0</v>
      </c>
      <c r="AR213" s="230">
        <v>1315300</v>
      </c>
      <c r="AS213" s="230">
        <v>6302100</v>
      </c>
      <c r="AT213" s="230">
        <v>-4986800</v>
      </c>
      <c r="AU213" s="229">
        <v>-0.7913</v>
      </c>
      <c r="AV213" s="230">
        <v>1249675</v>
      </c>
      <c r="AW213" s="230">
        <v>6080725</v>
      </c>
      <c r="AX213" s="230">
        <v>-4831050</v>
      </c>
      <c r="AY213" s="229">
        <v>-0.79449999999999998</v>
      </c>
      <c r="AZ213" s="230">
        <v>58625</v>
      </c>
      <c r="BA213" s="230">
        <v>202475</v>
      </c>
      <c r="BB213" s="230">
        <v>-143850</v>
      </c>
      <c r="BC213" s="229">
        <v>-0.71050000000000002</v>
      </c>
      <c r="BD213" s="230">
        <v>7000</v>
      </c>
      <c r="BE213" s="230">
        <v>18900</v>
      </c>
      <c r="BF213" s="230">
        <v>-11900</v>
      </c>
      <c r="BG213" s="229">
        <v>-0.62960000000000005</v>
      </c>
      <c r="BH213" s="230">
        <v>7647325</v>
      </c>
      <c r="BI213" s="230">
        <v>16884700</v>
      </c>
      <c r="BJ213" s="230">
        <v>-9237375</v>
      </c>
      <c r="BK213" s="229">
        <v>-0.54710000000000003</v>
      </c>
      <c r="BL213" s="230">
        <v>2076550</v>
      </c>
      <c r="BM213" s="230">
        <v>9343075</v>
      </c>
      <c r="BN213" s="230">
        <v>-7266525</v>
      </c>
      <c r="BO213" s="229">
        <v>-0.77769999999999995</v>
      </c>
      <c r="BP213" s="230">
        <v>11039175</v>
      </c>
      <c r="BQ213" s="230">
        <v>32529875</v>
      </c>
      <c r="BR213" s="230">
        <v>-21490700</v>
      </c>
      <c r="BS213" s="229">
        <v>-0.66059999999999997</v>
      </c>
      <c r="BT213" s="230">
        <v>1655282</v>
      </c>
      <c r="BU213" s="230">
        <v>8109147</v>
      </c>
      <c r="BV213" s="230">
        <v>-6453865</v>
      </c>
      <c r="BW213" s="229">
        <v>-0.79590000000000005</v>
      </c>
      <c r="BX213" s="230">
        <v>5821900</v>
      </c>
      <c r="BY213" s="230">
        <v>5839925</v>
      </c>
      <c r="BZ213" s="230">
        <v>-18025</v>
      </c>
      <c r="CA213" s="229">
        <v>-3.0999999999999999E-3</v>
      </c>
      <c r="CB213" s="230">
        <v>5653900</v>
      </c>
      <c r="CC213" s="230">
        <v>5683125</v>
      </c>
      <c r="CD213" s="230">
        <v>-29225</v>
      </c>
      <c r="CE213" s="229">
        <v>-5.1000000000000004E-3</v>
      </c>
      <c r="CF213" s="230">
        <v>152950</v>
      </c>
      <c r="CG213" s="230">
        <v>142100</v>
      </c>
      <c r="CH213" s="230">
        <v>10850</v>
      </c>
      <c r="CI213" s="229">
        <v>7.6399999999999996E-2</v>
      </c>
      <c r="CJ213" s="230">
        <v>15050</v>
      </c>
      <c r="CK213" s="230">
        <v>14700</v>
      </c>
      <c r="CL213" s="228">
        <v>350</v>
      </c>
      <c r="CM213" s="229">
        <v>2.3800000000000002E-2</v>
      </c>
      <c r="CN213" s="230">
        <v>4497150</v>
      </c>
      <c r="CO213" s="230">
        <v>4033750</v>
      </c>
      <c r="CP213" s="230">
        <v>463400</v>
      </c>
      <c r="CQ213" s="229">
        <v>0.1149</v>
      </c>
      <c r="CR213" s="230">
        <v>2242975</v>
      </c>
      <c r="CS213" s="230">
        <v>2023700</v>
      </c>
      <c r="CT213" s="230">
        <v>219275</v>
      </c>
      <c r="CU213" s="229">
        <v>0.1084</v>
      </c>
      <c r="CV213" s="230">
        <v>12562025</v>
      </c>
      <c r="CW213" s="230">
        <v>11897375</v>
      </c>
      <c r="CX213" s="230">
        <v>664650</v>
      </c>
      <c r="CY213" s="229">
        <v>5.5899999999999998E-2</v>
      </c>
      <c r="CZ213" s="228">
        <v>42.29</v>
      </c>
      <c r="DA213" s="228">
        <v>46.62</v>
      </c>
      <c r="DB213" s="228">
        <v>-4.33</v>
      </c>
      <c r="DC213" s="228">
        <v>-4.33</v>
      </c>
      <c r="DD213" s="228">
        <v>54.25</v>
      </c>
      <c r="DE213" s="228">
        <v>54.39</v>
      </c>
      <c r="DF213" s="228">
        <v>-11.96</v>
      </c>
      <c r="DG213" s="228">
        <v>-0.14000000000000001</v>
      </c>
      <c r="DH213" s="228">
        <v>42.82</v>
      </c>
      <c r="DI213" s="228">
        <v>47.29</v>
      </c>
      <c r="DJ213" s="228">
        <v>-4.47</v>
      </c>
      <c r="DK213" s="228">
        <v>-4.47</v>
      </c>
      <c r="DL213" s="228">
        <v>40.32</v>
      </c>
      <c r="DM213" s="228">
        <v>45.43</v>
      </c>
      <c r="DN213" s="228">
        <v>-5.1100000000000003</v>
      </c>
      <c r="DO213" s="228">
        <v>-5.1100000000000003</v>
      </c>
      <c r="DP213" s="228">
        <v>0.5</v>
      </c>
      <c r="DQ213" s="228">
        <v>0.5</v>
      </c>
      <c r="DR213" s="228">
        <v>0</v>
      </c>
      <c r="DS213" s="229">
        <v>0</v>
      </c>
      <c r="DT213" s="231">
        <v>3500</v>
      </c>
      <c r="DU213" s="231">
        <v>3100</v>
      </c>
      <c r="DV213" s="228">
        <v>0.27</v>
      </c>
      <c r="DW213" s="228">
        <v>0.55000000000000004</v>
      </c>
      <c r="DX213" s="228">
        <v>-0.28000000000000003</v>
      </c>
      <c r="DY213" s="229">
        <v>-0.5091</v>
      </c>
      <c r="DZ213" s="229">
        <v>2.8899999999999999E-2</v>
      </c>
      <c r="EA213" s="230">
        <v>156800</v>
      </c>
      <c r="EB213" s="229">
        <v>5.4000000000000003E-3</v>
      </c>
      <c r="EC213" s="229">
        <v>2.8899999999999999E-2</v>
      </c>
      <c r="ED213" s="228">
        <v>18.12</v>
      </c>
      <c r="EE213" s="229">
        <v>5.7999999999999996E-3</v>
      </c>
      <c r="EF213" s="230">
        <v>433267</v>
      </c>
      <c r="EG213" s="230">
        <v>2728980</v>
      </c>
      <c r="EH213" s="229">
        <v>-0.84119999999999995</v>
      </c>
      <c r="EI213" s="229">
        <v>0.26169999999999999</v>
      </c>
      <c r="EJ213" s="231">
        <v>266420.71999999997</v>
      </c>
      <c r="EK213" s="231">
        <v>64413.59</v>
      </c>
      <c r="EL213" s="231">
        <v>41271.379999999997</v>
      </c>
      <c r="EM213" s="231">
        <v>20571</v>
      </c>
      <c r="EN213" s="231">
        <v>372105.69</v>
      </c>
      <c r="EO213" s="231">
        <v>1098481.49</v>
      </c>
      <c r="EP213" s="231">
        <v>-726375.8</v>
      </c>
      <c r="EQ213" s="229">
        <v>-0.6613</v>
      </c>
      <c r="ER213" s="231">
        <v>155840</v>
      </c>
      <c r="ES213" s="231">
        <v>71294</v>
      </c>
      <c r="ET213" s="231">
        <v>183130</v>
      </c>
      <c r="EU213" s="231">
        <v>15436318</v>
      </c>
      <c r="EV213" s="231">
        <v>410264</v>
      </c>
      <c r="EW213" s="231">
        <v>388837</v>
      </c>
      <c r="EX213" s="231">
        <v>21427</v>
      </c>
      <c r="EY213" s="229">
        <v>5.5100000000000003E-2</v>
      </c>
      <c r="EZ213" s="229">
        <v>0.81379999999999997</v>
      </c>
      <c r="FA213" s="227" t="s">
        <v>691</v>
      </c>
      <c r="FB213" s="161">
        <f t="shared" si="5"/>
        <v>0</v>
      </c>
    </row>
    <row r="214" spans="1:158" ht="17.25" thickBot="1" x14ac:dyDescent="0.3">
      <c r="A214" s="226">
        <v>46146</v>
      </c>
      <c r="B214" s="227" t="s">
        <v>221</v>
      </c>
      <c r="C214" s="227" t="s">
        <v>306</v>
      </c>
      <c r="D214" s="228">
        <v>3000</v>
      </c>
      <c r="E214" s="228">
        <v>195.91</v>
      </c>
      <c r="F214" s="228">
        <v>196.75</v>
      </c>
      <c r="G214" s="228">
        <v>-0.84</v>
      </c>
      <c r="H214" s="229">
        <v>-4.3E-3</v>
      </c>
      <c r="I214" s="228">
        <v>200.75</v>
      </c>
      <c r="J214" s="228">
        <v>200.65</v>
      </c>
      <c r="K214" s="228">
        <v>0.1</v>
      </c>
      <c r="L214" s="229">
        <v>5.0000000000000001E-4</v>
      </c>
      <c r="M214" s="228">
        <v>195.91</v>
      </c>
      <c r="N214" s="228">
        <v>196.75</v>
      </c>
      <c r="O214" s="228">
        <v>-0.84</v>
      </c>
      <c r="P214" s="229">
        <v>-4.3E-3</v>
      </c>
      <c r="Q214" s="228">
        <v>190.35</v>
      </c>
      <c r="R214" s="228">
        <v>190.86</v>
      </c>
      <c r="S214" s="228">
        <v>-0.51</v>
      </c>
      <c r="T214" s="229">
        <v>-2.7000000000000001E-3</v>
      </c>
      <c r="U214" s="228">
        <v>188.27</v>
      </c>
      <c r="V214" s="228">
        <v>188.5</v>
      </c>
      <c r="W214" s="228">
        <v>-0.23</v>
      </c>
      <c r="X214" s="229">
        <v>-1.1999999999999999E-3</v>
      </c>
      <c r="Y214" s="228">
        <v>-4.84</v>
      </c>
      <c r="Z214" s="228">
        <v>-3.9</v>
      </c>
      <c r="AA214" s="228">
        <v>-0.94</v>
      </c>
      <c r="AB214" s="229">
        <v>-2.41E-2</v>
      </c>
      <c r="AC214" s="228">
        <v>-4.84</v>
      </c>
      <c r="AD214" s="228">
        <v>-3.9</v>
      </c>
      <c r="AE214" s="228">
        <v>-0.94</v>
      </c>
      <c r="AF214" s="229">
        <v>-2.41E-2</v>
      </c>
      <c r="AG214" s="228">
        <v>-10.4</v>
      </c>
      <c r="AH214" s="228">
        <v>-9.7899999999999991</v>
      </c>
      <c r="AI214" s="228">
        <v>-0.61</v>
      </c>
      <c r="AJ214" s="229">
        <v>-5.1799999999999999E-2</v>
      </c>
      <c r="AK214" s="228">
        <v>-12.48</v>
      </c>
      <c r="AL214" s="228">
        <v>-12.15</v>
      </c>
      <c r="AM214" s="228">
        <v>-0.33</v>
      </c>
      <c r="AN214" s="229">
        <v>-6.2199999999999998E-2</v>
      </c>
      <c r="AO214" s="228">
        <v>196.35</v>
      </c>
      <c r="AP214" s="228">
        <v>190.83</v>
      </c>
      <c r="AQ214" s="228">
        <v>0</v>
      </c>
      <c r="AR214" s="230">
        <v>21015000</v>
      </c>
      <c r="AS214" s="230">
        <v>25869000</v>
      </c>
      <c r="AT214" s="230">
        <v>-4854000</v>
      </c>
      <c r="AU214" s="229">
        <v>-0.18759999999999999</v>
      </c>
      <c r="AV214" s="230">
        <v>16272000</v>
      </c>
      <c r="AW214" s="230">
        <v>21222000</v>
      </c>
      <c r="AX214" s="230">
        <v>-4950000</v>
      </c>
      <c r="AY214" s="229">
        <v>-0.23319999999999999</v>
      </c>
      <c r="AZ214" s="230">
        <v>4170000</v>
      </c>
      <c r="BA214" s="230">
        <v>4059000</v>
      </c>
      <c r="BB214" s="230">
        <v>111000</v>
      </c>
      <c r="BC214" s="229">
        <v>2.7300000000000001E-2</v>
      </c>
      <c r="BD214" s="230">
        <v>573000</v>
      </c>
      <c r="BE214" s="230">
        <v>588000</v>
      </c>
      <c r="BF214" s="230">
        <v>-15000</v>
      </c>
      <c r="BG214" s="229">
        <v>-2.5499999999999998E-2</v>
      </c>
      <c r="BH214" s="230">
        <v>63363000</v>
      </c>
      <c r="BI214" s="230">
        <v>87036000</v>
      </c>
      <c r="BJ214" s="230">
        <v>-23673000</v>
      </c>
      <c r="BK214" s="229">
        <v>-0.27200000000000002</v>
      </c>
      <c r="BL214" s="230">
        <v>29298000</v>
      </c>
      <c r="BM214" s="230">
        <v>36066000</v>
      </c>
      <c r="BN214" s="230">
        <v>-6768000</v>
      </c>
      <c r="BO214" s="229">
        <v>-0.18770000000000001</v>
      </c>
      <c r="BP214" s="230">
        <v>113676000</v>
      </c>
      <c r="BQ214" s="230">
        <v>148971000</v>
      </c>
      <c r="BR214" s="230">
        <v>-35295000</v>
      </c>
      <c r="BS214" s="229">
        <v>-0.2369</v>
      </c>
      <c r="BT214" s="230">
        <v>8902929</v>
      </c>
      <c r="BU214" s="230">
        <v>16238219</v>
      </c>
      <c r="BV214" s="230">
        <v>-7335290</v>
      </c>
      <c r="BW214" s="229">
        <v>-0.45169999999999999</v>
      </c>
      <c r="BX214" s="230">
        <v>298965000</v>
      </c>
      <c r="BY214" s="230">
        <v>292647000</v>
      </c>
      <c r="BZ214" s="230">
        <v>6318000</v>
      </c>
      <c r="CA214" s="229">
        <v>2.1600000000000001E-2</v>
      </c>
      <c r="CB214" s="230">
        <v>270462000</v>
      </c>
      <c r="CC214" s="230">
        <v>266394000</v>
      </c>
      <c r="CD214" s="230">
        <v>4068000</v>
      </c>
      <c r="CE214" s="229">
        <v>1.5299999999999999E-2</v>
      </c>
      <c r="CF214" s="230">
        <v>27009000</v>
      </c>
      <c r="CG214" s="230">
        <v>25086000</v>
      </c>
      <c r="CH214" s="230">
        <v>1923000</v>
      </c>
      <c r="CI214" s="229">
        <v>7.6700000000000004E-2</v>
      </c>
      <c r="CJ214" s="230">
        <v>1494000</v>
      </c>
      <c r="CK214" s="230">
        <v>1167000</v>
      </c>
      <c r="CL214" s="230">
        <v>327000</v>
      </c>
      <c r="CM214" s="229">
        <v>0.2802</v>
      </c>
      <c r="CN214" s="230">
        <v>127791000</v>
      </c>
      <c r="CO214" s="230">
        <v>120318000</v>
      </c>
      <c r="CP214" s="230">
        <v>7473000</v>
      </c>
      <c r="CQ214" s="229">
        <v>6.2100000000000002E-2</v>
      </c>
      <c r="CR214" s="230">
        <v>68178000</v>
      </c>
      <c r="CS214" s="230">
        <v>66285000</v>
      </c>
      <c r="CT214" s="230">
        <v>1893000</v>
      </c>
      <c r="CU214" s="229">
        <v>2.86E-2</v>
      </c>
      <c r="CV214" s="230">
        <v>494934000</v>
      </c>
      <c r="CW214" s="230">
        <v>479250000</v>
      </c>
      <c r="CX214" s="230">
        <v>15684000</v>
      </c>
      <c r="CY214" s="229">
        <v>3.27E-2</v>
      </c>
      <c r="CZ214" s="228">
        <v>31.07</v>
      </c>
      <c r="DA214" s="228">
        <v>29.74</v>
      </c>
      <c r="DB214" s="228">
        <v>1.33</v>
      </c>
      <c r="DC214" s="228">
        <v>1.33</v>
      </c>
      <c r="DD214" s="228">
        <v>31.2</v>
      </c>
      <c r="DE214" s="228">
        <v>31.27</v>
      </c>
      <c r="DF214" s="228">
        <v>-0.13</v>
      </c>
      <c r="DG214" s="228">
        <v>-7.0000000000000007E-2</v>
      </c>
      <c r="DH214" s="228">
        <v>31.96</v>
      </c>
      <c r="DI214" s="228">
        <v>30.24</v>
      </c>
      <c r="DJ214" s="228">
        <v>1.72</v>
      </c>
      <c r="DK214" s="228">
        <v>1.72</v>
      </c>
      <c r="DL214" s="228">
        <v>29.14</v>
      </c>
      <c r="DM214" s="228">
        <v>28.52</v>
      </c>
      <c r="DN214" s="228">
        <v>0.62</v>
      </c>
      <c r="DO214" s="228">
        <v>0.62</v>
      </c>
      <c r="DP214" s="228">
        <v>0.53</v>
      </c>
      <c r="DQ214" s="228">
        <v>0.55000000000000004</v>
      </c>
      <c r="DR214" s="228">
        <v>-0.02</v>
      </c>
      <c r="DS214" s="229">
        <v>-3.6400000000000002E-2</v>
      </c>
      <c r="DT214" s="228">
        <v>210</v>
      </c>
      <c r="DU214" s="228">
        <v>200</v>
      </c>
      <c r="DV214" s="228">
        <v>0.46</v>
      </c>
      <c r="DW214" s="228">
        <v>0.41</v>
      </c>
      <c r="DX214" s="228">
        <v>0.05</v>
      </c>
      <c r="DY214" s="229">
        <v>0.122</v>
      </c>
      <c r="DZ214" s="229">
        <v>9.5299999999999996E-2</v>
      </c>
      <c r="EA214" s="230">
        <v>26253000</v>
      </c>
      <c r="EB214" s="229">
        <v>-2.8400000000000002E-2</v>
      </c>
      <c r="EC214" s="229">
        <v>9.5299999999999996E-2</v>
      </c>
      <c r="ED214" s="228">
        <v>-5.52</v>
      </c>
      <c r="EE214" s="229">
        <v>-2.81E-2</v>
      </c>
      <c r="EF214" s="230">
        <v>4429495</v>
      </c>
      <c r="EG214" s="230">
        <v>8324847</v>
      </c>
      <c r="EH214" s="229">
        <v>-0.46789999999999998</v>
      </c>
      <c r="EI214" s="229">
        <v>0.4975</v>
      </c>
      <c r="EJ214" s="231">
        <v>134327.04999999999</v>
      </c>
      <c r="EK214" s="231">
        <v>57200.28</v>
      </c>
      <c r="EL214" s="231">
        <v>40987.61</v>
      </c>
      <c r="EM214" s="231">
        <v>34400</v>
      </c>
      <c r="EN214" s="231">
        <v>232514.94</v>
      </c>
      <c r="EO214" s="231">
        <v>304224.84000000003</v>
      </c>
      <c r="EP214" s="231">
        <v>-71709.899999999994</v>
      </c>
      <c r="EQ214" s="229">
        <v>-0.23569999999999999</v>
      </c>
      <c r="ER214" s="231">
        <v>271098</v>
      </c>
      <c r="ES214" s="231">
        <v>131831</v>
      </c>
      <c r="ET214" s="231">
        <v>584086</v>
      </c>
      <c r="EU214" s="231">
        <v>428710078</v>
      </c>
      <c r="EV214" s="231">
        <v>987016</v>
      </c>
      <c r="EW214" s="231">
        <v>957611</v>
      </c>
      <c r="EX214" s="231">
        <v>29405</v>
      </c>
      <c r="EY214" s="229">
        <v>3.0700000000000002E-2</v>
      </c>
      <c r="EZ214" s="229">
        <v>1.1545000000000001</v>
      </c>
      <c r="FA214" s="227" t="s">
        <v>566</v>
      </c>
      <c r="FB214" s="161">
        <f t="shared" si="5"/>
        <v>0</v>
      </c>
    </row>
    <row r="215" spans="1:158" ht="17.25" thickBot="1" x14ac:dyDescent="0.3">
      <c r="A215" s="226">
        <v>46146</v>
      </c>
      <c r="B215" s="227" t="s">
        <v>172</v>
      </c>
      <c r="C215" s="227" t="s">
        <v>589</v>
      </c>
      <c r="D215" s="228">
        <v>31100</v>
      </c>
      <c r="E215" s="228">
        <v>20.07</v>
      </c>
      <c r="F215" s="228">
        <v>20.05</v>
      </c>
      <c r="G215" s="228">
        <v>0.02</v>
      </c>
      <c r="H215" s="229">
        <v>1E-3</v>
      </c>
      <c r="I215" s="228">
        <v>19.96</v>
      </c>
      <c r="J215" s="228">
        <v>19.93</v>
      </c>
      <c r="K215" s="228">
        <v>0.03</v>
      </c>
      <c r="L215" s="229">
        <v>1.5E-3</v>
      </c>
      <c r="M215" s="228">
        <v>20.07</v>
      </c>
      <c r="N215" s="228">
        <v>20.05</v>
      </c>
      <c r="O215" s="228">
        <v>0.02</v>
      </c>
      <c r="P215" s="229">
        <v>1E-3</v>
      </c>
      <c r="Q215" s="228">
        <v>20.2</v>
      </c>
      <c r="R215" s="228">
        <v>20.190000000000001</v>
      </c>
      <c r="S215" s="228">
        <v>0.01</v>
      </c>
      <c r="T215" s="229">
        <v>5.0000000000000001E-4</v>
      </c>
      <c r="U215" s="228">
        <v>20.329999999999998</v>
      </c>
      <c r="V215" s="228">
        <v>20.27</v>
      </c>
      <c r="W215" s="228">
        <v>0.06</v>
      </c>
      <c r="X215" s="229">
        <v>3.0000000000000001E-3</v>
      </c>
      <c r="Y215" s="228">
        <v>0.11</v>
      </c>
      <c r="Z215" s="228">
        <v>0.12</v>
      </c>
      <c r="AA215" s="228">
        <v>-0.01</v>
      </c>
      <c r="AB215" s="229">
        <v>5.4999999999999997E-3</v>
      </c>
      <c r="AC215" s="228">
        <v>0.11</v>
      </c>
      <c r="AD215" s="228">
        <v>0.12</v>
      </c>
      <c r="AE215" s="228">
        <v>-0.01</v>
      </c>
      <c r="AF215" s="229">
        <v>5.4999999999999997E-3</v>
      </c>
      <c r="AG215" s="228">
        <v>0.24</v>
      </c>
      <c r="AH215" s="228">
        <v>0.26</v>
      </c>
      <c r="AI215" s="228">
        <v>-0.02</v>
      </c>
      <c r="AJ215" s="229">
        <v>1.2E-2</v>
      </c>
      <c r="AK215" s="228">
        <v>0.37</v>
      </c>
      <c r="AL215" s="228">
        <v>0.34</v>
      </c>
      <c r="AM215" s="228">
        <v>0.03</v>
      </c>
      <c r="AN215" s="229">
        <v>1.8499999999999999E-2</v>
      </c>
      <c r="AO215" s="228">
        <v>20.170000000000002</v>
      </c>
      <c r="AP215" s="228">
        <v>20.32</v>
      </c>
      <c r="AQ215" s="228">
        <v>0</v>
      </c>
      <c r="AR215" s="230">
        <v>103874000</v>
      </c>
      <c r="AS215" s="230">
        <v>129531500</v>
      </c>
      <c r="AT215" s="230">
        <v>-25657500</v>
      </c>
      <c r="AU215" s="229">
        <v>-0.1981</v>
      </c>
      <c r="AV215" s="230">
        <v>86924500</v>
      </c>
      <c r="AW215" s="230">
        <v>108414600</v>
      </c>
      <c r="AX215" s="230">
        <v>-21490100</v>
      </c>
      <c r="AY215" s="229">
        <v>-0.19819999999999999</v>
      </c>
      <c r="AZ215" s="230">
        <v>15301200</v>
      </c>
      <c r="BA215" s="230">
        <v>14679200</v>
      </c>
      <c r="BB215" s="230">
        <v>622000</v>
      </c>
      <c r="BC215" s="229">
        <v>4.24E-2</v>
      </c>
      <c r="BD215" s="230">
        <v>1648300</v>
      </c>
      <c r="BE215" s="230">
        <v>6437700</v>
      </c>
      <c r="BF215" s="230">
        <v>-4789400</v>
      </c>
      <c r="BG215" s="229">
        <v>-0.74399999999999999</v>
      </c>
      <c r="BH215" s="230">
        <v>296631800</v>
      </c>
      <c r="BI215" s="230">
        <v>384240500</v>
      </c>
      <c r="BJ215" s="230">
        <v>-87608700</v>
      </c>
      <c r="BK215" s="229">
        <v>-0.22800000000000001</v>
      </c>
      <c r="BL215" s="230">
        <v>108570100</v>
      </c>
      <c r="BM215" s="230">
        <v>119424000</v>
      </c>
      <c r="BN215" s="230">
        <v>-10853900</v>
      </c>
      <c r="BO215" s="229">
        <v>-9.0899999999999995E-2</v>
      </c>
      <c r="BP215" s="230">
        <v>509075900</v>
      </c>
      <c r="BQ215" s="230">
        <v>633196000</v>
      </c>
      <c r="BR215" s="230">
        <v>-124120100</v>
      </c>
      <c r="BS215" s="229">
        <v>-0.19600000000000001</v>
      </c>
      <c r="BT215" s="230">
        <v>70162584</v>
      </c>
      <c r="BU215" s="230">
        <v>73155380</v>
      </c>
      <c r="BV215" s="230">
        <v>-2992796</v>
      </c>
      <c r="BW215" s="229">
        <v>-4.0899999999999999E-2</v>
      </c>
      <c r="BX215" s="230">
        <v>1229134200</v>
      </c>
      <c r="BY215" s="230">
        <v>1227143800</v>
      </c>
      <c r="BZ215" s="230">
        <v>1990400</v>
      </c>
      <c r="CA215" s="229">
        <v>1.6000000000000001E-3</v>
      </c>
      <c r="CB215" s="230">
        <v>1146346000</v>
      </c>
      <c r="CC215" s="230">
        <v>1154836300</v>
      </c>
      <c r="CD215" s="230">
        <v>-8490300</v>
      </c>
      <c r="CE215" s="229">
        <v>-7.4000000000000003E-3</v>
      </c>
      <c r="CF215" s="230">
        <v>74982100</v>
      </c>
      <c r="CG215" s="230">
        <v>65216700</v>
      </c>
      <c r="CH215" s="230">
        <v>9765400</v>
      </c>
      <c r="CI215" s="229">
        <v>0.1497</v>
      </c>
      <c r="CJ215" s="230">
        <v>7806100</v>
      </c>
      <c r="CK215" s="230">
        <v>7090800</v>
      </c>
      <c r="CL215" s="230">
        <v>715300</v>
      </c>
      <c r="CM215" s="229">
        <v>0.1009</v>
      </c>
      <c r="CN215" s="230">
        <v>357836600</v>
      </c>
      <c r="CO215" s="230">
        <v>356561500</v>
      </c>
      <c r="CP215" s="230">
        <v>1275100</v>
      </c>
      <c r="CQ215" s="229">
        <v>3.5999999999999999E-3</v>
      </c>
      <c r="CR215" s="230">
        <v>174782000</v>
      </c>
      <c r="CS215" s="230">
        <v>168157700</v>
      </c>
      <c r="CT215" s="230">
        <v>6624300</v>
      </c>
      <c r="CU215" s="229">
        <v>3.9399999999999998E-2</v>
      </c>
      <c r="CV215" s="230">
        <v>1761752800</v>
      </c>
      <c r="CW215" s="230">
        <v>1751863000</v>
      </c>
      <c r="CX215" s="230">
        <v>9889800</v>
      </c>
      <c r="CY215" s="229">
        <v>5.5999999999999999E-3</v>
      </c>
      <c r="CZ215" s="228">
        <v>32.93</v>
      </c>
      <c r="DA215" s="228">
        <v>31.45</v>
      </c>
      <c r="DB215" s="228">
        <v>1.48</v>
      </c>
      <c r="DC215" s="228">
        <v>1.48</v>
      </c>
      <c r="DD215" s="228">
        <v>37.96</v>
      </c>
      <c r="DE215" s="228">
        <v>38.06</v>
      </c>
      <c r="DF215" s="228">
        <v>-5.03</v>
      </c>
      <c r="DG215" s="228">
        <v>-0.1</v>
      </c>
      <c r="DH215" s="228">
        <v>34.24</v>
      </c>
      <c r="DI215" s="228">
        <v>32.22</v>
      </c>
      <c r="DJ215" s="228">
        <v>2.02</v>
      </c>
      <c r="DK215" s="228">
        <v>2.02</v>
      </c>
      <c r="DL215" s="228">
        <v>29.34</v>
      </c>
      <c r="DM215" s="228">
        <v>28.96</v>
      </c>
      <c r="DN215" s="228">
        <v>0.38</v>
      </c>
      <c r="DO215" s="228">
        <v>0.38</v>
      </c>
      <c r="DP215" s="228">
        <v>0.49</v>
      </c>
      <c r="DQ215" s="228">
        <v>0.47</v>
      </c>
      <c r="DR215" s="228">
        <v>0.02</v>
      </c>
      <c r="DS215" s="229">
        <v>4.2599999999999999E-2</v>
      </c>
      <c r="DT215" s="228">
        <v>20</v>
      </c>
      <c r="DU215" s="228">
        <v>20</v>
      </c>
      <c r="DV215" s="228">
        <v>0.37</v>
      </c>
      <c r="DW215" s="228">
        <v>0.31</v>
      </c>
      <c r="DX215" s="228">
        <v>0.06</v>
      </c>
      <c r="DY215" s="229">
        <v>0.19350000000000001</v>
      </c>
      <c r="DZ215" s="229">
        <v>6.7400000000000002E-2</v>
      </c>
      <c r="EA215" s="230">
        <v>72307500</v>
      </c>
      <c r="EB215" s="229">
        <v>6.4999999999999997E-3</v>
      </c>
      <c r="EC215" s="229">
        <v>6.7400000000000002E-2</v>
      </c>
      <c r="ED215" s="228">
        <v>0.15</v>
      </c>
      <c r="EE215" s="229">
        <v>7.4000000000000003E-3</v>
      </c>
      <c r="EF215" s="230">
        <v>31009236</v>
      </c>
      <c r="EG215" s="230">
        <v>30783144</v>
      </c>
      <c r="EH215" s="229">
        <v>7.3000000000000001E-3</v>
      </c>
      <c r="EI215" s="229">
        <v>0.442</v>
      </c>
      <c r="EJ215" s="231">
        <v>65447.96</v>
      </c>
      <c r="EK215" s="231">
        <v>21675.3</v>
      </c>
      <c r="EL215" s="231">
        <v>20978.33</v>
      </c>
      <c r="EM215" s="231">
        <v>11950</v>
      </c>
      <c r="EN215" s="231">
        <v>108101.59</v>
      </c>
      <c r="EO215" s="231">
        <v>134003.47</v>
      </c>
      <c r="EP215" s="231">
        <v>-25901.88</v>
      </c>
      <c r="EQ215" s="229">
        <v>-0.1933</v>
      </c>
      <c r="ER215" s="231">
        <v>77158</v>
      </c>
      <c r="ES215" s="231">
        <v>34269</v>
      </c>
      <c r="ET215" s="231">
        <v>246805</v>
      </c>
      <c r="EU215" s="231">
        <v>3425130022</v>
      </c>
      <c r="EV215" s="231">
        <v>358232</v>
      </c>
      <c r="EW215" s="231">
        <v>355950</v>
      </c>
      <c r="EX215" s="231">
        <v>2282</v>
      </c>
      <c r="EY215" s="229">
        <v>6.4000000000000003E-3</v>
      </c>
      <c r="EZ215" s="229">
        <v>0.51439999999999997</v>
      </c>
      <c r="FA215" s="227" t="s">
        <v>555</v>
      </c>
      <c r="FB215" s="161">
        <f t="shared" si="5"/>
        <v>0</v>
      </c>
    </row>
    <row r="216" spans="1:158" ht="17.25" thickBot="1" x14ac:dyDescent="0.3">
      <c r="A216" s="226">
        <v>46146</v>
      </c>
      <c r="B216" s="227" t="s">
        <v>170</v>
      </c>
      <c r="C216" s="227" t="s">
        <v>556</v>
      </c>
      <c r="D216" s="228">
        <v>900</v>
      </c>
      <c r="E216" s="228">
        <v>906.7</v>
      </c>
      <c r="F216" s="228">
        <v>897.6</v>
      </c>
      <c r="G216" s="228">
        <v>9.1</v>
      </c>
      <c r="H216" s="229">
        <v>1.01E-2</v>
      </c>
      <c r="I216" s="228">
        <v>902.35</v>
      </c>
      <c r="J216" s="228">
        <v>891.9</v>
      </c>
      <c r="K216" s="228">
        <v>10.45</v>
      </c>
      <c r="L216" s="229">
        <v>1.17E-2</v>
      </c>
      <c r="M216" s="228">
        <v>906.7</v>
      </c>
      <c r="N216" s="228">
        <v>897.6</v>
      </c>
      <c r="O216" s="228">
        <v>9.1</v>
      </c>
      <c r="P216" s="229">
        <v>1.01E-2</v>
      </c>
      <c r="Q216" s="228">
        <v>913.35</v>
      </c>
      <c r="R216" s="228">
        <v>902.85</v>
      </c>
      <c r="S216" s="228">
        <v>10.5</v>
      </c>
      <c r="T216" s="229">
        <v>1.1599999999999999E-2</v>
      </c>
      <c r="U216" s="228">
        <v>910.2</v>
      </c>
      <c r="V216" s="228">
        <v>903</v>
      </c>
      <c r="W216" s="228">
        <v>7.2</v>
      </c>
      <c r="X216" s="229">
        <v>8.0000000000000002E-3</v>
      </c>
      <c r="Y216" s="228">
        <v>4.3499999999999996</v>
      </c>
      <c r="Z216" s="228">
        <v>5.7</v>
      </c>
      <c r="AA216" s="228">
        <v>-1.35</v>
      </c>
      <c r="AB216" s="229">
        <v>4.7999999999999996E-3</v>
      </c>
      <c r="AC216" s="228">
        <v>4.3499999999999996</v>
      </c>
      <c r="AD216" s="228">
        <v>5.7</v>
      </c>
      <c r="AE216" s="228">
        <v>-1.35</v>
      </c>
      <c r="AF216" s="229">
        <v>4.7999999999999996E-3</v>
      </c>
      <c r="AG216" s="228">
        <v>11</v>
      </c>
      <c r="AH216" s="228">
        <v>10.95</v>
      </c>
      <c r="AI216" s="228">
        <v>0.05</v>
      </c>
      <c r="AJ216" s="229">
        <v>1.2200000000000001E-2</v>
      </c>
      <c r="AK216" s="228">
        <v>7.85</v>
      </c>
      <c r="AL216" s="228">
        <v>11.1</v>
      </c>
      <c r="AM216" s="228">
        <v>-3.25</v>
      </c>
      <c r="AN216" s="229">
        <v>8.6999999999999994E-3</v>
      </c>
      <c r="AO216" s="228">
        <v>905.21</v>
      </c>
      <c r="AP216" s="228">
        <v>909.94</v>
      </c>
      <c r="AQ216" s="228">
        <v>0</v>
      </c>
      <c r="AR216" s="230">
        <v>912600</v>
      </c>
      <c r="AS216" s="230">
        <v>1331100</v>
      </c>
      <c r="AT216" s="230">
        <v>-418500</v>
      </c>
      <c r="AU216" s="229">
        <v>-0.31440000000000001</v>
      </c>
      <c r="AV216" s="230">
        <v>877500</v>
      </c>
      <c r="AW216" s="230">
        <v>1266300</v>
      </c>
      <c r="AX216" s="230">
        <v>-388800</v>
      </c>
      <c r="AY216" s="229">
        <v>-0.307</v>
      </c>
      <c r="AZ216" s="230">
        <v>33300</v>
      </c>
      <c r="BA216" s="230">
        <v>57600</v>
      </c>
      <c r="BB216" s="230">
        <v>-24300</v>
      </c>
      <c r="BC216" s="229">
        <v>-0.4219</v>
      </c>
      <c r="BD216" s="230">
        <v>1800</v>
      </c>
      <c r="BE216" s="230">
        <v>7200</v>
      </c>
      <c r="BF216" s="230">
        <v>-5400</v>
      </c>
      <c r="BG216" s="229">
        <v>-0.75</v>
      </c>
      <c r="BH216" s="230">
        <v>1527300</v>
      </c>
      <c r="BI216" s="230">
        <v>1789200</v>
      </c>
      <c r="BJ216" s="230">
        <v>-261900</v>
      </c>
      <c r="BK216" s="229">
        <v>-0.1464</v>
      </c>
      <c r="BL216" s="230">
        <v>479700</v>
      </c>
      <c r="BM216" s="230">
        <v>865800</v>
      </c>
      <c r="BN216" s="230">
        <v>-386100</v>
      </c>
      <c r="BO216" s="229">
        <v>-0.44590000000000002</v>
      </c>
      <c r="BP216" s="230">
        <v>2919600</v>
      </c>
      <c r="BQ216" s="230">
        <v>3986100</v>
      </c>
      <c r="BR216" s="230">
        <v>-1066500</v>
      </c>
      <c r="BS216" s="229">
        <v>-0.2676</v>
      </c>
      <c r="BT216" s="230">
        <v>398116</v>
      </c>
      <c r="BU216" s="230">
        <v>1000761</v>
      </c>
      <c r="BV216" s="230">
        <v>-602645</v>
      </c>
      <c r="BW216" s="229">
        <v>-0.60219999999999996</v>
      </c>
      <c r="BX216" s="230">
        <v>9638100</v>
      </c>
      <c r="BY216" s="230">
        <v>9614700</v>
      </c>
      <c r="BZ216" s="230">
        <v>23400</v>
      </c>
      <c r="CA216" s="229">
        <v>2.3999999999999998E-3</v>
      </c>
      <c r="CB216" s="230">
        <v>9375300</v>
      </c>
      <c r="CC216" s="230">
        <v>9366300</v>
      </c>
      <c r="CD216" s="230">
        <v>9000</v>
      </c>
      <c r="CE216" s="229">
        <v>1E-3</v>
      </c>
      <c r="CF216" s="230">
        <v>249300</v>
      </c>
      <c r="CG216" s="230">
        <v>236700</v>
      </c>
      <c r="CH216" s="230">
        <v>12600</v>
      </c>
      <c r="CI216" s="229">
        <v>5.3199999999999997E-2</v>
      </c>
      <c r="CJ216" s="230">
        <v>13500</v>
      </c>
      <c r="CK216" s="230">
        <v>11700</v>
      </c>
      <c r="CL216" s="230">
        <v>1800</v>
      </c>
      <c r="CM216" s="229">
        <v>0.15379999999999999</v>
      </c>
      <c r="CN216" s="230">
        <v>2944800</v>
      </c>
      <c r="CO216" s="230">
        <v>2664000</v>
      </c>
      <c r="CP216" s="230">
        <v>280800</v>
      </c>
      <c r="CQ216" s="229">
        <v>0.10539999999999999</v>
      </c>
      <c r="CR216" s="230">
        <v>2098800</v>
      </c>
      <c r="CS216" s="230">
        <v>2071800</v>
      </c>
      <c r="CT216" s="230">
        <v>27000</v>
      </c>
      <c r="CU216" s="229">
        <v>1.2999999999999999E-2</v>
      </c>
      <c r="CV216" s="230">
        <v>14681700</v>
      </c>
      <c r="CW216" s="230">
        <v>14350500</v>
      </c>
      <c r="CX216" s="230">
        <v>331200</v>
      </c>
      <c r="CY216" s="229">
        <v>2.3099999999999999E-2</v>
      </c>
      <c r="CZ216" s="228">
        <v>30.15</v>
      </c>
      <c r="DA216" s="228">
        <v>30.12</v>
      </c>
      <c r="DB216" s="228">
        <v>0.03</v>
      </c>
      <c r="DC216" s="228">
        <v>0.03</v>
      </c>
      <c r="DD216" s="228">
        <v>28.1</v>
      </c>
      <c r="DE216" s="228">
        <v>28.13</v>
      </c>
      <c r="DF216" s="228">
        <v>2.0499999999999998</v>
      </c>
      <c r="DG216" s="228">
        <v>-0.03</v>
      </c>
      <c r="DH216" s="228">
        <v>30.01</v>
      </c>
      <c r="DI216" s="228">
        <v>30.28</v>
      </c>
      <c r="DJ216" s="228">
        <v>-0.27</v>
      </c>
      <c r="DK216" s="228">
        <v>-0.27</v>
      </c>
      <c r="DL216" s="228">
        <v>30.6</v>
      </c>
      <c r="DM216" s="228">
        <v>29.77</v>
      </c>
      <c r="DN216" s="228">
        <v>0.83</v>
      </c>
      <c r="DO216" s="228">
        <v>0.83</v>
      </c>
      <c r="DP216" s="228">
        <v>0.71</v>
      </c>
      <c r="DQ216" s="228">
        <v>0.78</v>
      </c>
      <c r="DR216" s="228">
        <v>-7.0000000000000007E-2</v>
      </c>
      <c r="DS216" s="229">
        <v>-8.9700000000000002E-2</v>
      </c>
      <c r="DT216" s="231">
        <v>1000</v>
      </c>
      <c r="DU216" s="228">
        <v>900</v>
      </c>
      <c r="DV216" s="228">
        <v>0.31</v>
      </c>
      <c r="DW216" s="228">
        <v>0.48</v>
      </c>
      <c r="DX216" s="228">
        <v>-0.17</v>
      </c>
      <c r="DY216" s="229">
        <v>-0.35420000000000001</v>
      </c>
      <c r="DZ216" s="229">
        <v>2.7300000000000001E-2</v>
      </c>
      <c r="EA216" s="230">
        <v>248400</v>
      </c>
      <c r="EB216" s="229">
        <v>7.3000000000000001E-3</v>
      </c>
      <c r="EC216" s="229">
        <v>2.7300000000000001E-2</v>
      </c>
      <c r="ED216" s="228">
        <v>4.7300000000000004</v>
      </c>
      <c r="EE216" s="229">
        <v>5.1999999999999998E-3</v>
      </c>
      <c r="EF216" s="230">
        <v>184131</v>
      </c>
      <c r="EG216" s="230">
        <v>571743</v>
      </c>
      <c r="EH216" s="229">
        <v>-0.67789999999999995</v>
      </c>
      <c r="EI216" s="229">
        <v>0.46250000000000002</v>
      </c>
      <c r="EJ216" s="231">
        <v>14767.89</v>
      </c>
      <c r="EK216" s="231">
        <v>4280.38</v>
      </c>
      <c r="EL216" s="231">
        <v>8262.5499999999993</v>
      </c>
      <c r="EM216" s="231">
        <v>4430</v>
      </c>
      <c r="EN216" s="231">
        <v>27310.82</v>
      </c>
      <c r="EO216" s="231">
        <v>37038.29</v>
      </c>
      <c r="EP216" s="231">
        <v>-9727.4699999999993</v>
      </c>
      <c r="EQ216" s="229">
        <v>-0.2626</v>
      </c>
      <c r="ER216" s="231">
        <v>28621</v>
      </c>
      <c r="ES216" s="231">
        <v>19096</v>
      </c>
      <c r="ET216" s="231">
        <v>87406</v>
      </c>
      <c r="EU216" s="231">
        <v>25160867</v>
      </c>
      <c r="EV216" s="231">
        <v>135123</v>
      </c>
      <c r="EW216" s="231">
        <v>131052</v>
      </c>
      <c r="EX216" s="231">
        <v>4071</v>
      </c>
      <c r="EY216" s="229">
        <v>3.1099999999999999E-2</v>
      </c>
      <c r="EZ216" s="229">
        <v>0.58350000000000002</v>
      </c>
      <c r="FA216" s="227" t="s">
        <v>555</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5" sqref="J5"/>
    </sheetView>
  </sheetViews>
  <sheetFormatPr defaultColWidth="13.7109375" defaultRowHeight="15" x14ac:dyDescent="0.25"/>
  <cols>
    <col min="1" max="1" width="23.85546875" customWidth="1"/>
    <col min="2" max="2" width="12.57031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46146</v>
      </c>
      <c r="C2" s="230">
        <v>25290996</v>
      </c>
      <c r="D2" s="230">
        <v>3926983</v>
      </c>
      <c r="E2" s="230">
        <v>25264253</v>
      </c>
      <c r="F2" s="230">
        <v>3920403</v>
      </c>
      <c r="G2" s="230">
        <v>26743</v>
      </c>
      <c r="H2" s="230">
        <v>6580</v>
      </c>
      <c r="I2" s="230">
        <v>12110931</v>
      </c>
      <c r="J2" s="230">
        <v>1181671</v>
      </c>
      <c r="K2" s="230">
        <v>1281629</v>
      </c>
      <c r="L2" s="230">
        <v>196537</v>
      </c>
      <c r="M2" s="230">
        <v>13392560</v>
      </c>
      <c r="N2" s="230">
        <v>1378207</v>
      </c>
      <c r="O2" s="61"/>
      <c r="P2" s="61"/>
      <c r="Q2" s="61"/>
      <c r="R2" s="61"/>
      <c r="S2" s="61"/>
      <c r="U2" t="s">
        <v>453</v>
      </c>
      <c r="V2">
        <f>SUM('Data Vlaue (Cr)'!CD:CD)</f>
        <v>517724</v>
      </c>
      <c r="W2" t="s">
        <v>454</v>
      </c>
    </row>
    <row r="3" spans="1:23" ht="17.25" thickBot="1" x14ac:dyDescent="0.3">
      <c r="A3" s="227" t="s">
        <v>616</v>
      </c>
      <c r="B3" s="226">
        <v>46146</v>
      </c>
      <c r="C3" s="230">
        <v>5015</v>
      </c>
      <c r="D3" s="228">
        <v>834</v>
      </c>
      <c r="E3" s="230">
        <v>4664</v>
      </c>
      <c r="F3" s="228">
        <v>776</v>
      </c>
      <c r="G3" s="228">
        <v>351</v>
      </c>
      <c r="H3" s="228">
        <v>58</v>
      </c>
      <c r="I3" s="230">
        <v>49314</v>
      </c>
      <c r="J3" s="230">
        <v>8167</v>
      </c>
      <c r="K3" s="228">
        <v>-629</v>
      </c>
      <c r="L3" s="228">
        <v>-110</v>
      </c>
      <c r="M3" s="230">
        <v>48685</v>
      </c>
      <c r="N3" s="230">
        <v>8057</v>
      </c>
      <c r="O3" s="61"/>
      <c r="P3" s="61"/>
      <c r="Q3" s="61"/>
      <c r="R3" s="61"/>
      <c r="S3" s="61"/>
      <c r="U3" t="s">
        <v>453</v>
      </c>
      <c r="V3">
        <f>SUM('Data shares'!CC:CC)</f>
        <v>15846103316</v>
      </c>
      <c r="W3" t="s">
        <v>455</v>
      </c>
    </row>
    <row r="4" spans="1:23" ht="17.25" thickBot="1" x14ac:dyDescent="0.3">
      <c r="A4" s="227" t="s">
        <v>617</v>
      </c>
      <c r="B4" s="226">
        <v>46146</v>
      </c>
      <c r="C4" s="230">
        <v>187926</v>
      </c>
      <c r="D4" s="230">
        <v>31780</v>
      </c>
      <c r="E4" s="230">
        <v>190138</v>
      </c>
      <c r="F4" s="230">
        <v>32238</v>
      </c>
      <c r="G4" s="230">
        <v>-2212</v>
      </c>
      <c r="H4" s="228">
        <v>-458</v>
      </c>
      <c r="I4" s="230">
        <v>262790</v>
      </c>
      <c r="J4" s="230">
        <v>43253</v>
      </c>
      <c r="K4" s="230">
        <v>12570</v>
      </c>
      <c r="L4" s="230">
        <v>2081</v>
      </c>
      <c r="M4" s="230">
        <v>275360</v>
      </c>
      <c r="N4" s="230">
        <v>45334</v>
      </c>
      <c r="O4" s="61"/>
      <c r="P4" s="61"/>
      <c r="Q4" s="61"/>
      <c r="R4" s="61"/>
      <c r="S4" s="61"/>
    </row>
    <row r="5" spans="1:23" ht="17.25" thickBot="1" x14ac:dyDescent="0.3">
      <c r="A5" s="227" t="s">
        <v>618</v>
      </c>
      <c r="B5" s="226">
        <v>46146</v>
      </c>
      <c r="C5" s="228">
        <v>21</v>
      </c>
      <c r="D5" s="228">
        <v>3</v>
      </c>
      <c r="E5" s="228">
        <v>14</v>
      </c>
      <c r="F5" s="228">
        <v>2</v>
      </c>
      <c r="G5" s="228">
        <v>7</v>
      </c>
      <c r="H5" s="228">
        <v>1</v>
      </c>
      <c r="I5" s="228">
        <v>292</v>
      </c>
      <c r="J5" s="228">
        <v>45</v>
      </c>
      <c r="K5" s="228">
        <v>-7</v>
      </c>
      <c r="L5" s="228">
        <v>-1</v>
      </c>
      <c r="M5" s="228">
        <v>285</v>
      </c>
      <c r="N5" s="228">
        <v>44</v>
      </c>
      <c r="O5" s="61"/>
      <c r="P5" s="61"/>
      <c r="Q5" s="61"/>
      <c r="R5" s="61"/>
      <c r="S5" s="61"/>
    </row>
    <row r="6" spans="1:23" ht="17.25" thickBot="1" x14ac:dyDescent="0.3">
      <c r="A6" s="227" t="s">
        <v>619</v>
      </c>
      <c r="B6" s="226">
        <v>46146</v>
      </c>
      <c r="C6" s="230">
        <v>2922</v>
      </c>
      <c r="D6" s="228">
        <v>459</v>
      </c>
      <c r="E6" s="230">
        <v>2449</v>
      </c>
      <c r="F6" s="228">
        <v>390</v>
      </c>
      <c r="G6" s="228">
        <v>473</v>
      </c>
      <c r="H6" s="228">
        <v>69</v>
      </c>
      <c r="I6" s="230">
        <v>1688</v>
      </c>
      <c r="J6" s="228">
        <v>260</v>
      </c>
      <c r="K6" s="228">
        <v>549</v>
      </c>
      <c r="L6" s="228">
        <v>87</v>
      </c>
      <c r="M6" s="230">
        <v>2237</v>
      </c>
      <c r="N6" s="228">
        <v>346</v>
      </c>
      <c r="O6" s="61"/>
      <c r="P6" s="61"/>
      <c r="Q6" s="61"/>
      <c r="R6" s="61"/>
      <c r="S6" s="61"/>
    </row>
    <row r="7" spans="1:23" ht="17.25" thickBot="1" x14ac:dyDescent="0.3">
      <c r="A7" s="227" t="s">
        <v>620</v>
      </c>
      <c r="B7" s="226">
        <v>46146</v>
      </c>
      <c r="C7" s="230">
        <v>11645</v>
      </c>
      <c r="D7" s="230">
        <v>1886</v>
      </c>
      <c r="E7" s="230">
        <v>19741</v>
      </c>
      <c r="F7" s="230">
        <v>3157</v>
      </c>
      <c r="G7" s="230">
        <v>-8096</v>
      </c>
      <c r="H7" s="230">
        <v>-1271</v>
      </c>
      <c r="I7" s="230">
        <v>239488</v>
      </c>
      <c r="J7" s="230">
        <v>38200</v>
      </c>
      <c r="K7" s="230">
        <v>11700</v>
      </c>
      <c r="L7" s="230">
        <v>1972</v>
      </c>
      <c r="M7" s="230">
        <v>251188</v>
      </c>
      <c r="N7" s="230">
        <v>40172</v>
      </c>
    </row>
    <row r="8" spans="1:23" ht="17.25" thickBot="1" x14ac:dyDescent="0.3">
      <c r="A8" s="227" t="s">
        <v>621</v>
      </c>
      <c r="B8" s="226">
        <v>46146</v>
      </c>
      <c r="C8" s="230">
        <v>12312942</v>
      </c>
      <c r="D8" s="230">
        <v>1939940</v>
      </c>
      <c r="E8" s="230">
        <v>12287303</v>
      </c>
      <c r="F8" s="230">
        <v>1935305</v>
      </c>
      <c r="G8" s="230">
        <v>25639</v>
      </c>
      <c r="H8" s="230">
        <v>4636</v>
      </c>
      <c r="I8" s="230">
        <v>1995796</v>
      </c>
      <c r="J8" s="230">
        <v>313760</v>
      </c>
      <c r="K8" s="230">
        <v>572911</v>
      </c>
      <c r="L8" s="230">
        <v>91354</v>
      </c>
      <c r="M8" s="230">
        <v>2568707</v>
      </c>
      <c r="N8" s="230">
        <v>405114</v>
      </c>
    </row>
    <row r="9" spans="1:23" ht="17.25" thickBot="1" x14ac:dyDescent="0.3">
      <c r="A9" s="227" t="s">
        <v>622</v>
      </c>
      <c r="B9" s="226">
        <v>46146</v>
      </c>
      <c r="C9" s="228">
        <v>528</v>
      </c>
      <c r="D9" s="228">
        <v>89</v>
      </c>
      <c r="E9" s="228">
        <v>442</v>
      </c>
      <c r="F9" s="228">
        <v>74</v>
      </c>
      <c r="G9" s="228">
        <v>86</v>
      </c>
      <c r="H9" s="228">
        <v>15</v>
      </c>
      <c r="I9" s="230">
        <v>22729</v>
      </c>
      <c r="J9" s="230">
        <v>3786</v>
      </c>
      <c r="K9" s="228">
        <v>144</v>
      </c>
      <c r="L9" s="228">
        <v>47</v>
      </c>
      <c r="M9" s="230">
        <v>22873</v>
      </c>
      <c r="N9" s="230">
        <v>3833</v>
      </c>
    </row>
    <row r="10" spans="1:23" ht="17.25" thickBot="1" x14ac:dyDescent="0.3">
      <c r="A10" s="227" t="s">
        <v>623</v>
      </c>
      <c r="B10" s="226">
        <v>46146</v>
      </c>
      <c r="C10" s="230">
        <v>19754</v>
      </c>
      <c r="D10" s="230">
        <v>3310</v>
      </c>
      <c r="E10" s="230">
        <v>19628</v>
      </c>
      <c r="F10" s="230">
        <v>3287</v>
      </c>
      <c r="G10" s="228">
        <v>126</v>
      </c>
      <c r="H10" s="228">
        <v>23</v>
      </c>
      <c r="I10" s="230">
        <v>19098</v>
      </c>
      <c r="J10" s="230">
        <v>3169</v>
      </c>
      <c r="K10" s="230">
        <v>4350</v>
      </c>
      <c r="L10" s="228">
        <v>751</v>
      </c>
      <c r="M10" s="230">
        <v>23448</v>
      </c>
      <c r="N10" s="230">
        <v>3920</v>
      </c>
    </row>
    <row r="11" spans="1:23" ht="17.25" thickBot="1" x14ac:dyDescent="0.3">
      <c r="A11" s="227" t="s">
        <v>624</v>
      </c>
      <c r="B11" s="226">
        <v>46146</v>
      </c>
      <c r="C11" s="230">
        <v>6029</v>
      </c>
      <c r="D11" s="228">
        <v>951</v>
      </c>
      <c r="E11" s="230">
        <v>14571</v>
      </c>
      <c r="F11" s="230">
        <v>2296</v>
      </c>
      <c r="G11" s="230">
        <v>-8542</v>
      </c>
      <c r="H11" s="230">
        <v>-1345</v>
      </c>
      <c r="I11" s="230">
        <v>166615</v>
      </c>
      <c r="J11" s="230">
        <v>26108</v>
      </c>
      <c r="K11" s="230">
        <v>12190</v>
      </c>
      <c r="L11" s="230">
        <v>2035</v>
      </c>
      <c r="M11" s="230">
        <v>178805</v>
      </c>
      <c r="N11" s="230">
        <v>28142</v>
      </c>
    </row>
    <row r="12" spans="1:23" ht="17.25" thickBot="1" x14ac:dyDescent="0.3">
      <c r="A12" s="227" t="s">
        <v>625</v>
      </c>
      <c r="B12" s="226">
        <v>46146</v>
      </c>
      <c r="C12" s="230">
        <v>12102313</v>
      </c>
      <c r="D12" s="230">
        <v>1904386</v>
      </c>
      <c r="E12" s="230">
        <v>12075072</v>
      </c>
      <c r="F12" s="230">
        <v>1899387</v>
      </c>
      <c r="G12" s="230">
        <v>27241</v>
      </c>
      <c r="H12" s="230">
        <v>5000</v>
      </c>
      <c r="I12" s="230">
        <v>1712220</v>
      </c>
      <c r="J12" s="230">
        <v>267079</v>
      </c>
      <c r="K12" s="230">
        <v>555427</v>
      </c>
      <c r="L12" s="230">
        <v>88432</v>
      </c>
      <c r="M12" s="230">
        <v>2267647</v>
      </c>
      <c r="N12" s="230">
        <v>355511</v>
      </c>
    </row>
    <row r="13" spans="1:23" ht="17.25" thickBot="1" x14ac:dyDescent="0.3">
      <c r="A13" s="227" t="s">
        <v>626</v>
      </c>
      <c r="B13" s="226">
        <v>46146</v>
      </c>
      <c r="C13" s="228">
        <v>52</v>
      </c>
      <c r="D13" s="228">
        <v>9</v>
      </c>
      <c r="E13" s="228">
        <v>50</v>
      </c>
      <c r="F13" s="228">
        <v>9</v>
      </c>
      <c r="G13" s="228">
        <v>2</v>
      </c>
      <c r="H13" s="228">
        <v>0</v>
      </c>
      <c r="I13" s="228">
        <v>538</v>
      </c>
      <c r="J13" s="228">
        <v>94</v>
      </c>
      <c r="K13" s="228">
        <v>2</v>
      </c>
      <c r="L13" s="228">
        <v>1</v>
      </c>
      <c r="M13" s="228">
        <v>540</v>
      </c>
      <c r="N13" s="228">
        <v>95</v>
      </c>
    </row>
    <row r="14" spans="1:23" ht="17.25" thickBot="1" x14ac:dyDescent="0.3">
      <c r="A14" s="227" t="s">
        <v>627</v>
      </c>
      <c r="B14" s="226">
        <v>46146</v>
      </c>
      <c r="C14" s="228">
        <v>27</v>
      </c>
      <c r="D14" s="228">
        <v>5</v>
      </c>
      <c r="E14" s="228">
        <v>16</v>
      </c>
      <c r="F14" s="228">
        <v>3</v>
      </c>
      <c r="G14" s="228">
        <v>11</v>
      </c>
      <c r="H14" s="228">
        <v>2</v>
      </c>
      <c r="I14" s="228">
        <v>0</v>
      </c>
      <c r="J14" s="228">
        <v>0</v>
      </c>
      <c r="K14" s="228">
        <v>15</v>
      </c>
      <c r="L14" s="228">
        <v>3</v>
      </c>
      <c r="M14" s="228">
        <v>15</v>
      </c>
      <c r="N14" s="228">
        <v>3</v>
      </c>
    </row>
    <row r="15" spans="1:23" ht="17.25" thickBot="1" x14ac:dyDescent="0.3">
      <c r="A15" s="227" t="s">
        <v>628</v>
      </c>
      <c r="B15" s="226">
        <v>46146</v>
      </c>
      <c r="C15" s="230">
        <v>356937</v>
      </c>
      <c r="D15" s="230">
        <v>24352</v>
      </c>
      <c r="E15" s="230">
        <v>349905</v>
      </c>
      <c r="F15" s="230">
        <v>23525</v>
      </c>
      <c r="G15" s="230">
        <v>7032</v>
      </c>
      <c r="H15" s="228">
        <v>826</v>
      </c>
      <c r="I15" s="230">
        <v>7245154</v>
      </c>
      <c r="J15" s="230">
        <v>452650</v>
      </c>
      <c r="K15" s="230">
        <v>37898</v>
      </c>
      <c r="L15" s="230">
        <v>4634</v>
      </c>
      <c r="M15" s="230">
        <v>7283052</v>
      </c>
      <c r="N15" s="230">
        <v>457284</v>
      </c>
    </row>
    <row r="16" spans="1:23" ht="17.25" thickBot="1" x14ac:dyDescent="0.3">
      <c r="A16" s="227" t="s">
        <v>629</v>
      </c>
      <c r="B16" s="226">
        <v>46146</v>
      </c>
      <c r="C16" s="230">
        <v>284885</v>
      </c>
      <c r="D16" s="230">
        <v>18978</v>
      </c>
      <c r="E16" s="230">
        <v>300260</v>
      </c>
      <c r="F16" s="230">
        <v>19954</v>
      </c>
      <c r="G16" s="230">
        <v>-15375</v>
      </c>
      <c r="H16" s="228">
        <v>-976</v>
      </c>
      <c r="I16" s="230">
        <v>395209</v>
      </c>
      <c r="J16" s="230">
        <v>25101</v>
      </c>
      <c r="K16" s="230">
        <v>74509</v>
      </c>
      <c r="L16" s="230">
        <v>5250</v>
      </c>
      <c r="M16" s="230">
        <v>469718</v>
      </c>
      <c r="N16" s="230">
        <v>30351</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zoomScale="85" zoomScaleNormal="85" workbookViewId="0">
      <pane ySplit="6" topLeftCell="A7" activePane="bottomLeft" state="frozen"/>
      <selection activeCell="E46" sqref="E46"/>
      <selection pane="bottomLeft" activeCell="E53" sqref="E53"/>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58" t="s">
        <v>325</v>
      </c>
      <c r="B3" s="259"/>
      <c r="C3" s="259"/>
      <c r="D3" s="259"/>
      <c r="E3" s="259"/>
      <c r="F3" s="259"/>
      <c r="G3" s="259"/>
      <c r="H3" s="259"/>
      <c r="I3" s="259"/>
      <c r="J3" s="259"/>
      <c r="K3" s="259"/>
      <c r="L3" s="259"/>
      <c r="M3" s="259"/>
      <c r="N3" s="259"/>
      <c r="O3" s="259"/>
      <c r="P3" s="259"/>
      <c r="Q3" s="260"/>
    </row>
    <row r="4" spans="1:17" s="64" customFormat="1" x14ac:dyDescent="0.25">
      <c r="A4" s="261"/>
      <c r="B4" s="261" t="s">
        <v>308</v>
      </c>
      <c r="C4" s="261"/>
      <c r="D4" s="263"/>
      <c r="E4" s="263"/>
      <c r="F4" s="261" t="s">
        <v>326</v>
      </c>
      <c r="G4" s="261"/>
      <c r="H4" s="261"/>
      <c r="I4" s="261" t="s">
        <v>327</v>
      </c>
      <c r="J4" s="261"/>
      <c r="K4" s="261"/>
      <c r="L4" s="261" t="s">
        <v>311</v>
      </c>
      <c r="M4" s="261"/>
      <c r="N4" s="261"/>
      <c r="O4" s="261"/>
      <c r="P4" s="261"/>
      <c r="Q4" s="261"/>
    </row>
    <row r="5" spans="1:17" s="64" customFormat="1" x14ac:dyDescent="0.25">
      <c r="A5" s="262"/>
      <c r="B5" s="73" t="s">
        <v>312</v>
      </c>
      <c r="C5" s="262" t="s">
        <v>313</v>
      </c>
      <c r="D5" s="265"/>
      <c r="E5" s="265"/>
      <c r="F5" s="262" t="s">
        <v>314</v>
      </c>
      <c r="G5" s="262"/>
      <c r="H5" s="262"/>
      <c r="I5" s="262" t="s">
        <v>315</v>
      </c>
      <c r="J5" s="262"/>
      <c r="K5" s="262"/>
      <c r="L5" s="262" t="s">
        <v>316</v>
      </c>
      <c r="M5" s="262"/>
      <c r="N5" s="262"/>
      <c r="O5" s="262" t="s">
        <v>317</v>
      </c>
      <c r="P5" s="262"/>
      <c r="Q5" s="262"/>
    </row>
    <row r="6" spans="1:17" s="72" customFormat="1" ht="33.75" x14ac:dyDescent="0.25">
      <c r="A6" s="71" t="s">
        <v>557</v>
      </c>
      <c r="B6" s="66">
        <f>'Snapshot (Value)'!C10</f>
        <v>46146</v>
      </c>
      <c r="C6" s="66">
        <f>'Snapshot (Value)'!D10</f>
        <v>46146</v>
      </c>
      <c r="D6" s="71" t="s">
        <v>322</v>
      </c>
      <c r="E6" s="71" t="s">
        <v>328</v>
      </c>
      <c r="F6" s="66">
        <f>C6</f>
        <v>46146</v>
      </c>
      <c r="G6" s="71" t="s">
        <v>322</v>
      </c>
      <c r="H6" s="71" t="s">
        <v>328</v>
      </c>
      <c r="I6" s="66">
        <f>C6</f>
        <v>46146</v>
      </c>
      <c r="J6" s="71" t="s">
        <v>322</v>
      </c>
      <c r="K6" s="71" t="s">
        <v>328</v>
      </c>
      <c r="L6" s="66">
        <f>C6</f>
        <v>46146</v>
      </c>
      <c r="M6" s="71" t="s">
        <v>322</v>
      </c>
      <c r="N6" s="71" t="s">
        <v>328</v>
      </c>
      <c r="O6" s="66">
        <f>C6</f>
        <v>46146</v>
      </c>
      <c r="P6" s="71" t="s">
        <v>322</v>
      </c>
      <c r="Q6" s="71" t="s">
        <v>328</v>
      </c>
    </row>
    <row r="7" spans="1:17" x14ac:dyDescent="0.25">
      <c r="A7" s="97" t="str">
        <f>'Data Vlaue (Cr)'!C2</f>
        <v>360ONE</v>
      </c>
      <c r="B7" s="140">
        <f>VLOOKUP($A7,'Data shares'!$C:$FB,7)</f>
        <v>1066.5</v>
      </c>
      <c r="C7" s="140">
        <f>VLOOKUP($A7,'Data shares'!$C:$FB,3)</f>
        <v>1072</v>
      </c>
      <c r="D7" s="140">
        <f>VLOOKUP($A7,'Data shares'!$C:$FB,4)</f>
        <v>1039.25</v>
      </c>
      <c r="E7" s="50">
        <f>(C7-D7)/D7*100</f>
        <v>3.15131104161655</v>
      </c>
      <c r="F7" s="49">
        <f>VLOOKUP($A7,'Data shares'!$C:$FB,98)</f>
        <v>5843500</v>
      </c>
      <c r="G7" s="49">
        <f>VLOOKUP($A7,'Data shares'!$C:$FB,99)</f>
        <v>5575000</v>
      </c>
      <c r="H7" s="50">
        <f>(F7-G7)/G7*100</f>
        <v>4.8161434977578477</v>
      </c>
      <c r="I7" s="49">
        <f>VLOOKUP($A7,'Data shares'!$C:$FB,66)</f>
        <v>3766500</v>
      </c>
      <c r="J7" s="49">
        <f>VLOOKUP($A7,'Data shares'!$C:$FB,67)</f>
        <v>2241000</v>
      </c>
      <c r="K7" s="50">
        <f>(I7-J7)/I7*100</f>
        <v>40.501792114695341</v>
      </c>
      <c r="L7" s="50">
        <f>VLOOKUP($A7,'Data shares'!$C:$FB,118)</f>
        <v>0.5</v>
      </c>
      <c r="M7" s="50">
        <f>VLOOKUP($A7,'Data shares'!$C:$FB,119)</f>
        <v>0.49</v>
      </c>
      <c r="N7" s="50">
        <f>VLOOKUP($A7,'Data shares'!$C:$FB,121)*100</f>
        <v>2.04</v>
      </c>
      <c r="O7" s="50">
        <f>VLOOKUP($A7,'Data shares'!$C:$FB,124)</f>
        <v>0.55000000000000004</v>
      </c>
      <c r="P7" s="50">
        <f>VLOOKUP($A7,'Data shares'!$C:$FB,125)</f>
        <v>0.71</v>
      </c>
      <c r="Q7" s="50">
        <f>VLOOKUP($A7,'Data shares'!$C:$FB,127)*100</f>
        <v>-22.54</v>
      </c>
    </row>
    <row r="8" spans="1:17" x14ac:dyDescent="0.25">
      <c r="A8" s="97" t="str">
        <f>'Data Vlaue (Cr)'!C3</f>
        <v>ABB</v>
      </c>
      <c r="B8" s="140">
        <f>VLOOKUP($A8,'Data shares'!$C:$FB,7)</f>
        <v>7236.5</v>
      </c>
      <c r="C8" s="140">
        <f>VLOOKUP($A8,'Data shares'!$C:$FB,3)</f>
        <v>7263.5</v>
      </c>
      <c r="D8" s="140">
        <f>VLOOKUP($A8,'Data shares'!$C:$FB,4)</f>
        <v>7267</v>
      </c>
      <c r="E8" s="50">
        <f t="shared" ref="E8:E71" si="0">(C8-D8)/D8*100</f>
        <v>-4.8162928306041006E-2</v>
      </c>
      <c r="F8" s="49">
        <f>VLOOKUP($A8,'Data shares'!$C:$FB,98)</f>
        <v>3547375</v>
      </c>
      <c r="G8" s="49">
        <f>VLOOKUP($A8,'Data shares'!$C:$FB,99)</f>
        <v>3200750</v>
      </c>
      <c r="H8" s="50">
        <f t="shared" ref="H8:H71" si="1">(F8-G8)/G8*100</f>
        <v>10.829493087557603</v>
      </c>
      <c r="I8" s="49">
        <f>VLOOKUP($A8,'Data shares'!$C:$FB,66)</f>
        <v>2645750</v>
      </c>
      <c r="J8" s="49">
        <f>VLOOKUP($A8,'Data shares'!$C:$FB,67)</f>
        <v>1725875</v>
      </c>
      <c r="K8" s="50">
        <f t="shared" ref="K8:K71" si="2">(I8-J8)/I8*100</f>
        <v>34.768024189738263</v>
      </c>
      <c r="L8" s="50">
        <f>VLOOKUP($A8,'Data shares'!$C:$FB,118)</f>
        <v>0.52</v>
      </c>
      <c r="M8" s="50">
        <f>VLOOKUP($A8,'Data shares'!$C:$FB,119)</f>
        <v>0.65</v>
      </c>
      <c r="N8" s="50">
        <f>VLOOKUP($A8,'Data shares'!$C:$FB,121)*100</f>
        <v>-20</v>
      </c>
      <c r="O8" s="50">
        <f>VLOOKUP($A8,'Data shares'!$C:$FB,124)</f>
        <v>0.3</v>
      </c>
      <c r="P8" s="50">
        <f>VLOOKUP($A8,'Data shares'!$C:$FB,125)</f>
        <v>0.75</v>
      </c>
      <c r="Q8" s="50">
        <f>VLOOKUP($A8,'Data shares'!$C:$FB,127)*100</f>
        <v>-60</v>
      </c>
    </row>
    <row r="9" spans="1:17" x14ac:dyDescent="0.25">
      <c r="A9" s="97" t="str">
        <f>'Data Vlaue (Cr)'!C4</f>
        <v>ABCAPITAL</v>
      </c>
      <c r="B9" s="140">
        <f>VLOOKUP($A9,'Data shares'!$C:$FB,7)</f>
        <v>345.85</v>
      </c>
      <c r="C9" s="140">
        <f>VLOOKUP($A9,'Data shares'!$C:$FB,3)</f>
        <v>346.5</v>
      </c>
      <c r="D9" s="140">
        <f>VLOOKUP($A9,'Data shares'!$C:$FB,4)</f>
        <v>347.55</v>
      </c>
      <c r="E9" s="50">
        <f t="shared" si="0"/>
        <v>-0.3021148036253809</v>
      </c>
      <c r="F9" s="49">
        <f>VLOOKUP($A9,'Data shares'!$C:$FB,98)</f>
        <v>71833200</v>
      </c>
      <c r="G9" s="49">
        <f>VLOOKUP($A9,'Data shares'!$C:$FB,99)</f>
        <v>58357500</v>
      </c>
      <c r="H9" s="50">
        <f t="shared" si="1"/>
        <v>23.091633466135459</v>
      </c>
      <c r="I9" s="49">
        <f>VLOOKUP($A9,'Data shares'!$C:$FB,66)</f>
        <v>170797600</v>
      </c>
      <c r="J9" s="49">
        <f>VLOOKUP($A9,'Data shares'!$C:$FB,67)</f>
        <v>26449200</v>
      </c>
      <c r="K9" s="50">
        <f t="shared" si="2"/>
        <v>84.514302308697538</v>
      </c>
      <c r="L9" s="50">
        <f>VLOOKUP($A9,'Data shares'!$C:$FB,118)</f>
        <v>0.7</v>
      </c>
      <c r="M9" s="50">
        <f>VLOOKUP($A9,'Data shares'!$C:$FB,119)</f>
        <v>1.06</v>
      </c>
      <c r="N9" s="50">
        <f>VLOOKUP($A9,'Data shares'!$C:$FB,121)*100</f>
        <v>-33.96</v>
      </c>
      <c r="O9" s="50">
        <f>VLOOKUP($A9,'Data shares'!$C:$FB,124)</f>
        <v>0.47</v>
      </c>
      <c r="P9" s="50">
        <f>VLOOKUP($A9,'Data shares'!$C:$FB,125)</f>
        <v>0.61</v>
      </c>
      <c r="Q9" s="50">
        <f>VLOOKUP($A9,'Data shares'!$C:$FB,127)*100</f>
        <v>-22.95</v>
      </c>
    </row>
    <row r="10" spans="1:17" x14ac:dyDescent="0.25">
      <c r="A10" s="97" t="str">
        <f>'Data Vlaue (Cr)'!C5</f>
        <v>ADANIENSOL</v>
      </c>
      <c r="B10" s="140">
        <f>VLOOKUP($A10,'Data shares'!$C:$FB,7)</f>
        <v>1398.4</v>
      </c>
      <c r="C10" s="140">
        <f>VLOOKUP($A10,'Data shares'!$C:$FB,3)</f>
        <v>1406.9</v>
      </c>
      <c r="D10" s="140">
        <f>VLOOKUP($A10,'Data shares'!$C:$FB,4)</f>
        <v>1350.7</v>
      </c>
      <c r="E10" s="50">
        <f t="shared" si="0"/>
        <v>4.160805508254982</v>
      </c>
      <c r="F10" s="49">
        <f>VLOOKUP($A10,'Data shares'!$C:$FB,98)</f>
        <v>28958175</v>
      </c>
      <c r="G10" s="49">
        <f>VLOOKUP($A10,'Data shares'!$C:$FB,99)</f>
        <v>27729000</v>
      </c>
      <c r="H10" s="50">
        <f t="shared" si="1"/>
        <v>4.4328140214216161</v>
      </c>
      <c r="I10" s="49">
        <f>VLOOKUP($A10,'Data shares'!$C:$FB,66)</f>
        <v>26626725</v>
      </c>
      <c r="J10" s="49">
        <f>VLOOKUP($A10,'Data shares'!$C:$FB,67)</f>
        <v>26780625</v>
      </c>
      <c r="K10" s="50">
        <f t="shared" si="2"/>
        <v>-0.57799072172788801</v>
      </c>
      <c r="L10" s="50">
        <f>VLOOKUP($A10,'Data shares'!$C:$FB,118)</f>
        <v>0.82</v>
      </c>
      <c r="M10" s="50">
        <f>VLOOKUP($A10,'Data shares'!$C:$FB,119)</f>
        <v>0.65</v>
      </c>
      <c r="N10" s="50">
        <f>VLOOKUP($A10,'Data shares'!$C:$FB,121)*100</f>
        <v>26.150000000000002</v>
      </c>
      <c r="O10" s="50">
        <f>VLOOKUP($A10,'Data shares'!$C:$FB,124)</f>
        <v>0.52</v>
      </c>
      <c r="P10" s="50">
        <f>VLOOKUP($A10,'Data shares'!$C:$FB,125)</f>
        <v>0.63</v>
      </c>
      <c r="Q10" s="50">
        <f>VLOOKUP($A10,'Data shares'!$C:$FB,127)*100</f>
        <v>-17.46</v>
      </c>
    </row>
    <row r="11" spans="1:17" x14ac:dyDescent="0.25">
      <c r="A11" s="97" t="str">
        <f>'Data Vlaue (Cr)'!C6</f>
        <v>ADANIENT</v>
      </c>
      <c r="B11" s="140">
        <f>VLOOKUP($A11,'Data shares'!$C:$FB,7)</f>
        <v>2485.6999999999998</v>
      </c>
      <c r="C11" s="140">
        <f>VLOOKUP($A11,'Data shares'!$C:$FB,3)</f>
        <v>2490.6999999999998</v>
      </c>
      <c r="D11" s="140">
        <f>VLOOKUP($A11,'Data shares'!$C:$FB,4)</f>
        <v>2421.8000000000002</v>
      </c>
      <c r="E11" s="50">
        <f t="shared" si="0"/>
        <v>2.8449913287637143</v>
      </c>
      <c r="F11" s="49">
        <f>VLOOKUP($A11,'Data shares'!$C:$FB,98)</f>
        <v>32587449</v>
      </c>
      <c r="G11" s="49">
        <f>VLOOKUP($A11,'Data shares'!$C:$FB,99)</f>
        <v>30991155</v>
      </c>
      <c r="H11" s="50">
        <f t="shared" si="1"/>
        <v>5.1508051248815994</v>
      </c>
      <c r="I11" s="49">
        <f>VLOOKUP($A11,'Data shares'!$C:$FB,66)</f>
        <v>48180825</v>
      </c>
      <c r="J11" s="49">
        <f>VLOOKUP($A11,'Data shares'!$C:$FB,67)</f>
        <v>25979793</v>
      </c>
      <c r="K11" s="50">
        <f t="shared" si="2"/>
        <v>46.078563411896745</v>
      </c>
      <c r="L11" s="50">
        <f>VLOOKUP($A11,'Data shares'!$C:$FB,118)</f>
        <v>0.76</v>
      </c>
      <c r="M11" s="50">
        <f>VLOOKUP($A11,'Data shares'!$C:$FB,119)</f>
        <v>0.75</v>
      </c>
      <c r="N11" s="50">
        <f>VLOOKUP($A11,'Data shares'!$C:$FB,121)*100</f>
        <v>1.3299999999999998</v>
      </c>
      <c r="O11" s="50">
        <f>VLOOKUP($A11,'Data shares'!$C:$FB,124)</f>
        <v>0.6</v>
      </c>
      <c r="P11" s="50">
        <f>VLOOKUP($A11,'Data shares'!$C:$FB,125)</f>
        <v>0.52</v>
      </c>
      <c r="Q11" s="50">
        <f>VLOOKUP($A11,'Data shares'!$C:$FB,127)*100</f>
        <v>15.379999999999999</v>
      </c>
    </row>
    <row r="12" spans="1:17" x14ac:dyDescent="0.25">
      <c r="A12" s="97" t="str">
        <f>'Data Vlaue (Cr)'!C7</f>
        <v>ADANIGREEN</v>
      </c>
      <c r="B12" s="140">
        <f>VLOOKUP($A12,'Data shares'!$C:$FB,7)</f>
        <v>1290.7</v>
      </c>
      <c r="C12" s="140">
        <f>VLOOKUP($A12,'Data shares'!$C:$FB,3)</f>
        <v>1298.0999999999999</v>
      </c>
      <c r="D12" s="140">
        <f>VLOOKUP($A12,'Data shares'!$C:$FB,4)</f>
        <v>1235.2</v>
      </c>
      <c r="E12" s="50">
        <f t="shared" si="0"/>
        <v>5.0922927461139782</v>
      </c>
      <c r="F12" s="49">
        <f>VLOOKUP($A12,'Data shares'!$C:$FB,98)</f>
        <v>32397000</v>
      </c>
      <c r="G12" s="49">
        <f>VLOOKUP($A12,'Data shares'!$C:$FB,99)</f>
        <v>29958600</v>
      </c>
      <c r="H12" s="50">
        <f t="shared" si="1"/>
        <v>8.1392321403536876</v>
      </c>
      <c r="I12" s="49">
        <f>VLOOKUP($A12,'Data shares'!$C:$FB,66)</f>
        <v>30997800</v>
      </c>
      <c r="J12" s="49">
        <f>VLOOKUP($A12,'Data shares'!$C:$FB,67)</f>
        <v>11588400</v>
      </c>
      <c r="K12" s="50">
        <f t="shared" si="2"/>
        <v>62.615411416294066</v>
      </c>
      <c r="L12" s="50">
        <f>VLOOKUP($A12,'Data shares'!$C:$FB,118)</f>
        <v>0.76</v>
      </c>
      <c r="M12" s="50">
        <f>VLOOKUP($A12,'Data shares'!$C:$FB,119)</f>
        <v>0.74</v>
      </c>
      <c r="N12" s="50">
        <f>VLOOKUP($A12,'Data shares'!$C:$FB,121)*100</f>
        <v>2.7</v>
      </c>
      <c r="O12" s="50">
        <f>VLOOKUP($A12,'Data shares'!$C:$FB,124)</f>
        <v>0.43</v>
      </c>
      <c r="P12" s="50">
        <f>VLOOKUP($A12,'Data shares'!$C:$FB,125)</f>
        <v>0.81</v>
      </c>
      <c r="Q12" s="50">
        <f>VLOOKUP($A12,'Data shares'!$C:$FB,127)*100</f>
        <v>-46.910000000000004</v>
      </c>
    </row>
    <row r="13" spans="1:17" x14ac:dyDescent="0.25">
      <c r="A13" s="97" t="str">
        <f>'Data Vlaue (Cr)'!C8</f>
        <v>ADANIPORTS</v>
      </c>
      <c r="B13" s="140">
        <f>VLOOKUP($A13,'Data shares'!$C:$FB,7)</f>
        <v>1742.6</v>
      </c>
      <c r="C13" s="140">
        <f>VLOOKUP($A13,'Data shares'!$C:$FB,3)</f>
        <v>1748</v>
      </c>
      <c r="D13" s="140">
        <f>VLOOKUP($A13,'Data shares'!$C:$FB,4)</f>
        <v>1662.9</v>
      </c>
      <c r="E13" s="50">
        <f t="shared" si="0"/>
        <v>5.1175656984785558</v>
      </c>
      <c r="F13" s="49">
        <f>VLOOKUP($A13,'Data shares'!$C:$FB,98)</f>
        <v>36706100</v>
      </c>
      <c r="G13" s="49">
        <f>VLOOKUP($A13,'Data shares'!$C:$FB,99)</f>
        <v>31612675</v>
      </c>
      <c r="H13" s="50">
        <f t="shared" si="1"/>
        <v>16.111970910402235</v>
      </c>
      <c r="I13" s="49">
        <f>VLOOKUP($A13,'Data shares'!$C:$FB,66)</f>
        <v>74839100</v>
      </c>
      <c r="J13" s="49">
        <f>VLOOKUP($A13,'Data shares'!$C:$FB,67)</f>
        <v>53708725</v>
      </c>
      <c r="K13" s="50">
        <f t="shared" si="2"/>
        <v>28.234405544695218</v>
      </c>
      <c r="L13" s="50">
        <f>VLOOKUP($A13,'Data shares'!$C:$FB,118)</f>
        <v>0.81</v>
      </c>
      <c r="M13" s="50">
        <f>VLOOKUP($A13,'Data shares'!$C:$FB,119)</f>
        <v>0.8</v>
      </c>
      <c r="N13" s="50">
        <f>VLOOKUP($A13,'Data shares'!$C:$FB,121)*100</f>
        <v>1.25</v>
      </c>
      <c r="O13" s="50">
        <f>VLOOKUP($A13,'Data shares'!$C:$FB,124)</f>
        <v>0.49</v>
      </c>
      <c r="P13" s="50">
        <f>VLOOKUP($A13,'Data shares'!$C:$FB,125)</f>
        <v>0.59</v>
      </c>
      <c r="Q13" s="50">
        <f>VLOOKUP($A13,'Data shares'!$C:$FB,127)*100</f>
        <v>-16.950000000000003</v>
      </c>
    </row>
    <row r="14" spans="1:17" x14ac:dyDescent="0.25">
      <c r="A14" s="97" t="str">
        <f>'Data Vlaue (Cr)'!C9</f>
        <v>ADANIPOWER</v>
      </c>
      <c r="B14" s="140">
        <f>VLOOKUP($A14,'Data shares'!$C:$FB,7)</f>
        <v>227.3</v>
      </c>
      <c r="C14" s="140">
        <f>VLOOKUP($A14,'Data shares'!$C:$FB,3)</f>
        <v>228.01</v>
      </c>
      <c r="D14" s="140">
        <f>VLOOKUP($A14,'Data shares'!$C:$FB,4)</f>
        <v>223.38</v>
      </c>
      <c r="E14" s="50">
        <f>(C14-D14)/D14*100</f>
        <v>2.0727012266093632</v>
      </c>
      <c r="F14" s="49">
        <f>VLOOKUP($A14,'Data shares'!$C:$FB,98)</f>
        <v>127679300</v>
      </c>
      <c r="G14" s="49">
        <f>VLOOKUP($A14,'Data shares'!$C:$FB,99)</f>
        <v>127043850</v>
      </c>
      <c r="H14" s="50">
        <f t="shared" si="1"/>
        <v>0.500181630200911</v>
      </c>
      <c r="I14" s="49">
        <f>VLOOKUP($A14,'Data shares'!$C:$FB,66)</f>
        <v>159217500</v>
      </c>
      <c r="J14" s="49">
        <f>VLOOKUP($A14,'Data shares'!$C:$FB,67)</f>
        <v>165515200</v>
      </c>
      <c r="K14" s="50">
        <f t="shared" si="2"/>
        <v>-3.9554069119286508</v>
      </c>
      <c r="L14" s="50">
        <f>VLOOKUP($A14,'Data shares'!$C:$FB,118)</f>
        <v>0.66</v>
      </c>
      <c r="M14" s="50">
        <f>VLOOKUP($A14,'Data shares'!$C:$FB,119)</f>
        <v>0.64</v>
      </c>
      <c r="N14" s="50">
        <f>VLOOKUP($A14,'Data shares'!$C:$FB,121)*100</f>
        <v>3.1300000000000003</v>
      </c>
      <c r="O14" s="50">
        <f>VLOOKUP($A14,'Data shares'!$C:$FB,124)</f>
        <v>0.43</v>
      </c>
      <c r="P14" s="50">
        <f>VLOOKUP($A14,'Data shares'!$C:$FB,125)</f>
        <v>0.44</v>
      </c>
      <c r="Q14" s="50">
        <f>VLOOKUP($A14,'Data shares'!$C:$FB,127)*100</f>
        <v>-2.27</v>
      </c>
    </row>
    <row r="15" spans="1:17" x14ac:dyDescent="0.25">
      <c r="A15" s="97" t="str">
        <f>'Data Vlaue (Cr)'!C10</f>
        <v>ALKEM</v>
      </c>
      <c r="B15" s="140">
        <f>VLOOKUP($A15,'Data shares'!$C:$FB,7)</f>
        <v>5360.5</v>
      </c>
      <c r="C15" s="140">
        <f>VLOOKUP($A15,'Data shares'!$C:$FB,3)</f>
        <v>5350</v>
      </c>
      <c r="D15" s="140">
        <f>VLOOKUP($A15,'Data shares'!$C:$FB,4)</f>
        <v>5393.5</v>
      </c>
      <c r="E15" s="50">
        <f t="shared" si="0"/>
        <v>-0.80652637433948282</v>
      </c>
      <c r="F15" s="49">
        <f>VLOOKUP($A15,'Data shares'!$C:$FB,98)</f>
        <v>1383375</v>
      </c>
      <c r="G15" s="49">
        <f>VLOOKUP($A15,'Data shares'!$C:$FB,99)</f>
        <v>1293875</v>
      </c>
      <c r="H15" s="50">
        <f t="shared" si="1"/>
        <v>6.9172060670466617</v>
      </c>
      <c r="I15" s="49">
        <f>VLOOKUP($A15,'Data shares'!$C:$FB,66)</f>
        <v>369625</v>
      </c>
      <c r="J15" s="49">
        <f>VLOOKUP($A15,'Data shares'!$C:$FB,67)</f>
        <v>452625</v>
      </c>
      <c r="K15" s="50">
        <f t="shared" si="2"/>
        <v>-22.455191072032466</v>
      </c>
      <c r="L15" s="50">
        <f>VLOOKUP($A15,'Data shares'!$C:$FB,118)</f>
        <v>0.66</v>
      </c>
      <c r="M15" s="50">
        <f>VLOOKUP($A15,'Data shares'!$C:$FB,119)</f>
        <v>0.86</v>
      </c>
      <c r="N15" s="50">
        <f>VLOOKUP($A15,'Data shares'!$C:$FB,121)*100</f>
        <v>-23.26</v>
      </c>
      <c r="O15" s="50">
        <f>VLOOKUP($A15,'Data shares'!$C:$FB,124)</f>
        <v>0.39</v>
      </c>
      <c r="P15" s="50">
        <f>VLOOKUP($A15,'Data shares'!$C:$FB,125)</f>
        <v>0.49</v>
      </c>
      <c r="Q15" s="50">
        <f>VLOOKUP($A15,'Data shares'!$C:$FB,127)*100</f>
        <v>-20.41</v>
      </c>
    </row>
    <row r="16" spans="1:17" x14ac:dyDescent="0.25">
      <c r="A16" s="97" t="str">
        <f>'Data Vlaue (Cr)'!C11</f>
        <v>AMBER</v>
      </c>
      <c r="B16" s="140">
        <f>VLOOKUP($A16,'Data shares'!$C:$FB,7)</f>
        <v>8007</v>
      </c>
      <c r="C16" s="140">
        <f>VLOOKUP($A16,'Data shares'!$C:$FB,3)</f>
        <v>8051</v>
      </c>
      <c r="D16" s="140">
        <f>VLOOKUP($A16,'Data shares'!$C:$FB,4)</f>
        <v>7996</v>
      </c>
      <c r="E16" s="50">
        <f t="shared" si="0"/>
        <v>0.68784392196098054</v>
      </c>
      <c r="F16" s="49">
        <f>VLOOKUP($A16,'Data shares'!$C:$FB,98)</f>
        <v>1842200</v>
      </c>
      <c r="G16" s="49">
        <f>VLOOKUP($A16,'Data shares'!$C:$FB,99)</f>
        <v>1757100</v>
      </c>
      <c r="H16" s="50">
        <f t="shared" si="1"/>
        <v>4.8432075579079168</v>
      </c>
      <c r="I16" s="49">
        <f>VLOOKUP($A16,'Data shares'!$C:$FB,66)</f>
        <v>626700</v>
      </c>
      <c r="J16" s="49">
        <f>VLOOKUP($A16,'Data shares'!$C:$FB,67)</f>
        <v>967000</v>
      </c>
      <c r="K16" s="50">
        <f t="shared" si="2"/>
        <v>-54.300303175363005</v>
      </c>
      <c r="L16" s="50">
        <f>VLOOKUP($A16,'Data shares'!$C:$FB,118)</f>
        <v>0.5</v>
      </c>
      <c r="M16" s="50">
        <f>VLOOKUP($A16,'Data shares'!$C:$FB,119)</f>
        <v>0.53</v>
      </c>
      <c r="N16" s="50">
        <f>VLOOKUP($A16,'Data shares'!$C:$FB,121)*100</f>
        <v>-5.66</v>
      </c>
      <c r="O16" s="50">
        <f>VLOOKUP($A16,'Data shares'!$C:$FB,124)</f>
        <v>0.47</v>
      </c>
      <c r="P16" s="50">
        <f>VLOOKUP($A16,'Data shares'!$C:$FB,125)</f>
        <v>0.74</v>
      </c>
      <c r="Q16" s="50">
        <f>VLOOKUP($A16,'Data shares'!$C:$FB,127)*100</f>
        <v>-36.49</v>
      </c>
    </row>
    <row r="17" spans="1:17" x14ac:dyDescent="0.25">
      <c r="A17" s="97" t="str">
        <f>'Data Vlaue (Cr)'!C12</f>
        <v>AMBUJACEM</v>
      </c>
      <c r="B17" s="140">
        <f>VLOOKUP($A17,'Data shares'!$C:$FB,7)</f>
        <v>445.3</v>
      </c>
      <c r="C17" s="140">
        <f>VLOOKUP($A17,'Data shares'!$C:$FB,3)</f>
        <v>447.35</v>
      </c>
      <c r="D17" s="140">
        <f>VLOOKUP($A17,'Data shares'!$C:$FB,4)</f>
        <v>446.8</v>
      </c>
      <c r="E17" s="50">
        <f t="shared" si="0"/>
        <v>0.12309758281110371</v>
      </c>
      <c r="F17" s="49">
        <f>VLOOKUP($A17,'Data shares'!$C:$FB,98)</f>
        <v>100213200</v>
      </c>
      <c r="G17" s="49">
        <f>VLOOKUP($A17,'Data shares'!$C:$FB,99)</f>
        <v>83014800</v>
      </c>
      <c r="H17" s="50">
        <f t="shared" si="1"/>
        <v>20.717269691669436</v>
      </c>
      <c r="I17" s="49">
        <f>VLOOKUP($A17,'Data shares'!$C:$FB,66)</f>
        <v>147821100</v>
      </c>
      <c r="J17" s="49">
        <f>VLOOKUP($A17,'Data shares'!$C:$FB,67)</f>
        <v>15729000</v>
      </c>
      <c r="K17" s="50">
        <f t="shared" si="2"/>
        <v>89.359435155062442</v>
      </c>
      <c r="L17" s="50">
        <f>VLOOKUP($A17,'Data shares'!$C:$FB,118)</f>
        <v>0.55000000000000004</v>
      </c>
      <c r="M17" s="50">
        <f>VLOOKUP($A17,'Data shares'!$C:$FB,119)</f>
        <v>0.81</v>
      </c>
      <c r="N17" s="50">
        <f>VLOOKUP($A17,'Data shares'!$C:$FB,121)*100</f>
        <v>-32.1</v>
      </c>
      <c r="O17" s="50">
        <f>VLOOKUP($A17,'Data shares'!$C:$FB,124)</f>
        <v>0.46</v>
      </c>
      <c r="P17" s="50">
        <f>VLOOKUP($A17,'Data shares'!$C:$FB,125)</f>
        <v>0.43</v>
      </c>
      <c r="Q17" s="50">
        <f>VLOOKUP($A17,'Data shares'!$C:$FB,127)*100</f>
        <v>6.98</v>
      </c>
    </row>
    <row r="18" spans="1:17" x14ac:dyDescent="0.25">
      <c r="A18" s="97" t="str">
        <f>'Data Vlaue (Cr)'!C13</f>
        <v>ANGELONE</v>
      </c>
      <c r="B18" s="140">
        <f>VLOOKUP($A18,'Data shares'!$C:$FB,7)</f>
        <v>307.7</v>
      </c>
      <c r="C18" s="140">
        <f>VLOOKUP($A18,'Data shares'!$C:$FB,3)</f>
        <v>309.5</v>
      </c>
      <c r="D18" s="140">
        <f>VLOOKUP($A18,'Data shares'!$C:$FB,4)</f>
        <v>310.38</v>
      </c>
      <c r="E18" s="50">
        <f t="shared" si="0"/>
        <v>-0.28352342290095861</v>
      </c>
      <c r="F18" s="49">
        <f>VLOOKUP($A18,'Data shares'!$C:$FB,98)</f>
        <v>42785000</v>
      </c>
      <c r="G18" s="49">
        <f>VLOOKUP($A18,'Data shares'!$C:$FB,99)</f>
        <v>39015000</v>
      </c>
      <c r="H18" s="50">
        <f t="shared" si="1"/>
        <v>9.6629501473792132</v>
      </c>
      <c r="I18" s="49">
        <f>VLOOKUP($A18,'Data shares'!$C:$FB,66)</f>
        <v>27632500</v>
      </c>
      <c r="J18" s="49">
        <f>VLOOKUP($A18,'Data shares'!$C:$FB,67)</f>
        <v>21422500</v>
      </c>
      <c r="K18" s="50">
        <f t="shared" si="2"/>
        <v>22.473536596399168</v>
      </c>
      <c r="L18" s="50">
        <f>VLOOKUP($A18,'Data shares'!$C:$FB,118)</f>
        <v>0.61</v>
      </c>
      <c r="M18" s="50">
        <f>VLOOKUP($A18,'Data shares'!$C:$FB,119)</f>
        <v>0.68</v>
      </c>
      <c r="N18" s="50">
        <f>VLOOKUP($A18,'Data shares'!$C:$FB,121)*100</f>
        <v>-10.290000000000001</v>
      </c>
      <c r="O18" s="50">
        <f>VLOOKUP($A18,'Data shares'!$C:$FB,124)</f>
        <v>0.56000000000000005</v>
      </c>
      <c r="P18" s="50">
        <f>VLOOKUP($A18,'Data shares'!$C:$FB,125)</f>
        <v>0.57999999999999996</v>
      </c>
      <c r="Q18" s="50">
        <f>VLOOKUP($A18,'Data shares'!$C:$FB,127)*100</f>
        <v>-3.45</v>
      </c>
    </row>
    <row r="19" spans="1:17" x14ac:dyDescent="0.25">
      <c r="A19" s="97" t="str">
        <f>'Data Vlaue (Cr)'!C14</f>
        <v>APLAPOLLO</v>
      </c>
      <c r="B19" s="140">
        <f>VLOOKUP($A19,'Data shares'!$C:$FB,7)</f>
        <v>1873</v>
      </c>
      <c r="C19" s="140">
        <f>VLOOKUP($A19,'Data shares'!$C:$FB,3)</f>
        <v>1884.3</v>
      </c>
      <c r="D19" s="140">
        <f>VLOOKUP($A19,'Data shares'!$C:$FB,4)</f>
        <v>1916.3</v>
      </c>
      <c r="E19" s="50">
        <f t="shared" si="0"/>
        <v>-1.6698846735897301</v>
      </c>
      <c r="F19" s="49">
        <f>VLOOKUP($A19,'Data shares'!$C:$FB,98)</f>
        <v>8285550</v>
      </c>
      <c r="G19" s="49">
        <f>VLOOKUP($A19,'Data shares'!$C:$FB,99)</f>
        <v>6604500</v>
      </c>
      <c r="H19" s="50">
        <f t="shared" si="1"/>
        <v>25.453100158982512</v>
      </c>
      <c r="I19" s="49">
        <f>VLOOKUP($A19,'Data shares'!$C:$FB,66)</f>
        <v>11059650</v>
      </c>
      <c r="J19" s="49">
        <f>VLOOKUP($A19,'Data shares'!$C:$FB,67)</f>
        <v>2900800</v>
      </c>
      <c r="K19" s="50">
        <f t="shared" si="2"/>
        <v>73.771321877274602</v>
      </c>
      <c r="L19" s="50">
        <f>VLOOKUP($A19,'Data shares'!$C:$FB,118)</f>
        <v>0.56999999999999995</v>
      </c>
      <c r="M19" s="50">
        <f>VLOOKUP($A19,'Data shares'!$C:$FB,119)</f>
        <v>0.76</v>
      </c>
      <c r="N19" s="50">
        <f>VLOOKUP($A19,'Data shares'!$C:$FB,121)*100</f>
        <v>-25</v>
      </c>
      <c r="O19" s="50">
        <f>VLOOKUP($A19,'Data shares'!$C:$FB,124)</f>
        <v>0.47</v>
      </c>
      <c r="P19" s="50">
        <f>VLOOKUP($A19,'Data shares'!$C:$FB,125)</f>
        <v>0.76</v>
      </c>
      <c r="Q19" s="50">
        <f>VLOOKUP($A19,'Data shares'!$C:$FB,127)*100</f>
        <v>-38.159999999999997</v>
      </c>
    </row>
    <row r="20" spans="1:17" x14ac:dyDescent="0.25">
      <c r="A20" s="97" t="str">
        <f>'Data Vlaue (Cr)'!C15</f>
        <v>APOLLOHOSP</v>
      </c>
      <c r="B20" s="140">
        <f>VLOOKUP($A20,'Data shares'!$C:$FB,7)</f>
        <v>7737.5</v>
      </c>
      <c r="C20" s="140">
        <f>VLOOKUP($A20,'Data shares'!$C:$FB,3)</f>
        <v>7780</v>
      </c>
      <c r="D20" s="140">
        <f>VLOOKUP($A20,'Data shares'!$C:$FB,4)</f>
        <v>7679.5</v>
      </c>
      <c r="E20" s="50">
        <f t="shared" si="0"/>
        <v>1.3086789504525034</v>
      </c>
      <c r="F20" s="49">
        <f>VLOOKUP($A20,'Data shares'!$C:$FB,98)</f>
        <v>3083250</v>
      </c>
      <c r="G20" s="49">
        <f>VLOOKUP($A20,'Data shares'!$C:$FB,99)</f>
        <v>2936125</v>
      </c>
      <c r="H20" s="50">
        <f t="shared" si="1"/>
        <v>5.0108561454297753</v>
      </c>
      <c r="I20" s="49">
        <f>VLOOKUP($A20,'Data shares'!$C:$FB,66)</f>
        <v>1458250</v>
      </c>
      <c r="J20" s="49">
        <f>VLOOKUP($A20,'Data shares'!$C:$FB,67)</f>
        <v>1407250</v>
      </c>
      <c r="K20" s="50">
        <f t="shared" si="2"/>
        <v>3.4973427052974451</v>
      </c>
      <c r="L20" s="50">
        <f>VLOOKUP($A20,'Data shares'!$C:$FB,118)</f>
        <v>0.65</v>
      </c>
      <c r="M20" s="50">
        <f>VLOOKUP($A20,'Data shares'!$C:$FB,119)</f>
        <v>0.65</v>
      </c>
      <c r="N20" s="50">
        <f>VLOOKUP($A20,'Data shares'!$C:$FB,121)*100</f>
        <v>0</v>
      </c>
      <c r="O20" s="50">
        <f>VLOOKUP($A20,'Data shares'!$C:$FB,124)</f>
        <v>0.62</v>
      </c>
      <c r="P20" s="50">
        <f>VLOOKUP($A20,'Data shares'!$C:$FB,125)</f>
        <v>0.82</v>
      </c>
      <c r="Q20" s="50">
        <f>VLOOKUP($A20,'Data shares'!$C:$FB,127)*100</f>
        <v>-24.39</v>
      </c>
    </row>
    <row r="21" spans="1:17" x14ac:dyDescent="0.25">
      <c r="A21" s="97" t="str">
        <f>'Data Vlaue (Cr)'!C16</f>
        <v>ASHOKLEY</v>
      </c>
      <c r="B21" s="140">
        <f>VLOOKUP($A21,'Data shares'!$C:$FB,7)</f>
        <v>160.77000000000001</v>
      </c>
      <c r="C21" s="140">
        <f>VLOOKUP($A21,'Data shares'!$C:$FB,3)</f>
        <v>160.62</v>
      </c>
      <c r="D21" s="140">
        <f>VLOOKUP($A21,'Data shares'!$C:$FB,4)</f>
        <v>162.44999999999999</v>
      </c>
      <c r="E21" s="50">
        <f t="shared" si="0"/>
        <v>-1.1265004616805074</v>
      </c>
      <c r="F21" s="49">
        <f>VLOOKUP($A21,'Data shares'!$C:$FB,98)</f>
        <v>265995000</v>
      </c>
      <c r="G21" s="49">
        <f>VLOOKUP($A21,'Data shares'!$C:$FB,99)</f>
        <v>250865000</v>
      </c>
      <c r="H21" s="50">
        <f t="shared" si="1"/>
        <v>6.031132282303231</v>
      </c>
      <c r="I21" s="49">
        <f>VLOOKUP($A21,'Data shares'!$C:$FB,66)</f>
        <v>129125000</v>
      </c>
      <c r="J21" s="49">
        <f>VLOOKUP($A21,'Data shares'!$C:$FB,67)</f>
        <v>132270000</v>
      </c>
      <c r="K21" s="50">
        <f t="shared" si="2"/>
        <v>-2.4356243949661183</v>
      </c>
      <c r="L21" s="50">
        <f>VLOOKUP($A21,'Data shares'!$C:$FB,118)</f>
        <v>0.6</v>
      </c>
      <c r="M21" s="50">
        <f>VLOOKUP($A21,'Data shares'!$C:$FB,119)</f>
        <v>0.65</v>
      </c>
      <c r="N21" s="50">
        <f>VLOOKUP($A21,'Data shares'!$C:$FB,121)*100</f>
        <v>-7.6899999999999995</v>
      </c>
      <c r="O21" s="50">
        <f>VLOOKUP($A21,'Data shares'!$C:$FB,124)</f>
        <v>0.43</v>
      </c>
      <c r="P21" s="50">
        <f>VLOOKUP($A21,'Data shares'!$C:$FB,125)</f>
        <v>0.47</v>
      </c>
      <c r="Q21" s="50">
        <f>VLOOKUP($A21,'Data shares'!$C:$FB,127)*100</f>
        <v>-8.51</v>
      </c>
    </row>
    <row r="22" spans="1:17" x14ac:dyDescent="0.25">
      <c r="A22" s="97" t="str">
        <f>'Data Vlaue (Cr)'!C17</f>
        <v>ASIANPAINT</v>
      </c>
      <c r="B22" s="140">
        <f>VLOOKUP($A22,'Data shares'!$C:$FB,7)</f>
        <v>2448.1</v>
      </c>
      <c r="C22" s="140">
        <f>VLOOKUP($A22,'Data shares'!$C:$FB,3)</f>
        <v>2461.9</v>
      </c>
      <c r="D22" s="140">
        <f>VLOOKUP($A22,'Data shares'!$C:$FB,4)</f>
        <v>2457.1999999999998</v>
      </c>
      <c r="E22" s="50">
        <f t="shared" si="0"/>
        <v>0.19127462152044086</v>
      </c>
      <c r="F22" s="49">
        <f>VLOOKUP($A22,'Data shares'!$C:$FB,98)</f>
        <v>21128750</v>
      </c>
      <c r="G22" s="49">
        <f>VLOOKUP($A22,'Data shares'!$C:$FB,99)</f>
        <v>19292250</v>
      </c>
      <c r="H22" s="50">
        <f t="shared" si="1"/>
        <v>9.519366585027667</v>
      </c>
      <c r="I22" s="49">
        <f>VLOOKUP($A22,'Data shares'!$C:$FB,66)</f>
        <v>11245000</v>
      </c>
      <c r="J22" s="49">
        <f>VLOOKUP($A22,'Data shares'!$C:$FB,67)</f>
        <v>9414500</v>
      </c>
      <c r="K22" s="50">
        <f t="shared" si="2"/>
        <v>16.278345931525124</v>
      </c>
      <c r="L22" s="50">
        <f>VLOOKUP($A22,'Data shares'!$C:$FB,118)</f>
        <v>0.85</v>
      </c>
      <c r="M22" s="50">
        <f>VLOOKUP($A22,'Data shares'!$C:$FB,119)</f>
        <v>1.04</v>
      </c>
      <c r="N22" s="50">
        <f>VLOOKUP($A22,'Data shares'!$C:$FB,121)*100</f>
        <v>-18.27</v>
      </c>
      <c r="O22" s="50">
        <f>VLOOKUP($A22,'Data shares'!$C:$FB,124)</f>
        <v>0.64</v>
      </c>
      <c r="P22" s="50">
        <f>VLOOKUP($A22,'Data shares'!$C:$FB,125)</f>
        <v>1.1000000000000001</v>
      </c>
      <c r="Q22" s="50">
        <f>VLOOKUP($A22,'Data shares'!$C:$FB,127)*100</f>
        <v>-41.82</v>
      </c>
    </row>
    <row r="23" spans="1:17" x14ac:dyDescent="0.25">
      <c r="A23" s="97" t="str">
        <f>'Data Vlaue (Cr)'!C18</f>
        <v>ASTRAL</v>
      </c>
      <c r="B23" s="140">
        <f>VLOOKUP($A23,'Data shares'!$C:$FB,7)</f>
        <v>1559.6</v>
      </c>
      <c r="C23" s="140">
        <f>VLOOKUP($A23,'Data shares'!$C:$FB,3)</f>
        <v>1558.3</v>
      </c>
      <c r="D23" s="140">
        <f>VLOOKUP($A23,'Data shares'!$C:$FB,4)</f>
        <v>1533.2</v>
      </c>
      <c r="E23" s="50">
        <f t="shared" si="0"/>
        <v>1.6370988781633127</v>
      </c>
      <c r="F23" s="49">
        <f>VLOOKUP($A23,'Data shares'!$C:$FB,98)</f>
        <v>11419325</v>
      </c>
      <c r="G23" s="49">
        <f>VLOOKUP($A23,'Data shares'!$C:$FB,99)</f>
        <v>11221275</v>
      </c>
      <c r="H23" s="50">
        <f t="shared" si="1"/>
        <v>1.7649509525432716</v>
      </c>
      <c r="I23" s="49">
        <f>VLOOKUP($A23,'Data shares'!$C:$FB,66)</f>
        <v>3496050</v>
      </c>
      <c r="J23" s="49">
        <f>VLOOKUP($A23,'Data shares'!$C:$FB,67)</f>
        <v>3307775</v>
      </c>
      <c r="K23" s="50">
        <f t="shared" si="2"/>
        <v>5.3853634816435694</v>
      </c>
      <c r="L23" s="50">
        <f>VLOOKUP($A23,'Data shares'!$C:$FB,118)</f>
        <v>0.68</v>
      </c>
      <c r="M23" s="50">
        <f>VLOOKUP($A23,'Data shares'!$C:$FB,119)</f>
        <v>0.72</v>
      </c>
      <c r="N23" s="50">
        <f>VLOOKUP($A23,'Data shares'!$C:$FB,121)*100</f>
        <v>-5.56</v>
      </c>
      <c r="O23" s="50">
        <f>VLOOKUP($A23,'Data shares'!$C:$FB,124)</f>
        <v>0.46</v>
      </c>
      <c r="P23" s="50">
        <f>VLOOKUP($A23,'Data shares'!$C:$FB,125)</f>
        <v>0.53</v>
      </c>
      <c r="Q23" s="50">
        <f>VLOOKUP($A23,'Data shares'!$C:$FB,127)*100</f>
        <v>-13.209999999999999</v>
      </c>
    </row>
    <row r="24" spans="1:17" x14ac:dyDescent="0.25">
      <c r="A24" s="97" t="str">
        <f>'Data Vlaue (Cr)'!C19</f>
        <v>AUBANK</v>
      </c>
      <c r="B24" s="140">
        <f>VLOOKUP($A24,'Data shares'!$C:$FB,7)</f>
        <v>1015</v>
      </c>
      <c r="C24" s="140">
        <f>VLOOKUP($A24,'Data shares'!$C:$FB,3)</f>
        <v>1021.1</v>
      </c>
      <c r="D24" s="140">
        <f>VLOOKUP($A24,'Data shares'!$C:$FB,4)</f>
        <v>1021.15</v>
      </c>
      <c r="E24" s="50">
        <f t="shared" si="0"/>
        <v>-4.8964402879062363E-3</v>
      </c>
      <c r="F24" s="49">
        <f>VLOOKUP($A24,'Data shares'!$C:$FB,98)</f>
        <v>38596000</v>
      </c>
      <c r="G24" s="49">
        <f>VLOOKUP($A24,'Data shares'!$C:$FB,99)</f>
        <v>38620000</v>
      </c>
      <c r="H24" s="50">
        <f t="shared" si="1"/>
        <v>-6.2143966856551013E-2</v>
      </c>
      <c r="I24" s="49">
        <f>VLOOKUP($A24,'Data shares'!$C:$FB,66)</f>
        <v>12369000</v>
      </c>
      <c r="J24" s="49">
        <f>VLOOKUP($A24,'Data shares'!$C:$FB,67)</f>
        <v>17603000</v>
      </c>
      <c r="K24" s="50">
        <f t="shared" si="2"/>
        <v>-42.315466084566253</v>
      </c>
      <c r="L24" s="50">
        <f>VLOOKUP($A24,'Data shares'!$C:$FB,118)</f>
        <v>0.56000000000000005</v>
      </c>
      <c r="M24" s="50">
        <f>VLOOKUP($A24,'Data shares'!$C:$FB,119)</f>
        <v>0.54</v>
      </c>
      <c r="N24" s="50">
        <f>VLOOKUP($A24,'Data shares'!$C:$FB,121)*100</f>
        <v>3.6999999999999997</v>
      </c>
      <c r="O24" s="50">
        <f>VLOOKUP($A24,'Data shares'!$C:$FB,124)</f>
        <v>0.52</v>
      </c>
      <c r="P24" s="50">
        <f>VLOOKUP($A24,'Data shares'!$C:$FB,125)</f>
        <v>0.55000000000000004</v>
      </c>
      <c r="Q24" s="50">
        <f>VLOOKUP($A24,'Data shares'!$C:$FB,127)*100</f>
        <v>-5.45</v>
      </c>
    </row>
    <row r="25" spans="1:17" x14ac:dyDescent="0.25">
      <c r="A25" s="97" t="str">
        <f>'Data Vlaue (Cr)'!C20</f>
        <v>AUROPHARMA</v>
      </c>
      <c r="B25" s="140">
        <f>VLOOKUP($A25,'Data shares'!$C:$FB,7)</f>
        <v>1376</v>
      </c>
      <c r="C25" s="140">
        <f>VLOOKUP($A25,'Data shares'!$C:$FB,3)</f>
        <v>1379.8</v>
      </c>
      <c r="D25" s="140">
        <f>VLOOKUP($A25,'Data shares'!$C:$FB,4)</f>
        <v>1396.4</v>
      </c>
      <c r="E25" s="50">
        <f t="shared" si="0"/>
        <v>-1.1887711257519431</v>
      </c>
      <c r="F25" s="49">
        <f>VLOOKUP($A25,'Data shares'!$C:$FB,98)</f>
        <v>23969550</v>
      </c>
      <c r="G25" s="49">
        <f>VLOOKUP($A25,'Data shares'!$C:$FB,99)</f>
        <v>23411300</v>
      </c>
      <c r="H25" s="50">
        <f t="shared" si="1"/>
        <v>2.3845322557910067</v>
      </c>
      <c r="I25" s="49">
        <f>VLOOKUP($A25,'Data shares'!$C:$FB,66)</f>
        <v>4068900</v>
      </c>
      <c r="J25" s="49">
        <f>VLOOKUP($A25,'Data shares'!$C:$FB,67)</f>
        <v>2663650</v>
      </c>
      <c r="K25" s="50">
        <f t="shared" si="2"/>
        <v>34.536361178696943</v>
      </c>
      <c r="L25" s="50">
        <f>VLOOKUP($A25,'Data shares'!$C:$FB,118)</f>
        <v>0.56999999999999995</v>
      </c>
      <c r="M25" s="50">
        <f>VLOOKUP($A25,'Data shares'!$C:$FB,119)</f>
        <v>0.6</v>
      </c>
      <c r="N25" s="50">
        <f>VLOOKUP($A25,'Data shares'!$C:$FB,121)*100</f>
        <v>-5</v>
      </c>
      <c r="O25" s="50">
        <f>VLOOKUP($A25,'Data shares'!$C:$FB,124)</f>
        <v>0.53</v>
      </c>
      <c r="P25" s="50">
        <f>VLOOKUP($A25,'Data shares'!$C:$FB,125)</f>
        <v>0.59</v>
      </c>
      <c r="Q25" s="50">
        <f>VLOOKUP($A25,'Data shares'!$C:$FB,127)*100</f>
        <v>-10.17</v>
      </c>
    </row>
    <row r="26" spans="1:17" x14ac:dyDescent="0.25">
      <c r="A26" s="97" t="str">
        <f>'Data Vlaue (Cr)'!C21</f>
        <v>AXISBANK</v>
      </c>
      <c r="B26" s="140">
        <f>VLOOKUP($A26,'Data shares'!$C:$FB,7)</f>
        <v>1275.0999999999999</v>
      </c>
      <c r="C26" s="140">
        <f>VLOOKUP($A26,'Data shares'!$C:$FB,3)</f>
        <v>1282.2</v>
      </c>
      <c r="D26" s="140">
        <f>VLOOKUP($A26,'Data shares'!$C:$FB,4)</f>
        <v>1275.9000000000001</v>
      </c>
      <c r="E26" s="50">
        <f t="shared" si="0"/>
        <v>0.4937691041617645</v>
      </c>
      <c r="F26" s="49">
        <f>VLOOKUP($A26,'Data shares'!$C:$FB,98)</f>
        <v>91692500</v>
      </c>
      <c r="G26" s="49">
        <f>VLOOKUP($A26,'Data shares'!$C:$FB,99)</f>
        <v>85863125</v>
      </c>
      <c r="H26" s="50">
        <f t="shared" si="1"/>
        <v>6.7891484266383264</v>
      </c>
      <c r="I26" s="49">
        <f>VLOOKUP($A26,'Data shares'!$C:$FB,66)</f>
        <v>37005625</v>
      </c>
      <c r="J26" s="49">
        <f>VLOOKUP($A26,'Data shares'!$C:$FB,67)</f>
        <v>52433125</v>
      </c>
      <c r="K26" s="50">
        <f t="shared" si="2"/>
        <v>-41.68960799878397</v>
      </c>
      <c r="L26" s="50">
        <f>VLOOKUP($A26,'Data shares'!$C:$FB,118)</f>
        <v>0.7</v>
      </c>
      <c r="M26" s="50">
        <f>VLOOKUP($A26,'Data shares'!$C:$FB,119)</f>
        <v>0.7</v>
      </c>
      <c r="N26" s="50">
        <f>VLOOKUP($A26,'Data shares'!$C:$FB,121)*100</f>
        <v>0</v>
      </c>
      <c r="O26" s="50">
        <f>VLOOKUP($A26,'Data shares'!$C:$FB,124)</f>
        <v>0.49</v>
      </c>
      <c r="P26" s="50">
        <f>VLOOKUP($A26,'Data shares'!$C:$FB,125)</f>
        <v>0.71</v>
      </c>
      <c r="Q26" s="50">
        <f>VLOOKUP($A26,'Data shares'!$C:$FB,127)*100</f>
        <v>-30.990000000000002</v>
      </c>
    </row>
    <row r="27" spans="1:17" x14ac:dyDescent="0.25">
      <c r="A27" s="97" t="str">
        <f>'Data Vlaue (Cr)'!C22</f>
        <v>BAJAJ-AUTO</v>
      </c>
      <c r="B27" s="140">
        <f>VLOOKUP($A27,'Data shares'!$C:$FB,7)</f>
        <v>10132</v>
      </c>
      <c r="C27" s="140">
        <f>VLOOKUP($A27,'Data shares'!$C:$FB,3)</f>
        <v>10170.5</v>
      </c>
      <c r="D27" s="140">
        <f>VLOOKUP($A27,'Data shares'!$C:$FB,4)</f>
        <v>10039</v>
      </c>
      <c r="E27" s="50">
        <f t="shared" si="0"/>
        <v>1.3098914234485508</v>
      </c>
      <c r="F27" s="49">
        <f>VLOOKUP($A27,'Data shares'!$C:$FB,98)</f>
        <v>5168550</v>
      </c>
      <c r="G27" s="49">
        <f>VLOOKUP($A27,'Data shares'!$C:$FB,99)</f>
        <v>4621350</v>
      </c>
      <c r="H27" s="50">
        <f t="shared" si="1"/>
        <v>11.840695900548541</v>
      </c>
      <c r="I27" s="49">
        <f>VLOOKUP($A27,'Data shares'!$C:$FB,66)</f>
        <v>9928050</v>
      </c>
      <c r="J27" s="49">
        <f>VLOOKUP($A27,'Data shares'!$C:$FB,67)</f>
        <v>13062225</v>
      </c>
      <c r="K27" s="50">
        <f t="shared" si="2"/>
        <v>-31.56888815024098</v>
      </c>
      <c r="L27" s="50">
        <f>VLOOKUP($A27,'Data shares'!$C:$FB,118)</f>
        <v>0.79</v>
      </c>
      <c r="M27" s="50">
        <f>VLOOKUP($A27,'Data shares'!$C:$FB,119)</f>
        <v>0.89</v>
      </c>
      <c r="N27" s="50">
        <f>VLOOKUP($A27,'Data shares'!$C:$FB,121)*100</f>
        <v>-11.24</v>
      </c>
      <c r="O27" s="50">
        <f>VLOOKUP($A27,'Data shares'!$C:$FB,124)</f>
        <v>0.56000000000000005</v>
      </c>
      <c r="P27" s="50">
        <f>VLOOKUP($A27,'Data shares'!$C:$FB,125)</f>
        <v>0.42</v>
      </c>
      <c r="Q27" s="50">
        <f>VLOOKUP($A27,'Data shares'!$C:$FB,127)*100</f>
        <v>33.33</v>
      </c>
    </row>
    <row r="28" spans="1:17" x14ac:dyDescent="0.25">
      <c r="A28" s="97" t="str">
        <f>'Data Vlaue (Cr)'!C23</f>
        <v>BAJAJFINSV</v>
      </c>
      <c r="B28" s="140">
        <f>VLOOKUP($A28,'Data shares'!$C:$FB,7)</f>
        <v>1770.4</v>
      </c>
      <c r="C28" s="140">
        <f>VLOOKUP($A28,'Data shares'!$C:$FB,3)</f>
        <v>1780.2</v>
      </c>
      <c r="D28" s="140">
        <f>VLOOKUP($A28,'Data shares'!$C:$FB,4)</f>
        <v>1752.4</v>
      </c>
      <c r="E28" s="50">
        <f t="shared" si="0"/>
        <v>1.5863958000456491</v>
      </c>
      <c r="F28" s="49">
        <f>VLOOKUP($A28,'Data shares'!$C:$FB,98)</f>
        <v>17313950</v>
      </c>
      <c r="G28" s="49">
        <f>VLOOKUP($A28,'Data shares'!$C:$FB,99)</f>
        <v>16510650</v>
      </c>
      <c r="H28" s="50">
        <f t="shared" si="1"/>
        <v>4.8653444897687246</v>
      </c>
      <c r="I28" s="49">
        <f>VLOOKUP($A28,'Data shares'!$C:$FB,66)</f>
        <v>9756500</v>
      </c>
      <c r="J28" s="49">
        <f>VLOOKUP($A28,'Data shares'!$C:$FB,67)</f>
        <v>19381500</v>
      </c>
      <c r="K28" s="50">
        <f t="shared" si="2"/>
        <v>-98.652180597550355</v>
      </c>
      <c r="L28" s="50">
        <f>VLOOKUP($A28,'Data shares'!$C:$FB,118)</f>
        <v>1.05</v>
      </c>
      <c r="M28" s="50">
        <f>VLOOKUP($A28,'Data shares'!$C:$FB,119)</f>
        <v>1.01</v>
      </c>
      <c r="N28" s="50">
        <f>VLOOKUP($A28,'Data shares'!$C:$FB,121)*100</f>
        <v>3.9600000000000004</v>
      </c>
      <c r="O28" s="50">
        <f>VLOOKUP($A28,'Data shares'!$C:$FB,124)</f>
        <v>0.66</v>
      </c>
      <c r="P28" s="50">
        <f>VLOOKUP($A28,'Data shares'!$C:$FB,125)</f>
        <v>0.63</v>
      </c>
      <c r="Q28" s="50">
        <f>VLOOKUP($A28,'Data shares'!$C:$FB,127)*100</f>
        <v>4.7600000000000007</v>
      </c>
    </row>
    <row r="29" spans="1:17" x14ac:dyDescent="0.25">
      <c r="A29" s="97" t="str">
        <f>'Data Vlaue (Cr)'!C24</f>
        <v>BAJAJHLDNG</v>
      </c>
      <c r="B29" s="140">
        <f>VLOOKUP($A29,'Data shares'!$C:$FB,7)</f>
        <v>10376</v>
      </c>
      <c r="C29" s="140">
        <f>VLOOKUP($A29,'Data shares'!$C:$FB,3)</f>
        <v>10427</v>
      </c>
      <c r="D29" s="140">
        <f>VLOOKUP($A29,'Data shares'!$C:$FB,4)</f>
        <v>10336</v>
      </c>
      <c r="E29" s="50">
        <f t="shared" si="0"/>
        <v>0.8804179566563467</v>
      </c>
      <c r="F29" s="49">
        <f>VLOOKUP($A29,'Data shares'!$C:$FB,98)</f>
        <v>337300</v>
      </c>
      <c r="G29" s="49">
        <f>VLOOKUP($A29,'Data shares'!$C:$FB,99)</f>
        <v>305600</v>
      </c>
      <c r="H29" s="50">
        <f t="shared" si="1"/>
        <v>10.37303664921466</v>
      </c>
      <c r="I29" s="49">
        <f>VLOOKUP($A29,'Data shares'!$C:$FB,66)</f>
        <v>272600</v>
      </c>
      <c r="J29" s="49">
        <f>VLOOKUP($A29,'Data shares'!$C:$FB,67)</f>
        <v>97150</v>
      </c>
      <c r="K29" s="50">
        <f t="shared" si="2"/>
        <v>64.361702127659569</v>
      </c>
      <c r="L29" s="50">
        <f>VLOOKUP($A29,'Data shares'!$C:$FB,118)</f>
        <v>0.44</v>
      </c>
      <c r="M29" s="50">
        <f>VLOOKUP($A29,'Data shares'!$C:$FB,119)</f>
        <v>0.45</v>
      </c>
      <c r="N29" s="50">
        <f>VLOOKUP($A29,'Data shares'!$C:$FB,121)*100</f>
        <v>-2.2200000000000002</v>
      </c>
      <c r="O29" s="50">
        <f>VLOOKUP($A29,'Data shares'!$C:$FB,124)</f>
        <v>0.15</v>
      </c>
      <c r="P29" s="50">
        <f>VLOOKUP($A29,'Data shares'!$C:$FB,125)</f>
        <v>0.24</v>
      </c>
      <c r="Q29" s="50">
        <f>VLOOKUP($A29,'Data shares'!$C:$FB,127)*100</f>
        <v>-37.5</v>
      </c>
    </row>
    <row r="30" spans="1:17" x14ac:dyDescent="0.25">
      <c r="A30" s="97" t="str">
        <f>'Data Vlaue (Cr)'!C25</f>
        <v>BAJFINANCE</v>
      </c>
      <c r="B30" s="176">
        <f>VLOOKUP($A30,'Data shares'!$C:$FB,7)</f>
        <v>950.2</v>
      </c>
      <c r="C30" s="176">
        <f>VLOOKUP($A30,'Data shares'!$C:$FB,3)</f>
        <v>953.4</v>
      </c>
      <c r="D30" s="176">
        <f>VLOOKUP($A30,'Data shares'!$C:$FB,4)</f>
        <v>942.35</v>
      </c>
      <c r="E30" s="50">
        <f t="shared" si="0"/>
        <v>1.1726004138589647</v>
      </c>
      <c r="F30" s="49">
        <f>VLOOKUP($A30,'Data shares'!$C:$FB,98)</f>
        <v>100515000</v>
      </c>
      <c r="G30" s="49">
        <f>VLOOKUP($A30,'Data shares'!$C:$FB,99)</f>
        <v>101565750</v>
      </c>
      <c r="H30" s="50">
        <f t="shared" si="1"/>
        <v>-1.0345515097363038</v>
      </c>
      <c r="I30" s="49">
        <f>VLOOKUP($A30,'Data shares'!$C:$FB,66)</f>
        <v>55482000</v>
      </c>
      <c r="J30" s="49">
        <f>VLOOKUP($A30,'Data shares'!$C:$FB,67)</f>
        <v>175708500</v>
      </c>
      <c r="K30" s="50">
        <f t="shared" si="2"/>
        <v>-216.69460365523952</v>
      </c>
      <c r="L30" s="50">
        <f>VLOOKUP($A30,'Data shares'!$C:$FB,118)</f>
        <v>0.75</v>
      </c>
      <c r="M30" s="50">
        <f>VLOOKUP($A30,'Data shares'!$C:$FB,119)</f>
        <v>0.71</v>
      </c>
      <c r="N30" s="50">
        <f>VLOOKUP($A30,'Data shares'!$C:$FB,121)*100</f>
        <v>5.63</v>
      </c>
      <c r="O30" s="50">
        <f>VLOOKUP($A30,'Data shares'!$C:$FB,124)</f>
        <v>0.63</v>
      </c>
      <c r="P30" s="50">
        <f>VLOOKUP($A30,'Data shares'!$C:$FB,125)</f>
        <v>0.55000000000000004</v>
      </c>
      <c r="Q30" s="50">
        <f>VLOOKUP($A30,'Data shares'!$C:$FB,127)*100</f>
        <v>14.549999999999999</v>
      </c>
    </row>
    <row r="31" spans="1:17" x14ac:dyDescent="0.25">
      <c r="A31" s="97" t="str">
        <f>'Data Vlaue (Cr)'!C26</f>
        <v>BANDHANBNK</v>
      </c>
      <c r="B31" s="140">
        <f>VLOOKUP($A31,'Data shares'!$C:$FB,7)</f>
        <v>206.76</v>
      </c>
      <c r="C31" s="140">
        <f>VLOOKUP($A31,'Data shares'!$C:$FB,3)</f>
        <v>208.01</v>
      </c>
      <c r="D31" s="140">
        <f>VLOOKUP($A31,'Data shares'!$C:$FB,4)</f>
        <v>200.89</v>
      </c>
      <c r="E31" s="50">
        <f t="shared" si="0"/>
        <v>3.5442281845786274</v>
      </c>
      <c r="F31" s="49">
        <f>VLOOKUP($A31,'Data shares'!$C:$FB,98)</f>
        <v>176313600</v>
      </c>
      <c r="G31" s="49">
        <f>VLOOKUP($A31,'Data shares'!$C:$FB,99)</f>
        <v>162586800</v>
      </c>
      <c r="H31" s="50">
        <f t="shared" si="1"/>
        <v>8.4427518101100461</v>
      </c>
      <c r="I31" s="49">
        <f>VLOOKUP($A31,'Data shares'!$C:$FB,66)</f>
        <v>288442800</v>
      </c>
      <c r="J31" s="49">
        <f>VLOOKUP($A31,'Data shares'!$C:$FB,67)</f>
        <v>166798800</v>
      </c>
      <c r="K31" s="50">
        <f t="shared" si="2"/>
        <v>42.172659535963462</v>
      </c>
      <c r="L31" s="50">
        <f>VLOOKUP($A31,'Data shares'!$C:$FB,118)</f>
        <v>0.74</v>
      </c>
      <c r="M31" s="50">
        <f>VLOOKUP($A31,'Data shares'!$C:$FB,119)</f>
        <v>0.62</v>
      </c>
      <c r="N31" s="50">
        <f>VLOOKUP($A31,'Data shares'!$C:$FB,121)*100</f>
        <v>19.350000000000001</v>
      </c>
      <c r="O31" s="50">
        <f>VLOOKUP($A31,'Data shares'!$C:$FB,124)</f>
        <v>0.44</v>
      </c>
      <c r="P31" s="50">
        <f>VLOOKUP($A31,'Data shares'!$C:$FB,125)</f>
        <v>0.57999999999999996</v>
      </c>
      <c r="Q31" s="50">
        <f>VLOOKUP($A31,'Data shares'!$C:$FB,127)*100</f>
        <v>-24.14</v>
      </c>
    </row>
    <row r="32" spans="1:17" x14ac:dyDescent="0.25">
      <c r="A32" s="97" t="str">
        <f>'Data Vlaue (Cr)'!C27</f>
        <v>BANKBARODA</v>
      </c>
      <c r="B32" s="140">
        <f>VLOOKUP($A32,'Data shares'!$C:$FB,7)</f>
        <v>265.10000000000002</v>
      </c>
      <c r="C32" s="140">
        <f>VLOOKUP($A32,'Data shares'!$C:$FB,3)</f>
        <v>266.60000000000002</v>
      </c>
      <c r="D32" s="140">
        <f>VLOOKUP($A32,'Data shares'!$C:$FB,4)</f>
        <v>265.10000000000002</v>
      </c>
      <c r="E32" s="50">
        <f t="shared" si="0"/>
        <v>0.56582421727649945</v>
      </c>
      <c r="F32" s="49">
        <f>VLOOKUP($A32,'Data shares'!$C:$FB,98)</f>
        <v>171048150</v>
      </c>
      <c r="G32" s="49">
        <f>VLOOKUP($A32,'Data shares'!$C:$FB,99)</f>
        <v>167640525</v>
      </c>
      <c r="H32" s="50">
        <f t="shared" si="1"/>
        <v>2.0326976427686563</v>
      </c>
      <c r="I32" s="49">
        <f>VLOOKUP($A32,'Data shares'!$C:$FB,66)</f>
        <v>49920975</v>
      </c>
      <c r="J32" s="49">
        <f>VLOOKUP($A32,'Data shares'!$C:$FB,67)</f>
        <v>52579800</v>
      </c>
      <c r="K32" s="50">
        <f t="shared" si="2"/>
        <v>-5.3260678502373002</v>
      </c>
      <c r="L32" s="50">
        <f>VLOOKUP($A32,'Data shares'!$C:$FB,118)</f>
        <v>0.81</v>
      </c>
      <c r="M32" s="50">
        <f>VLOOKUP($A32,'Data shares'!$C:$FB,119)</f>
        <v>0.84</v>
      </c>
      <c r="N32" s="50">
        <f>VLOOKUP($A32,'Data shares'!$C:$FB,121)*100</f>
        <v>-3.5700000000000003</v>
      </c>
      <c r="O32" s="50">
        <f>VLOOKUP($A32,'Data shares'!$C:$FB,124)</f>
        <v>0.48</v>
      </c>
      <c r="P32" s="50">
        <f>VLOOKUP($A32,'Data shares'!$C:$FB,125)</f>
        <v>0.59</v>
      </c>
      <c r="Q32" s="50">
        <f>VLOOKUP($A32,'Data shares'!$C:$FB,127)*100</f>
        <v>-18.64</v>
      </c>
    </row>
    <row r="33" spans="1:17" x14ac:dyDescent="0.25">
      <c r="A33" s="97" t="str">
        <f>'Data Vlaue (Cr)'!C28</f>
        <v>BANKINDIA</v>
      </c>
      <c r="B33" s="140">
        <f>VLOOKUP($A33,'Data shares'!$C:$FB,7)</f>
        <v>138.66</v>
      </c>
      <c r="C33" s="140">
        <f>VLOOKUP($A33,'Data shares'!$C:$FB,3)</f>
        <v>139.51</v>
      </c>
      <c r="D33" s="140">
        <f>VLOOKUP($A33,'Data shares'!$C:$FB,4)</f>
        <v>140.51</v>
      </c>
      <c r="E33" s="50">
        <f t="shared" si="0"/>
        <v>-0.71169311792754975</v>
      </c>
      <c r="F33" s="49">
        <f>VLOOKUP($A33,'Data shares'!$C:$FB,98)</f>
        <v>87022000</v>
      </c>
      <c r="G33" s="49">
        <f>VLOOKUP($A33,'Data shares'!$C:$FB,99)</f>
        <v>81296800</v>
      </c>
      <c r="H33" s="50">
        <f t="shared" si="1"/>
        <v>7.0423436100805938</v>
      </c>
      <c r="I33" s="49">
        <f>VLOOKUP($A33,'Data shares'!$C:$FB,66)</f>
        <v>33222800</v>
      </c>
      <c r="J33" s="49">
        <f>VLOOKUP($A33,'Data shares'!$C:$FB,67)</f>
        <v>31340400</v>
      </c>
      <c r="K33" s="50">
        <f t="shared" si="2"/>
        <v>5.6659884175927377</v>
      </c>
      <c r="L33" s="50">
        <f>VLOOKUP($A33,'Data shares'!$C:$FB,118)</f>
        <v>0.83</v>
      </c>
      <c r="M33" s="50">
        <f>VLOOKUP($A33,'Data shares'!$C:$FB,119)</f>
        <v>0.89</v>
      </c>
      <c r="N33" s="50">
        <f>VLOOKUP($A33,'Data shares'!$C:$FB,121)*100</f>
        <v>-6.74</v>
      </c>
      <c r="O33" s="50">
        <f>VLOOKUP($A33,'Data shares'!$C:$FB,124)</f>
        <v>0.46</v>
      </c>
      <c r="P33" s="50">
        <f>VLOOKUP($A33,'Data shares'!$C:$FB,125)</f>
        <v>0.83</v>
      </c>
      <c r="Q33" s="50">
        <f>VLOOKUP($A33,'Data shares'!$C:$FB,127)*100</f>
        <v>-44.58</v>
      </c>
    </row>
    <row r="34" spans="1:17" x14ac:dyDescent="0.25">
      <c r="A34" s="97" t="str">
        <f>'Data Vlaue (Cr)'!C29</f>
        <v>BANKNIFTY</v>
      </c>
      <c r="B34" s="140">
        <f>VLOOKUP($A34,'Data shares'!$C:$FB,7)</f>
        <v>54878.5</v>
      </c>
      <c r="C34" s="140">
        <f>VLOOKUP($A34,'Data shares'!$C:$FB,3)</f>
        <v>55153.8</v>
      </c>
      <c r="D34" s="140">
        <f>VLOOKUP($A34,'Data shares'!$C:$FB,4)</f>
        <v>55195.199999999997</v>
      </c>
      <c r="E34" s="50">
        <f t="shared" si="0"/>
        <v>-7.5006522306276954E-2</v>
      </c>
      <c r="F34" s="49">
        <f>VLOOKUP($A34,'Data shares'!$C:$FB,98)</f>
        <v>27249840</v>
      </c>
      <c r="G34" s="49">
        <f>VLOOKUP($A34,'Data shares'!$C:$FB,99)</f>
        <v>25129500</v>
      </c>
      <c r="H34" s="50">
        <f t="shared" si="1"/>
        <v>8.4376529576792212</v>
      </c>
      <c r="I34" s="49">
        <f>VLOOKUP($A34,'Data shares'!$C:$FB,66)</f>
        <v>51504090</v>
      </c>
      <c r="J34" s="49">
        <f>VLOOKUP($A34,'Data shares'!$C:$FB,67)</f>
        <v>50042430</v>
      </c>
      <c r="K34" s="50">
        <f t="shared" si="2"/>
        <v>2.8379493745059858</v>
      </c>
      <c r="L34" s="50">
        <f>VLOOKUP($A34,'Data shares'!$C:$FB,118)</f>
        <v>0.87</v>
      </c>
      <c r="M34" s="50">
        <f>VLOOKUP($A34,'Data shares'!$C:$FB,119)</f>
        <v>0.9</v>
      </c>
      <c r="N34" s="50">
        <f>VLOOKUP($A34,'Data shares'!$C:$FB,121)*100</f>
        <v>-3.3300000000000005</v>
      </c>
      <c r="O34" s="50">
        <f>VLOOKUP($A34,'Data shares'!$C:$FB,124)</f>
        <v>0.75</v>
      </c>
      <c r="P34" s="50">
        <f>VLOOKUP($A34,'Data shares'!$C:$FB,125)</f>
        <v>0.94</v>
      </c>
      <c r="Q34" s="50">
        <f>VLOOKUP($A34,'Data shares'!$C:$FB,127)*100</f>
        <v>-20.21</v>
      </c>
    </row>
    <row r="35" spans="1:17" x14ac:dyDescent="0.25">
      <c r="A35" s="97" t="str">
        <f>'Data Vlaue (Cr)'!C30</f>
        <v>BDL</v>
      </c>
      <c r="B35" s="140">
        <f>VLOOKUP($A35,'Data shares'!$C:$FB,7)</f>
        <v>1372.4</v>
      </c>
      <c r="C35" s="140">
        <f>VLOOKUP($A35,'Data shares'!$C:$FB,3)</f>
        <v>1377.2</v>
      </c>
      <c r="D35" s="140">
        <f>VLOOKUP($A35,'Data shares'!$C:$FB,4)</f>
        <v>1368.6</v>
      </c>
      <c r="E35" s="50">
        <f t="shared" si="0"/>
        <v>0.62837936577525477</v>
      </c>
      <c r="F35" s="49">
        <f>VLOOKUP($A35,'Data shares'!$C:$FB,98)</f>
        <v>6467000</v>
      </c>
      <c r="G35" s="49">
        <f>VLOOKUP($A35,'Data shares'!$C:$FB,99)</f>
        <v>6291350</v>
      </c>
      <c r="H35" s="50">
        <f t="shared" si="1"/>
        <v>2.7919286003798867</v>
      </c>
      <c r="I35" s="49">
        <f>VLOOKUP($A35,'Data shares'!$C:$FB,66)</f>
        <v>4813200</v>
      </c>
      <c r="J35" s="49">
        <f>VLOOKUP($A35,'Data shares'!$C:$FB,67)</f>
        <v>3684450</v>
      </c>
      <c r="K35" s="50">
        <f t="shared" si="2"/>
        <v>23.451134380453752</v>
      </c>
      <c r="L35" s="50">
        <f>VLOOKUP($A35,'Data shares'!$C:$FB,118)</f>
        <v>0.54</v>
      </c>
      <c r="M35" s="50">
        <f>VLOOKUP($A35,'Data shares'!$C:$FB,119)</f>
        <v>0.56000000000000005</v>
      </c>
      <c r="N35" s="50">
        <f>VLOOKUP($A35,'Data shares'!$C:$FB,121)*100</f>
        <v>-3.5700000000000003</v>
      </c>
      <c r="O35" s="50">
        <f>VLOOKUP($A35,'Data shares'!$C:$FB,124)</f>
        <v>0.31</v>
      </c>
      <c r="P35" s="50">
        <f>VLOOKUP($A35,'Data shares'!$C:$FB,125)</f>
        <v>0.72</v>
      </c>
      <c r="Q35" s="50">
        <f>VLOOKUP($A35,'Data shares'!$C:$FB,127)*100</f>
        <v>-56.940000000000005</v>
      </c>
    </row>
    <row r="36" spans="1:17" x14ac:dyDescent="0.25">
      <c r="A36" s="97" t="str">
        <f>'Data Vlaue (Cr)'!C31</f>
        <v>BEL</v>
      </c>
      <c r="B36" s="140">
        <f>VLOOKUP($A36,'Data shares'!$C:$FB,7)</f>
        <v>433.55</v>
      </c>
      <c r="C36" s="140">
        <f>VLOOKUP($A36,'Data shares'!$C:$FB,3)</f>
        <v>435.75</v>
      </c>
      <c r="D36" s="140">
        <f>VLOOKUP($A36,'Data shares'!$C:$FB,4)</f>
        <v>433.95</v>
      </c>
      <c r="E36" s="50">
        <f t="shared" si="0"/>
        <v>0.41479433114414366</v>
      </c>
      <c r="F36" s="49">
        <f>VLOOKUP($A36,'Data shares'!$C:$FB,98)</f>
        <v>176607375</v>
      </c>
      <c r="G36" s="49">
        <f>VLOOKUP($A36,'Data shares'!$C:$FB,99)</f>
        <v>169019250</v>
      </c>
      <c r="H36" s="50">
        <f t="shared" si="1"/>
        <v>4.4895034145518933</v>
      </c>
      <c r="I36" s="49">
        <f>VLOOKUP($A36,'Data shares'!$C:$FB,66)</f>
        <v>59774475</v>
      </c>
      <c r="J36" s="49">
        <f>VLOOKUP($A36,'Data shares'!$C:$FB,67)</f>
        <v>66509025</v>
      </c>
      <c r="K36" s="50">
        <f t="shared" si="2"/>
        <v>-11.266598326459579</v>
      </c>
      <c r="L36" s="50">
        <f>VLOOKUP($A36,'Data shares'!$C:$FB,118)</f>
        <v>0.63</v>
      </c>
      <c r="M36" s="50">
        <f>VLOOKUP($A36,'Data shares'!$C:$FB,119)</f>
        <v>0.65</v>
      </c>
      <c r="N36" s="50">
        <f>VLOOKUP($A36,'Data shares'!$C:$FB,121)*100</f>
        <v>-3.08</v>
      </c>
      <c r="O36" s="50">
        <f>VLOOKUP($A36,'Data shares'!$C:$FB,124)</f>
        <v>0.44</v>
      </c>
      <c r="P36" s="50">
        <f>VLOOKUP($A36,'Data shares'!$C:$FB,125)</f>
        <v>0.45</v>
      </c>
      <c r="Q36" s="50">
        <f>VLOOKUP($A36,'Data shares'!$C:$FB,127)*100</f>
        <v>-2.2200000000000002</v>
      </c>
    </row>
    <row r="37" spans="1:17" x14ac:dyDescent="0.25">
      <c r="A37" s="97" t="str">
        <f>'Data Vlaue (Cr)'!C32</f>
        <v>BHARATFORG</v>
      </c>
      <c r="B37" s="140">
        <f>VLOOKUP($A37,'Data shares'!$C:$FB,7)</f>
        <v>1845.8</v>
      </c>
      <c r="C37" s="140">
        <f>VLOOKUP($A37,'Data shares'!$C:$FB,3)</f>
        <v>1847.4</v>
      </c>
      <c r="D37" s="140">
        <f>VLOOKUP($A37,'Data shares'!$C:$FB,4)</f>
        <v>1891.5</v>
      </c>
      <c r="E37" s="50">
        <f t="shared" si="0"/>
        <v>-2.3314829500396463</v>
      </c>
      <c r="F37" s="49">
        <f>VLOOKUP($A37,'Data shares'!$C:$FB,98)</f>
        <v>11471000</v>
      </c>
      <c r="G37" s="49">
        <f>VLOOKUP($A37,'Data shares'!$C:$FB,99)</f>
        <v>10656000</v>
      </c>
      <c r="H37" s="50">
        <f t="shared" si="1"/>
        <v>7.648273273273273</v>
      </c>
      <c r="I37" s="49">
        <f>VLOOKUP($A37,'Data shares'!$C:$FB,66)</f>
        <v>8889000</v>
      </c>
      <c r="J37" s="49">
        <f>VLOOKUP($A37,'Data shares'!$C:$FB,67)</f>
        <v>7095000</v>
      </c>
      <c r="K37" s="50">
        <f t="shared" si="2"/>
        <v>20.182247721903476</v>
      </c>
      <c r="L37" s="50">
        <f>VLOOKUP($A37,'Data shares'!$C:$FB,118)</f>
        <v>0.65</v>
      </c>
      <c r="M37" s="50">
        <f>VLOOKUP($A37,'Data shares'!$C:$FB,119)</f>
        <v>0.78</v>
      </c>
      <c r="N37" s="50">
        <f>VLOOKUP($A37,'Data shares'!$C:$FB,121)*100</f>
        <v>-16.669999999999998</v>
      </c>
      <c r="O37" s="50">
        <f>VLOOKUP($A37,'Data shares'!$C:$FB,124)</f>
        <v>0.7</v>
      </c>
      <c r="P37" s="50">
        <f>VLOOKUP($A37,'Data shares'!$C:$FB,125)</f>
        <v>0.84</v>
      </c>
      <c r="Q37" s="50">
        <f>VLOOKUP($A37,'Data shares'!$C:$FB,127)*100</f>
        <v>-16.669999999999998</v>
      </c>
    </row>
    <row r="38" spans="1:17" x14ac:dyDescent="0.25">
      <c r="A38" s="97" t="str">
        <f>'Data Vlaue (Cr)'!C33</f>
        <v>BHARTIARTL</v>
      </c>
      <c r="B38" s="140">
        <f>VLOOKUP($A38,'Data shares'!$C:$FB,7)</f>
        <v>1827.1</v>
      </c>
      <c r="C38" s="140">
        <f>VLOOKUP($A38,'Data shares'!$C:$FB,3)</f>
        <v>1837.4</v>
      </c>
      <c r="D38" s="140">
        <f>VLOOKUP($A38,'Data shares'!$C:$FB,4)</f>
        <v>1896.4</v>
      </c>
      <c r="E38" s="50">
        <f t="shared" si="0"/>
        <v>-3.1111579835477747</v>
      </c>
      <c r="F38" s="49">
        <f>VLOOKUP($A38,'Data shares'!$C:$FB,98)</f>
        <v>77065425</v>
      </c>
      <c r="G38" s="49">
        <f>VLOOKUP($A38,'Data shares'!$C:$FB,99)</f>
        <v>70052050</v>
      </c>
      <c r="H38" s="50">
        <f t="shared" si="1"/>
        <v>10.011662756478932</v>
      </c>
      <c r="I38" s="49">
        <f>VLOOKUP($A38,'Data shares'!$C:$FB,66)</f>
        <v>43672925</v>
      </c>
      <c r="J38" s="49">
        <f>VLOOKUP($A38,'Data shares'!$C:$FB,67)</f>
        <v>34466950</v>
      </c>
      <c r="K38" s="50">
        <f t="shared" si="2"/>
        <v>21.079364388806106</v>
      </c>
      <c r="L38" s="50">
        <f>VLOOKUP($A38,'Data shares'!$C:$FB,118)</f>
        <v>0.63</v>
      </c>
      <c r="M38" s="50">
        <f>VLOOKUP($A38,'Data shares'!$C:$FB,119)</f>
        <v>0.83</v>
      </c>
      <c r="N38" s="50">
        <f>VLOOKUP($A38,'Data shares'!$C:$FB,121)*100</f>
        <v>-24.099999999999998</v>
      </c>
      <c r="O38" s="50">
        <f>VLOOKUP($A38,'Data shares'!$C:$FB,124)</f>
        <v>0.56999999999999995</v>
      </c>
      <c r="P38" s="50">
        <f>VLOOKUP($A38,'Data shares'!$C:$FB,125)</f>
        <v>0.49</v>
      </c>
      <c r="Q38" s="50">
        <f>VLOOKUP($A38,'Data shares'!$C:$FB,127)*100</f>
        <v>16.329999999999998</v>
      </c>
    </row>
    <row r="39" spans="1:17" x14ac:dyDescent="0.25">
      <c r="A39" s="97" t="str">
        <f>'Data Vlaue (Cr)'!C34</f>
        <v>BHEL</v>
      </c>
      <c r="B39" s="140">
        <f>VLOOKUP($A39,'Data shares'!$C:$FB,7)</f>
        <v>377.05</v>
      </c>
      <c r="C39" s="140">
        <f>VLOOKUP($A39,'Data shares'!$C:$FB,3)</f>
        <v>379.75</v>
      </c>
      <c r="D39" s="140">
        <f>VLOOKUP($A39,'Data shares'!$C:$FB,4)</f>
        <v>354.52</v>
      </c>
      <c r="E39" s="50">
        <f t="shared" si="0"/>
        <v>7.1166647861897827</v>
      </c>
      <c r="F39" s="49">
        <f>VLOOKUP($A39,'Data shares'!$C:$FB,98)</f>
        <v>230740125</v>
      </c>
      <c r="G39" s="49">
        <f>VLOOKUP($A39,'Data shares'!$C:$FB,99)</f>
        <v>170499000</v>
      </c>
      <c r="H39" s="50">
        <f t="shared" si="1"/>
        <v>35.332245350412613</v>
      </c>
      <c r="I39" s="49">
        <f>VLOOKUP($A39,'Data shares'!$C:$FB,66)</f>
        <v>656782875</v>
      </c>
      <c r="J39" s="49">
        <f>VLOOKUP($A39,'Data shares'!$C:$FB,67)</f>
        <v>85582875</v>
      </c>
      <c r="K39" s="50">
        <f t="shared" si="2"/>
        <v>86.969380862739456</v>
      </c>
      <c r="L39" s="50">
        <f>VLOOKUP($A39,'Data shares'!$C:$FB,118)</f>
        <v>0.82</v>
      </c>
      <c r="M39" s="50">
        <f>VLOOKUP($A39,'Data shares'!$C:$FB,119)</f>
        <v>0.94</v>
      </c>
      <c r="N39" s="50">
        <f>VLOOKUP($A39,'Data shares'!$C:$FB,121)*100</f>
        <v>-12.770000000000001</v>
      </c>
      <c r="O39" s="50">
        <f>VLOOKUP($A39,'Data shares'!$C:$FB,124)</f>
        <v>0.66</v>
      </c>
      <c r="P39" s="50">
        <f>VLOOKUP($A39,'Data shares'!$C:$FB,125)</f>
        <v>0.54</v>
      </c>
      <c r="Q39" s="50">
        <f>VLOOKUP($A39,'Data shares'!$C:$FB,127)*100</f>
        <v>22.220000000000002</v>
      </c>
    </row>
    <row r="40" spans="1:17" x14ac:dyDescent="0.25">
      <c r="A40" s="97" t="str">
        <f>'Data Vlaue (Cr)'!C35</f>
        <v>BIOCON</v>
      </c>
      <c r="B40" s="140">
        <f>VLOOKUP($A40,'Data shares'!$C:$FB,7)</f>
        <v>360.6</v>
      </c>
      <c r="C40" s="140">
        <f>VLOOKUP($A40,'Data shares'!$C:$FB,3)</f>
        <v>362.7</v>
      </c>
      <c r="D40" s="140">
        <f>VLOOKUP($A40,'Data shares'!$C:$FB,4)</f>
        <v>361.1</v>
      </c>
      <c r="E40" s="50">
        <f t="shared" si="0"/>
        <v>0.4430905566325023</v>
      </c>
      <c r="F40" s="49">
        <f>VLOOKUP($A40,'Data shares'!$C:$FB,98)</f>
        <v>65775000</v>
      </c>
      <c r="G40" s="49">
        <f>VLOOKUP($A40,'Data shares'!$C:$FB,99)</f>
        <v>65345000</v>
      </c>
      <c r="H40" s="50">
        <f t="shared" si="1"/>
        <v>0.65804575713520552</v>
      </c>
      <c r="I40" s="49">
        <f>VLOOKUP($A40,'Data shares'!$C:$FB,66)</f>
        <v>22350000</v>
      </c>
      <c r="J40" s="49">
        <f>VLOOKUP($A40,'Data shares'!$C:$FB,67)</f>
        <v>22567500</v>
      </c>
      <c r="K40" s="50">
        <f t="shared" si="2"/>
        <v>-0.97315436241610742</v>
      </c>
      <c r="L40" s="50">
        <f>VLOOKUP($A40,'Data shares'!$C:$FB,118)</f>
        <v>0.47</v>
      </c>
      <c r="M40" s="50">
        <f>VLOOKUP($A40,'Data shares'!$C:$FB,119)</f>
        <v>0.47</v>
      </c>
      <c r="N40" s="50">
        <f>VLOOKUP($A40,'Data shares'!$C:$FB,121)*100</f>
        <v>0</v>
      </c>
      <c r="O40" s="50">
        <f>VLOOKUP($A40,'Data shares'!$C:$FB,124)</f>
        <v>0.37</v>
      </c>
      <c r="P40" s="50">
        <f>VLOOKUP($A40,'Data shares'!$C:$FB,125)</f>
        <v>0.3</v>
      </c>
      <c r="Q40" s="50">
        <f>VLOOKUP($A40,'Data shares'!$C:$FB,127)*100</f>
        <v>23.330000000000002</v>
      </c>
    </row>
    <row r="41" spans="1:17" x14ac:dyDescent="0.25">
      <c r="A41" s="97" t="str">
        <f>'Data Vlaue (Cr)'!C36</f>
        <v>BLUESTARCO</v>
      </c>
      <c r="B41" s="140">
        <f>VLOOKUP($A41,'Data shares'!$C:$FB,7)</f>
        <v>1802.2</v>
      </c>
      <c r="C41" s="140">
        <f>VLOOKUP($A41,'Data shares'!$C:$FB,3)</f>
        <v>1801.4</v>
      </c>
      <c r="D41" s="140">
        <f>VLOOKUP($A41,'Data shares'!$C:$FB,4)</f>
        <v>1766.4</v>
      </c>
      <c r="E41" s="50">
        <f t="shared" si="0"/>
        <v>1.9814311594202896</v>
      </c>
      <c r="F41" s="49">
        <f>VLOOKUP($A41,'Data shares'!$C:$FB,98)</f>
        <v>4473625</v>
      </c>
      <c r="G41" s="49">
        <f>VLOOKUP($A41,'Data shares'!$C:$FB,99)</f>
        <v>4503200</v>
      </c>
      <c r="H41" s="50">
        <f t="shared" si="1"/>
        <v>-0.65675519630484991</v>
      </c>
      <c r="I41" s="49">
        <f>VLOOKUP($A41,'Data shares'!$C:$FB,66)</f>
        <v>1838200</v>
      </c>
      <c r="J41" s="49">
        <f>VLOOKUP($A41,'Data shares'!$C:$FB,67)</f>
        <v>3102450</v>
      </c>
      <c r="K41" s="50">
        <f t="shared" si="2"/>
        <v>-68.776520509193773</v>
      </c>
      <c r="L41" s="50">
        <f>VLOOKUP($A41,'Data shares'!$C:$FB,118)</f>
        <v>0.7</v>
      </c>
      <c r="M41" s="50">
        <f>VLOOKUP($A41,'Data shares'!$C:$FB,119)</f>
        <v>0.66</v>
      </c>
      <c r="N41" s="50">
        <f>VLOOKUP($A41,'Data shares'!$C:$FB,121)*100</f>
        <v>6.0600000000000005</v>
      </c>
      <c r="O41" s="50">
        <f>VLOOKUP($A41,'Data shares'!$C:$FB,124)</f>
        <v>0.49</v>
      </c>
      <c r="P41" s="50">
        <f>VLOOKUP($A41,'Data shares'!$C:$FB,125)</f>
        <v>0.63</v>
      </c>
      <c r="Q41" s="50">
        <f>VLOOKUP($A41,'Data shares'!$C:$FB,127)*100</f>
        <v>-22.220000000000002</v>
      </c>
    </row>
    <row r="42" spans="1:17" x14ac:dyDescent="0.25">
      <c r="A42" s="97" t="str">
        <f>'Data Vlaue (Cr)'!C37</f>
        <v>BOSCHLTD</v>
      </c>
      <c r="B42" s="140">
        <f>VLOOKUP($A42,'Data shares'!$C:$FB,7)</f>
        <v>35850</v>
      </c>
      <c r="C42" s="140">
        <f>VLOOKUP($A42,'Data shares'!$C:$FB,3)</f>
        <v>35930</v>
      </c>
      <c r="D42" s="140">
        <f>VLOOKUP($A42,'Data shares'!$C:$FB,4)</f>
        <v>36230</v>
      </c>
      <c r="E42" s="50">
        <f t="shared" si="0"/>
        <v>-0.82804305823902835</v>
      </c>
      <c r="F42" s="49">
        <f>VLOOKUP($A42,'Data shares'!$C:$FB,98)</f>
        <v>325675</v>
      </c>
      <c r="G42" s="49">
        <f>VLOOKUP($A42,'Data shares'!$C:$FB,99)</f>
        <v>306800</v>
      </c>
      <c r="H42" s="50">
        <f t="shared" si="1"/>
        <v>6.1522164276401563</v>
      </c>
      <c r="I42" s="49">
        <f>VLOOKUP($A42,'Data shares'!$C:$FB,66)</f>
        <v>91975</v>
      </c>
      <c r="J42" s="49">
        <f>VLOOKUP($A42,'Data shares'!$C:$FB,67)</f>
        <v>94050</v>
      </c>
      <c r="K42" s="50">
        <f t="shared" si="2"/>
        <v>-2.2560478390867083</v>
      </c>
      <c r="L42" s="50">
        <f>VLOOKUP($A42,'Data shares'!$C:$FB,118)</f>
        <v>0.79</v>
      </c>
      <c r="M42" s="50">
        <f>VLOOKUP($A42,'Data shares'!$C:$FB,119)</f>
        <v>0.8</v>
      </c>
      <c r="N42" s="50">
        <f>VLOOKUP($A42,'Data shares'!$C:$FB,121)*100</f>
        <v>-1.25</v>
      </c>
      <c r="O42" s="50">
        <f>VLOOKUP($A42,'Data shares'!$C:$FB,124)</f>
        <v>0.7</v>
      </c>
      <c r="P42" s="50">
        <f>VLOOKUP($A42,'Data shares'!$C:$FB,125)</f>
        <v>1.1599999999999999</v>
      </c>
      <c r="Q42" s="50">
        <f>VLOOKUP($A42,'Data shares'!$C:$FB,127)*100</f>
        <v>-39.660000000000004</v>
      </c>
    </row>
    <row r="43" spans="1:17" x14ac:dyDescent="0.25">
      <c r="A43" s="97" t="str">
        <f>'Data Vlaue (Cr)'!C38</f>
        <v>BPCL</v>
      </c>
      <c r="B43" s="140">
        <f>VLOOKUP($A43,'Data shares'!$C:$FB,7)</f>
        <v>301.7</v>
      </c>
      <c r="C43" s="140">
        <f>VLOOKUP($A43,'Data shares'!$C:$FB,3)</f>
        <v>303.55</v>
      </c>
      <c r="D43" s="140">
        <f>VLOOKUP($A43,'Data shares'!$C:$FB,4)</f>
        <v>302.3</v>
      </c>
      <c r="E43" s="50">
        <f t="shared" si="0"/>
        <v>0.4134965266291763</v>
      </c>
      <c r="F43" s="49">
        <f>VLOOKUP($A43,'Data shares'!$C:$FB,98)</f>
        <v>85377275</v>
      </c>
      <c r="G43" s="49">
        <f>VLOOKUP($A43,'Data shares'!$C:$FB,99)</f>
        <v>80139575</v>
      </c>
      <c r="H43" s="50">
        <f t="shared" si="1"/>
        <v>6.5357222071616929</v>
      </c>
      <c r="I43" s="49">
        <f>VLOOKUP($A43,'Data shares'!$C:$FB,66)</f>
        <v>27885025</v>
      </c>
      <c r="J43" s="49">
        <f>VLOOKUP($A43,'Data shares'!$C:$FB,67)</f>
        <v>35239925</v>
      </c>
      <c r="K43" s="50">
        <f t="shared" si="2"/>
        <v>-26.375805651958355</v>
      </c>
      <c r="L43" s="50">
        <f>VLOOKUP($A43,'Data shares'!$C:$FB,118)</f>
        <v>0.64</v>
      </c>
      <c r="M43" s="50">
        <f>VLOOKUP($A43,'Data shares'!$C:$FB,119)</f>
        <v>0.59</v>
      </c>
      <c r="N43" s="50">
        <f>VLOOKUP($A43,'Data shares'!$C:$FB,121)*100</f>
        <v>8.4699999999999989</v>
      </c>
      <c r="O43" s="50">
        <f>VLOOKUP($A43,'Data shares'!$C:$FB,124)</f>
        <v>0.75</v>
      </c>
      <c r="P43" s="50">
        <f>VLOOKUP($A43,'Data shares'!$C:$FB,125)</f>
        <v>0.68</v>
      </c>
      <c r="Q43" s="50">
        <f>VLOOKUP($A43,'Data shares'!$C:$FB,127)*100</f>
        <v>10.290000000000001</v>
      </c>
    </row>
    <row r="44" spans="1:17" x14ac:dyDescent="0.25">
      <c r="A44" s="97" t="str">
        <f>'Data Vlaue (Cr)'!C39</f>
        <v>BRITANNIA</v>
      </c>
      <c r="B44" s="140">
        <f>VLOOKUP($A44,'Data shares'!$C:$FB,7)</f>
        <v>5792.5</v>
      </c>
      <c r="C44" s="140">
        <f>VLOOKUP($A44,'Data shares'!$C:$FB,3)</f>
        <v>5807</v>
      </c>
      <c r="D44" s="140">
        <f>VLOOKUP($A44,'Data shares'!$C:$FB,4)</f>
        <v>5746.5</v>
      </c>
      <c r="E44" s="50">
        <f t="shared" si="0"/>
        <v>1.052814756808492</v>
      </c>
      <c r="F44" s="49">
        <f>VLOOKUP($A44,'Data shares'!$C:$FB,98)</f>
        <v>3872250</v>
      </c>
      <c r="G44" s="49">
        <f>VLOOKUP($A44,'Data shares'!$C:$FB,99)</f>
        <v>3704875</v>
      </c>
      <c r="H44" s="50">
        <f t="shared" si="1"/>
        <v>4.5176962785519077</v>
      </c>
      <c r="I44" s="49">
        <f>VLOOKUP($A44,'Data shares'!$C:$FB,66)</f>
        <v>2026375</v>
      </c>
      <c r="J44" s="49">
        <f>VLOOKUP($A44,'Data shares'!$C:$FB,67)</f>
        <v>1427750</v>
      </c>
      <c r="K44" s="50">
        <f t="shared" si="2"/>
        <v>29.541669236937885</v>
      </c>
      <c r="L44" s="50">
        <f>VLOOKUP($A44,'Data shares'!$C:$FB,118)</f>
        <v>0.73</v>
      </c>
      <c r="M44" s="50">
        <f>VLOOKUP($A44,'Data shares'!$C:$FB,119)</f>
        <v>0.76</v>
      </c>
      <c r="N44" s="50">
        <f>VLOOKUP($A44,'Data shares'!$C:$FB,121)*100</f>
        <v>-3.95</v>
      </c>
      <c r="O44" s="50">
        <f>VLOOKUP($A44,'Data shares'!$C:$FB,124)</f>
        <v>0.4</v>
      </c>
      <c r="P44" s="50">
        <f>VLOOKUP($A44,'Data shares'!$C:$FB,125)</f>
        <v>0.53</v>
      </c>
      <c r="Q44" s="50">
        <f>VLOOKUP($A44,'Data shares'!$C:$FB,127)*100</f>
        <v>-24.529999999999998</v>
      </c>
    </row>
    <row r="45" spans="1:17" x14ac:dyDescent="0.25">
      <c r="A45" s="97" t="str">
        <f>'Data Vlaue (Cr)'!C40</f>
        <v>BSE</v>
      </c>
      <c r="B45" s="140">
        <f>VLOOKUP($A45,'Data shares'!$C:$FB,7)</f>
        <v>3711.3</v>
      </c>
      <c r="C45" s="140">
        <f>VLOOKUP($A45,'Data shares'!$C:$FB,3)</f>
        <v>3712.8</v>
      </c>
      <c r="D45" s="140">
        <f>VLOOKUP($A45,'Data shares'!$C:$FB,4)</f>
        <v>3657.7</v>
      </c>
      <c r="E45" s="50">
        <f t="shared" si="0"/>
        <v>1.5064111326790159</v>
      </c>
      <c r="F45" s="49">
        <f>VLOOKUP($A45,'Data shares'!$C:$FB,98)</f>
        <v>16409350</v>
      </c>
      <c r="G45" s="49">
        <f>VLOOKUP($A45,'Data shares'!$C:$FB,99)</f>
        <v>15523300</v>
      </c>
      <c r="H45" s="50">
        <f t="shared" si="1"/>
        <v>5.707871393324873</v>
      </c>
      <c r="I45" s="49">
        <f>VLOOKUP($A45,'Data shares'!$C:$FB,66)</f>
        <v>21706125</v>
      </c>
      <c r="J45" s="49">
        <f>VLOOKUP($A45,'Data shares'!$C:$FB,67)</f>
        <v>14202375</v>
      </c>
      <c r="K45" s="50">
        <f t="shared" si="2"/>
        <v>34.569735500924274</v>
      </c>
      <c r="L45" s="50">
        <f>VLOOKUP($A45,'Data shares'!$C:$FB,118)</f>
        <v>0.83</v>
      </c>
      <c r="M45" s="50">
        <f>VLOOKUP($A45,'Data shares'!$C:$FB,119)</f>
        <v>0.91</v>
      </c>
      <c r="N45" s="50">
        <f>VLOOKUP($A45,'Data shares'!$C:$FB,121)*100</f>
        <v>-8.7900000000000009</v>
      </c>
      <c r="O45" s="50">
        <f>VLOOKUP($A45,'Data shares'!$C:$FB,124)</f>
        <v>0.62</v>
      </c>
      <c r="P45" s="50">
        <f>VLOOKUP($A45,'Data shares'!$C:$FB,125)</f>
        <v>0.98</v>
      </c>
      <c r="Q45" s="50">
        <f>VLOOKUP($A45,'Data shares'!$C:$FB,127)*100</f>
        <v>-36.730000000000004</v>
      </c>
    </row>
    <row r="46" spans="1:17" x14ac:dyDescent="0.25">
      <c r="A46" s="97" t="str">
        <f>'Data Vlaue (Cr)'!C41</f>
        <v>CAMS</v>
      </c>
      <c r="B46" s="140">
        <f>VLOOKUP($A46,'Data shares'!$C:$FB,7)</f>
        <v>730.85</v>
      </c>
      <c r="C46" s="140">
        <f>VLOOKUP($A46,'Data shares'!$C:$FB,3)</f>
        <v>724.9</v>
      </c>
      <c r="D46" s="140">
        <f>VLOOKUP($A46,'Data shares'!$C:$FB,4)</f>
        <v>729</v>
      </c>
      <c r="E46" s="50">
        <f t="shared" si="0"/>
        <v>-0.56241426611797296</v>
      </c>
      <c r="F46" s="49">
        <f>VLOOKUP($A46,'Data shares'!$C:$FB,98)</f>
        <v>12566250</v>
      </c>
      <c r="G46" s="49">
        <f>VLOOKUP($A46,'Data shares'!$C:$FB,99)</f>
        <v>10428300</v>
      </c>
      <c r="H46" s="50">
        <f t="shared" si="1"/>
        <v>20.501424009666007</v>
      </c>
      <c r="I46" s="49">
        <f>VLOOKUP($A46,'Data shares'!$C:$FB,66)</f>
        <v>10887000</v>
      </c>
      <c r="J46" s="49">
        <f>VLOOKUP($A46,'Data shares'!$C:$FB,67)</f>
        <v>11917500</v>
      </c>
      <c r="K46" s="50">
        <f t="shared" si="2"/>
        <v>-9.4654174703775151</v>
      </c>
      <c r="L46" s="50">
        <f>VLOOKUP($A46,'Data shares'!$C:$FB,118)</f>
        <v>0.85</v>
      </c>
      <c r="M46" s="50">
        <f>VLOOKUP($A46,'Data shares'!$C:$FB,119)</f>
        <v>0.85</v>
      </c>
      <c r="N46" s="50">
        <f>VLOOKUP($A46,'Data shares'!$C:$FB,121)*100</f>
        <v>0</v>
      </c>
      <c r="O46" s="50">
        <f>VLOOKUP($A46,'Data shares'!$C:$FB,124)</f>
        <v>0.78</v>
      </c>
      <c r="P46" s="50">
        <f>VLOOKUP($A46,'Data shares'!$C:$FB,125)</f>
        <v>1.32</v>
      </c>
      <c r="Q46" s="50">
        <f>VLOOKUP($A46,'Data shares'!$C:$FB,127)*100</f>
        <v>-40.910000000000004</v>
      </c>
    </row>
    <row r="47" spans="1:17" x14ac:dyDescent="0.25">
      <c r="A47" s="97" t="str">
        <f>'Data Vlaue (Cr)'!C42</f>
        <v>CANBK</v>
      </c>
      <c r="B47" s="140">
        <f>VLOOKUP($A47,'Data shares'!$C:$FB,7)</f>
        <v>134.80000000000001</v>
      </c>
      <c r="C47" s="140">
        <f>VLOOKUP($A47,'Data shares'!$C:$FB,3)</f>
        <v>135.22999999999999</v>
      </c>
      <c r="D47" s="140">
        <f>VLOOKUP($A47,'Data shares'!$C:$FB,4)</f>
        <v>135.44999999999999</v>
      </c>
      <c r="E47" s="50">
        <f t="shared" si="0"/>
        <v>-0.16242155777039416</v>
      </c>
      <c r="F47" s="49">
        <f>VLOOKUP($A47,'Data shares'!$C:$FB,98)</f>
        <v>345485250</v>
      </c>
      <c r="G47" s="49">
        <f>VLOOKUP($A47,'Data shares'!$C:$FB,99)</f>
        <v>328380750</v>
      </c>
      <c r="H47" s="50">
        <f t="shared" si="1"/>
        <v>5.2087401590988502</v>
      </c>
      <c r="I47" s="49">
        <f>VLOOKUP($A47,'Data shares'!$C:$FB,66)</f>
        <v>116363250</v>
      </c>
      <c r="J47" s="49">
        <f>VLOOKUP($A47,'Data shares'!$C:$FB,67)</f>
        <v>124854750</v>
      </c>
      <c r="K47" s="50">
        <f t="shared" si="2"/>
        <v>-7.2974070421718205</v>
      </c>
      <c r="L47" s="50">
        <f>VLOOKUP($A47,'Data shares'!$C:$FB,118)</f>
        <v>0.98</v>
      </c>
      <c r="M47" s="50">
        <f>VLOOKUP($A47,'Data shares'!$C:$FB,119)</f>
        <v>1.04</v>
      </c>
      <c r="N47" s="50">
        <f>VLOOKUP($A47,'Data shares'!$C:$FB,121)*100</f>
        <v>-5.7700000000000005</v>
      </c>
      <c r="O47" s="50">
        <f>VLOOKUP($A47,'Data shares'!$C:$FB,124)</f>
        <v>0.61</v>
      </c>
      <c r="P47" s="50">
        <f>VLOOKUP($A47,'Data shares'!$C:$FB,125)</f>
        <v>0.8</v>
      </c>
      <c r="Q47" s="50">
        <f>VLOOKUP($A47,'Data shares'!$C:$FB,127)*100</f>
        <v>-23.75</v>
      </c>
    </row>
    <row r="48" spans="1:17" x14ac:dyDescent="0.25">
      <c r="A48" s="97" t="str">
        <f>'Data Vlaue (Cr)'!C43</f>
        <v>CDSL</v>
      </c>
      <c r="B48" s="140">
        <f>VLOOKUP($A48,'Data shares'!$C:$FB,7)</f>
        <v>1238.3</v>
      </c>
      <c r="C48" s="140">
        <f>VLOOKUP($A48,'Data shares'!$C:$FB,3)</f>
        <v>1241</v>
      </c>
      <c r="D48" s="140">
        <f>VLOOKUP($A48,'Data shares'!$C:$FB,4)</f>
        <v>1270.7</v>
      </c>
      <c r="E48" s="50">
        <f t="shared" si="0"/>
        <v>-2.3372944046588526</v>
      </c>
      <c r="F48" s="49">
        <f>VLOOKUP($A48,'Data shares'!$C:$FB,98)</f>
        <v>22946300</v>
      </c>
      <c r="G48" s="49">
        <f>VLOOKUP($A48,'Data shares'!$C:$FB,99)</f>
        <v>20316225</v>
      </c>
      <c r="H48" s="50">
        <f t="shared" si="1"/>
        <v>12.94568749853873</v>
      </c>
      <c r="I48" s="49">
        <f>VLOOKUP($A48,'Data shares'!$C:$FB,66)</f>
        <v>29278050</v>
      </c>
      <c r="J48" s="49">
        <f>VLOOKUP($A48,'Data shares'!$C:$FB,67)</f>
        <v>13331350</v>
      </c>
      <c r="K48" s="50">
        <f t="shared" si="2"/>
        <v>54.466400597034294</v>
      </c>
      <c r="L48" s="50">
        <f>VLOOKUP($A48,'Data shares'!$C:$FB,118)</f>
        <v>0.74</v>
      </c>
      <c r="M48" s="50">
        <f>VLOOKUP($A48,'Data shares'!$C:$FB,119)</f>
        <v>0.92</v>
      </c>
      <c r="N48" s="50">
        <f>VLOOKUP($A48,'Data shares'!$C:$FB,121)*100</f>
        <v>-19.57</v>
      </c>
      <c r="O48" s="50">
        <f>VLOOKUP($A48,'Data shares'!$C:$FB,124)</f>
        <v>0.88</v>
      </c>
      <c r="P48" s="50">
        <f>VLOOKUP($A48,'Data shares'!$C:$FB,125)</f>
        <v>0.79</v>
      </c>
      <c r="Q48" s="50">
        <f>VLOOKUP($A48,'Data shares'!$C:$FB,127)*100</f>
        <v>11.39</v>
      </c>
    </row>
    <row r="49" spans="1:17" x14ac:dyDescent="0.25">
      <c r="A49" s="97" t="str">
        <f>'Data Vlaue (Cr)'!C44</f>
        <v>CGPOWER</v>
      </c>
      <c r="B49" s="140">
        <f>VLOOKUP($A49,'Data shares'!$C:$FB,7)</f>
        <v>802.3</v>
      </c>
      <c r="C49" s="140">
        <f>VLOOKUP($A49,'Data shares'!$C:$FB,3)</f>
        <v>807</v>
      </c>
      <c r="D49" s="140">
        <f>VLOOKUP($A49,'Data shares'!$C:$FB,4)</f>
        <v>818.45</v>
      </c>
      <c r="E49" s="50">
        <f t="shared" si="0"/>
        <v>-1.3989858879589523</v>
      </c>
      <c r="F49" s="49">
        <f>VLOOKUP($A49,'Data shares'!$C:$FB,98)</f>
        <v>27531500</v>
      </c>
      <c r="G49" s="49">
        <f>VLOOKUP($A49,'Data shares'!$C:$FB,99)</f>
        <v>25893550</v>
      </c>
      <c r="H49" s="50">
        <f t="shared" si="1"/>
        <v>6.3257065948855997</v>
      </c>
      <c r="I49" s="49">
        <f>VLOOKUP($A49,'Data shares'!$C:$FB,66)</f>
        <v>10747400</v>
      </c>
      <c r="J49" s="49">
        <f>VLOOKUP($A49,'Data shares'!$C:$FB,67)</f>
        <v>8731200</v>
      </c>
      <c r="K49" s="50">
        <f t="shared" si="2"/>
        <v>18.759886111989875</v>
      </c>
      <c r="L49" s="50">
        <f>VLOOKUP($A49,'Data shares'!$C:$FB,118)</f>
        <v>0.64</v>
      </c>
      <c r="M49" s="50">
        <f>VLOOKUP($A49,'Data shares'!$C:$FB,119)</f>
        <v>0.83</v>
      </c>
      <c r="N49" s="50">
        <f>VLOOKUP($A49,'Data shares'!$C:$FB,121)*100</f>
        <v>-22.89</v>
      </c>
      <c r="O49" s="50">
        <f>VLOOKUP($A49,'Data shares'!$C:$FB,124)</f>
        <v>0.42</v>
      </c>
      <c r="P49" s="50">
        <f>VLOOKUP($A49,'Data shares'!$C:$FB,125)</f>
        <v>0.7</v>
      </c>
      <c r="Q49" s="50">
        <f>VLOOKUP($A49,'Data shares'!$C:$FB,127)*100</f>
        <v>-40</v>
      </c>
    </row>
    <row r="50" spans="1:17" x14ac:dyDescent="0.25">
      <c r="A50" s="97" t="str">
        <f>'Data Vlaue (Cr)'!C45</f>
        <v>CHOLAFIN</v>
      </c>
      <c r="B50" s="140">
        <f>VLOOKUP($A50,'Data shares'!$C:$FB,7)</f>
        <v>1639.5</v>
      </c>
      <c r="C50" s="140">
        <f>VLOOKUP($A50,'Data shares'!$C:$FB,3)</f>
        <v>1644.2</v>
      </c>
      <c r="D50" s="140">
        <f>VLOOKUP($A50,'Data shares'!$C:$FB,4)</f>
        <v>1573</v>
      </c>
      <c r="E50" s="50">
        <f t="shared" si="0"/>
        <v>4.5263827082008925</v>
      </c>
      <c r="F50" s="49">
        <f>VLOOKUP($A50,'Data shares'!$C:$FB,98)</f>
        <v>24281875</v>
      </c>
      <c r="G50" s="49">
        <f>VLOOKUP($A50,'Data shares'!$C:$FB,99)</f>
        <v>24395000</v>
      </c>
      <c r="H50" s="50">
        <f t="shared" si="1"/>
        <v>-0.46372207419553185</v>
      </c>
      <c r="I50" s="49">
        <f>VLOOKUP($A50,'Data shares'!$C:$FB,66)</f>
        <v>26993125</v>
      </c>
      <c r="J50" s="49">
        <f>VLOOKUP($A50,'Data shares'!$C:$FB,67)</f>
        <v>37755000</v>
      </c>
      <c r="K50" s="50">
        <f t="shared" si="2"/>
        <v>-39.868948111787724</v>
      </c>
      <c r="L50" s="50">
        <f>VLOOKUP($A50,'Data shares'!$C:$FB,118)</f>
        <v>0.86</v>
      </c>
      <c r="M50" s="50">
        <f>VLOOKUP($A50,'Data shares'!$C:$FB,119)</f>
        <v>0.72</v>
      </c>
      <c r="N50" s="50">
        <f>VLOOKUP($A50,'Data shares'!$C:$FB,121)*100</f>
        <v>19.439999999999998</v>
      </c>
      <c r="O50" s="50">
        <f>VLOOKUP($A50,'Data shares'!$C:$FB,124)</f>
        <v>0.48</v>
      </c>
      <c r="P50" s="50">
        <f>VLOOKUP($A50,'Data shares'!$C:$FB,125)</f>
        <v>0.56999999999999995</v>
      </c>
      <c r="Q50" s="50">
        <f>VLOOKUP($A50,'Data shares'!$C:$FB,127)*100</f>
        <v>-15.790000000000001</v>
      </c>
    </row>
    <row r="51" spans="1:17" x14ac:dyDescent="0.25">
      <c r="A51" s="97" t="str">
        <f>'Data Vlaue (Cr)'!C46</f>
        <v>CIPLA</v>
      </c>
      <c r="B51" s="140">
        <f>VLOOKUP($A51,'Data shares'!$C:$FB,7)</f>
        <v>1335</v>
      </c>
      <c r="C51" s="140">
        <f>VLOOKUP($A51,'Data shares'!$C:$FB,3)</f>
        <v>1338.8</v>
      </c>
      <c r="D51" s="140">
        <f>VLOOKUP($A51,'Data shares'!$C:$FB,4)</f>
        <v>1315.2</v>
      </c>
      <c r="E51" s="50">
        <f t="shared" si="0"/>
        <v>1.7944038929440318</v>
      </c>
      <c r="F51" s="49">
        <f>VLOOKUP($A51,'Data shares'!$C:$FB,98)</f>
        <v>20484275</v>
      </c>
      <c r="G51" s="49">
        <f>VLOOKUP($A51,'Data shares'!$C:$FB,99)</f>
        <v>19944775</v>
      </c>
      <c r="H51" s="50">
        <f t="shared" si="1"/>
        <v>2.7049690959160984</v>
      </c>
      <c r="I51" s="49">
        <f>VLOOKUP($A51,'Data shares'!$C:$FB,66)</f>
        <v>7922250</v>
      </c>
      <c r="J51" s="49">
        <f>VLOOKUP($A51,'Data shares'!$C:$FB,67)</f>
        <v>8103750</v>
      </c>
      <c r="K51" s="50">
        <f t="shared" si="2"/>
        <v>-2.2910158099024898</v>
      </c>
      <c r="L51" s="50">
        <f>VLOOKUP($A51,'Data shares'!$C:$FB,118)</f>
        <v>0.69</v>
      </c>
      <c r="M51" s="50">
        <f>VLOOKUP($A51,'Data shares'!$C:$FB,119)</f>
        <v>0.69</v>
      </c>
      <c r="N51" s="50">
        <f>VLOOKUP($A51,'Data shares'!$C:$FB,121)*100</f>
        <v>0</v>
      </c>
      <c r="O51" s="50">
        <f>VLOOKUP($A51,'Data shares'!$C:$FB,124)</f>
        <v>0.37</v>
      </c>
      <c r="P51" s="50">
        <f>VLOOKUP($A51,'Data shares'!$C:$FB,125)</f>
        <v>0.34</v>
      </c>
      <c r="Q51" s="50">
        <f>VLOOKUP($A51,'Data shares'!$C:$FB,127)*100</f>
        <v>8.82</v>
      </c>
    </row>
    <row r="52" spans="1:17" x14ac:dyDescent="0.25">
      <c r="A52" s="97" t="str">
        <f>'Data Vlaue (Cr)'!C47</f>
        <v>COALINDIA</v>
      </c>
      <c r="B52" s="140">
        <f>VLOOKUP($A52,'Data shares'!$C:$FB,7)</f>
        <v>479.95</v>
      </c>
      <c r="C52" s="140">
        <f>VLOOKUP($A52,'Data shares'!$C:$FB,3)</f>
        <v>481.2</v>
      </c>
      <c r="D52" s="140">
        <f>VLOOKUP($A52,'Data shares'!$C:$FB,4)</f>
        <v>483.75</v>
      </c>
      <c r="E52" s="50">
        <f t="shared" si="0"/>
        <v>-0.5271317829457387</v>
      </c>
      <c r="F52" s="49">
        <f>VLOOKUP($A52,'Data shares'!$C:$FB,98)</f>
        <v>96206400</v>
      </c>
      <c r="G52" s="49">
        <f>VLOOKUP($A52,'Data shares'!$C:$FB,99)</f>
        <v>96141600</v>
      </c>
      <c r="H52" s="50">
        <f t="shared" si="1"/>
        <v>6.7400584138395864E-2</v>
      </c>
      <c r="I52" s="49">
        <f>VLOOKUP($A52,'Data shares'!$C:$FB,66)</f>
        <v>55987200</v>
      </c>
      <c r="J52" s="49">
        <f>VLOOKUP($A52,'Data shares'!$C:$FB,67)</f>
        <v>114018300</v>
      </c>
      <c r="K52" s="50">
        <f t="shared" si="2"/>
        <v>-103.65065586419753</v>
      </c>
      <c r="L52" s="50">
        <f>VLOOKUP($A52,'Data shares'!$C:$FB,118)</f>
        <v>0.68</v>
      </c>
      <c r="M52" s="50">
        <f>VLOOKUP($A52,'Data shares'!$C:$FB,119)</f>
        <v>0.71</v>
      </c>
      <c r="N52" s="50">
        <f>VLOOKUP($A52,'Data shares'!$C:$FB,121)*100</f>
        <v>-4.2299999999999995</v>
      </c>
      <c r="O52" s="50">
        <f>VLOOKUP($A52,'Data shares'!$C:$FB,124)</f>
        <v>0.71</v>
      </c>
      <c r="P52" s="50">
        <f>VLOOKUP($A52,'Data shares'!$C:$FB,125)</f>
        <v>0.46</v>
      </c>
      <c r="Q52" s="50">
        <f>VLOOKUP($A52,'Data shares'!$C:$FB,127)*100</f>
        <v>54.35</v>
      </c>
    </row>
    <row r="53" spans="1:17" x14ac:dyDescent="0.25">
      <c r="A53" s="97" t="str">
        <f>'Data Vlaue (Cr)'!C48</f>
        <v>COCHINSHIP</v>
      </c>
      <c r="B53" s="140">
        <f>VLOOKUP($A53,'Data shares'!$C:$FB,7)</f>
        <v>1719.3</v>
      </c>
      <c r="C53" s="140">
        <f>VLOOKUP($A53,'Data shares'!$C:$FB,3)</f>
        <v>1729.2</v>
      </c>
      <c r="D53" s="140">
        <f>VLOOKUP($A53,'Data shares'!$C:$FB,4)</f>
        <v>1739.8</v>
      </c>
      <c r="E53" s="50">
        <f t="shared" si="0"/>
        <v>-0.60926543280836365</v>
      </c>
      <c r="F53" s="49">
        <f>VLOOKUP($A53,'Data shares'!$C:$FB,98)</f>
        <v>4466800</v>
      </c>
      <c r="G53" s="49">
        <f>VLOOKUP($A53,'Data shares'!$C:$FB,99)</f>
        <v>4376400</v>
      </c>
      <c r="H53" s="50">
        <f t="shared" si="1"/>
        <v>2.0656247143771136</v>
      </c>
      <c r="I53" s="49">
        <f>VLOOKUP($A53,'Data shares'!$C:$FB,66)</f>
        <v>2592000</v>
      </c>
      <c r="J53" s="49">
        <f>VLOOKUP($A53,'Data shares'!$C:$FB,67)</f>
        <v>2644800</v>
      </c>
      <c r="K53" s="50">
        <f t="shared" si="2"/>
        <v>-2.0370370370370372</v>
      </c>
      <c r="L53" s="50">
        <f>VLOOKUP($A53,'Data shares'!$C:$FB,118)</f>
        <v>0.67</v>
      </c>
      <c r="M53" s="50">
        <f>VLOOKUP($A53,'Data shares'!$C:$FB,119)</f>
        <v>0.69</v>
      </c>
      <c r="N53" s="50">
        <f>VLOOKUP($A53,'Data shares'!$C:$FB,121)*100</f>
        <v>-2.9000000000000004</v>
      </c>
      <c r="O53" s="50">
        <f>VLOOKUP($A53,'Data shares'!$C:$FB,124)</f>
        <v>0.38</v>
      </c>
      <c r="P53" s="50">
        <f>VLOOKUP($A53,'Data shares'!$C:$FB,125)</f>
        <v>0.59</v>
      </c>
      <c r="Q53" s="50">
        <f>VLOOKUP($A53,'Data shares'!$C:$FB,127)*100</f>
        <v>-35.589999999999996</v>
      </c>
    </row>
    <row r="54" spans="1:17" x14ac:dyDescent="0.25">
      <c r="A54" s="97" t="str">
        <f>'Data Vlaue (Cr)'!C49</f>
        <v>COFORGE</v>
      </c>
      <c r="B54" s="140">
        <f>VLOOKUP($A54,'Data shares'!$C:$FB,7)</f>
        <v>1151.5999999999999</v>
      </c>
      <c r="C54" s="140">
        <f>VLOOKUP($A54,'Data shares'!$C:$FB,3)</f>
        <v>1154.8</v>
      </c>
      <c r="D54" s="140">
        <f>VLOOKUP($A54,'Data shares'!$C:$FB,4)</f>
        <v>1194.4000000000001</v>
      </c>
      <c r="E54" s="50">
        <f t="shared" si="0"/>
        <v>-3.3154722036168898</v>
      </c>
      <c r="F54" s="49">
        <f>VLOOKUP($A54,'Data shares'!$C:$FB,98)</f>
        <v>29014350</v>
      </c>
      <c r="G54" s="49">
        <f>VLOOKUP($A54,'Data shares'!$C:$FB,99)</f>
        <v>27983775</v>
      </c>
      <c r="H54" s="50">
        <f t="shared" si="1"/>
        <v>3.682759027329229</v>
      </c>
      <c r="I54" s="49">
        <f>VLOOKUP($A54,'Data shares'!$C:$FB,66)</f>
        <v>17319000</v>
      </c>
      <c r="J54" s="49">
        <f>VLOOKUP($A54,'Data shares'!$C:$FB,67)</f>
        <v>7097625</v>
      </c>
      <c r="K54" s="50">
        <f t="shared" si="2"/>
        <v>59.018274727178245</v>
      </c>
      <c r="L54" s="50">
        <f>VLOOKUP($A54,'Data shares'!$C:$FB,118)</f>
        <v>0.61</v>
      </c>
      <c r="M54" s="50">
        <f>VLOOKUP($A54,'Data shares'!$C:$FB,119)</f>
        <v>0.63</v>
      </c>
      <c r="N54" s="50">
        <f>VLOOKUP($A54,'Data shares'!$C:$FB,121)*100</f>
        <v>-3.17</v>
      </c>
      <c r="O54" s="50">
        <f>VLOOKUP($A54,'Data shares'!$C:$FB,124)</f>
        <v>0.57999999999999996</v>
      </c>
      <c r="P54" s="50">
        <f>VLOOKUP($A54,'Data shares'!$C:$FB,125)</f>
        <v>0.84</v>
      </c>
      <c r="Q54" s="50">
        <f>VLOOKUP($A54,'Data shares'!$C:$FB,127)*100</f>
        <v>-30.95</v>
      </c>
    </row>
    <row r="55" spans="1:17" x14ac:dyDescent="0.25">
      <c r="A55" s="97" t="str">
        <f>'Data Vlaue (Cr)'!C50</f>
        <v>COLPAL</v>
      </c>
      <c r="B55" s="140">
        <f>VLOOKUP($A55,'Data shares'!$C:$FB,7)</f>
        <v>2172.9</v>
      </c>
      <c r="C55" s="140">
        <f>VLOOKUP($A55,'Data shares'!$C:$FB,3)</f>
        <v>2169.3000000000002</v>
      </c>
      <c r="D55" s="140">
        <f>VLOOKUP($A55,'Data shares'!$C:$FB,4)</f>
        <v>2091.6</v>
      </c>
      <c r="E55" s="50">
        <f t="shared" si="0"/>
        <v>3.7148594377510169</v>
      </c>
      <c r="F55" s="49">
        <f>VLOOKUP($A55,'Data shares'!$C:$FB,98)</f>
        <v>7131500</v>
      </c>
      <c r="G55" s="49">
        <f>VLOOKUP($A55,'Data shares'!$C:$FB,99)</f>
        <v>6864850</v>
      </c>
      <c r="H55" s="50">
        <f t="shared" si="1"/>
        <v>3.8842800643859663</v>
      </c>
      <c r="I55" s="49">
        <f>VLOOKUP($A55,'Data shares'!$C:$FB,66)</f>
        <v>4697550</v>
      </c>
      <c r="J55" s="49">
        <f>VLOOKUP($A55,'Data shares'!$C:$FB,67)</f>
        <v>3207825</v>
      </c>
      <c r="K55" s="50">
        <f t="shared" si="2"/>
        <v>31.712807740205001</v>
      </c>
      <c r="L55" s="50">
        <f>VLOOKUP($A55,'Data shares'!$C:$FB,118)</f>
        <v>0.66</v>
      </c>
      <c r="M55" s="50">
        <f>VLOOKUP($A55,'Data shares'!$C:$FB,119)</f>
        <v>0.69</v>
      </c>
      <c r="N55" s="50">
        <f>VLOOKUP($A55,'Data shares'!$C:$FB,121)*100</f>
        <v>-4.3499999999999996</v>
      </c>
      <c r="O55" s="50">
        <f>VLOOKUP($A55,'Data shares'!$C:$FB,124)</f>
        <v>0.31</v>
      </c>
      <c r="P55" s="50">
        <f>VLOOKUP($A55,'Data shares'!$C:$FB,125)</f>
        <v>0.84</v>
      </c>
      <c r="Q55" s="50">
        <f>VLOOKUP($A55,'Data shares'!$C:$FB,127)*100</f>
        <v>-63.1</v>
      </c>
    </row>
    <row r="56" spans="1:17" x14ac:dyDescent="0.25">
      <c r="A56" s="97" t="str">
        <f>'Data Vlaue (Cr)'!C51</f>
        <v>CONCOR</v>
      </c>
      <c r="B56" s="140">
        <f>VLOOKUP($A56,'Data shares'!$C:$FB,7)</f>
        <v>516.35</v>
      </c>
      <c r="C56" s="140">
        <f>VLOOKUP($A56,'Data shares'!$C:$FB,3)</f>
        <v>519.45000000000005</v>
      </c>
      <c r="D56" s="140">
        <f>VLOOKUP($A56,'Data shares'!$C:$FB,4)</f>
        <v>511.3</v>
      </c>
      <c r="E56" s="50">
        <f t="shared" si="0"/>
        <v>1.5939761392528915</v>
      </c>
      <c r="F56" s="49">
        <f>VLOOKUP($A56,'Data shares'!$C:$FB,98)</f>
        <v>31257500</v>
      </c>
      <c r="G56" s="49">
        <f>VLOOKUP($A56,'Data shares'!$C:$FB,99)</f>
        <v>31008750</v>
      </c>
      <c r="H56" s="50">
        <f t="shared" si="1"/>
        <v>0.80219292941508447</v>
      </c>
      <c r="I56" s="49">
        <f>VLOOKUP($A56,'Data shares'!$C:$FB,66)</f>
        <v>5277500</v>
      </c>
      <c r="J56" s="49">
        <f>VLOOKUP($A56,'Data shares'!$C:$FB,67)</f>
        <v>4441250</v>
      </c>
      <c r="K56" s="50">
        <f t="shared" si="2"/>
        <v>15.845570819516816</v>
      </c>
      <c r="L56" s="50">
        <f>VLOOKUP($A56,'Data shares'!$C:$FB,118)</f>
        <v>0.71</v>
      </c>
      <c r="M56" s="50">
        <f>VLOOKUP($A56,'Data shares'!$C:$FB,119)</f>
        <v>0.75</v>
      </c>
      <c r="N56" s="50">
        <f>VLOOKUP($A56,'Data shares'!$C:$FB,121)*100</f>
        <v>-5.33</v>
      </c>
      <c r="O56" s="50">
        <f>VLOOKUP($A56,'Data shares'!$C:$FB,124)</f>
        <v>0.33</v>
      </c>
      <c r="P56" s="50">
        <f>VLOOKUP($A56,'Data shares'!$C:$FB,125)</f>
        <v>0.43</v>
      </c>
      <c r="Q56" s="50">
        <f>VLOOKUP($A56,'Data shares'!$C:$FB,127)*100</f>
        <v>-23.26</v>
      </c>
    </row>
    <row r="57" spans="1:17" x14ac:dyDescent="0.25">
      <c r="A57" s="97" t="str">
        <f>'Data Vlaue (Cr)'!C52</f>
        <v>CROMPTON</v>
      </c>
      <c r="B57" s="140">
        <f>VLOOKUP($A57,'Data shares'!$C:$FB,7)</f>
        <v>277.95</v>
      </c>
      <c r="C57" s="140">
        <f>VLOOKUP($A57,'Data shares'!$C:$FB,3)</f>
        <v>278.7</v>
      </c>
      <c r="D57" s="140">
        <f>VLOOKUP($A57,'Data shares'!$C:$FB,4)</f>
        <v>273.17</v>
      </c>
      <c r="E57" s="50">
        <f t="shared" si="0"/>
        <v>2.0243804224475501</v>
      </c>
      <c r="F57" s="49">
        <f>VLOOKUP($A57,'Data shares'!$C:$FB,98)</f>
        <v>73715900</v>
      </c>
      <c r="G57" s="49">
        <f>VLOOKUP($A57,'Data shares'!$C:$FB,99)</f>
        <v>69887150</v>
      </c>
      <c r="H57" s="50">
        <f t="shared" si="1"/>
        <v>5.4784749413876517</v>
      </c>
      <c r="I57" s="49">
        <f>VLOOKUP($A57,'Data shares'!$C:$FB,66)</f>
        <v>31982400</v>
      </c>
      <c r="J57" s="49">
        <f>VLOOKUP($A57,'Data shares'!$C:$FB,67)</f>
        <v>35105400</v>
      </c>
      <c r="K57" s="50">
        <f t="shared" si="2"/>
        <v>-9.7647456100855479</v>
      </c>
      <c r="L57" s="50">
        <f>VLOOKUP($A57,'Data shares'!$C:$FB,118)</f>
        <v>0.46</v>
      </c>
      <c r="M57" s="50">
        <f>VLOOKUP($A57,'Data shares'!$C:$FB,119)</f>
        <v>0.46</v>
      </c>
      <c r="N57" s="50">
        <f>VLOOKUP($A57,'Data shares'!$C:$FB,121)*100</f>
        <v>0</v>
      </c>
      <c r="O57" s="50">
        <f>VLOOKUP($A57,'Data shares'!$C:$FB,124)</f>
        <v>0.45</v>
      </c>
      <c r="P57" s="50">
        <f>VLOOKUP($A57,'Data shares'!$C:$FB,125)</f>
        <v>0.49</v>
      </c>
      <c r="Q57" s="50">
        <f>VLOOKUP($A57,'Data shares'!$C:$FB,127)*100</f>
        <v>-8.16</v>
      </c>
    </row>
    <row r="58" spans="1:17" x14ac:dyDescent="0.25">
      <c r="A58" s="97" t="str">
        <f>'Data Vlaue (Cr)'!C53</f>
        <v>CUMMINSIND</v>
      </c>
      <c r="B58" s="140">
        <f>VLOOKUP($A58,'Data shares'!$C:$FB,7)</f>
        <v>5289</v>
      </c>
      <c r="C58" s="140">
        <f>VLOOKUP($A58,'Data shares'!$C:$FB,3)</f>
        <v>5293.5</v>
      </c>
      <c r="D58" s="140">
        <f>VLOOKUP($A58,'Data shares'!$C:$FB,4)</f>
        <v>5299.8</v>
      </c>
      <c r="E58" s="50">
        <f t="shared" si="0"/>
        <v>-0.11887241027963662</v>
      </c>
      <c r="F58" s="49">
        <f>VLOOKUP($A58,'Data shares'!$C:$FB,98)</f>
        <v>4955800</v>
      </c>
      <c r="G58" s="49">
        <f>VLOOKUP($A58,'Data shares'!$C:$FB,99)</f>
        <v>4826000</v>
      </c>
      <c r="H58" s="50">
        <f t="shared" si="1"/>
        <v>2.6895980107749686</v>
      </c>
      <c r="I58" s="49">
        <f>VLOOKUP($A58,'Data shares'!$C:$FB,66)</f>
        <v>1742600</v>
      </c>
      <c r="J58" s="49">
        <f>VLOOKUP($A58,'Data shares'!$C:$FB,67)</f>
        <v>1617800</v>
      </c>
      <c r="K58" s="50">
        <f t="shared" si="2"/>
        <v>7.1617123837943302</v>
      </c>
      <c r="L58" s="50">
        <f>VLOOKUP($A58,'Data shares'!$C:$FB,118)</f>
        <v>0.71</v>
      </c>
      <c r="M58" s="50">
        <f>VLOOKUP($A58,'Data shares'!$C:$FB,119)</f>
        <v>0.87</v>
      </c>
      <c r="N58" s="50">
        <f>VLOOKUP($A58,'Data shares'!$C:$FB,121)*100</f>
        <v>-18.39</v>
      </c>
      <c r="O58" s="50">
        <f>VLOOKUP($A58,'Data shares'!$C:$FB,124)</f>
        <v>0.38</v>
      </c>
      <c r="P58" s="50">
        <f>VLOOKUP($A58,'Data shares'!$C:$FB,125)</f>
        <v>0.82</v>
      </c>
      <c r="Q58" s="50">
        <f>VLOOKUP($A58,'Data shares'!$C:$FB,127)*100</f>
        <v>-53.66</v>
      </c>
    </row>
    <row r="59" spans="1:17" x14ac:dyDescent="0.25">
      <c r="A59" s="97" t="str">
        <f>'Data Vlaue (Cr)'!C54</f>
        <v>DABUR</v>
      </c>
      <c r="B59" s="140">
        <f>VLOOKUP($A59,'Data shares'!$C:$FB,7)</f>
        <v>445.65</v>
      </c>
      <c r="C59" s="140">
        <f>VLOOKUP($A59,'Data shares'!$C:$FB,3)</f>
        <v>447.2</v>
      </c>
      <c r="D59" s="140">
        <f>VLOOKUP($A59,'Data shares'!$C:$FB,4)</f>
        <v>444.1</v>
      </c>
      <c r="E59" s="50">
        <f t="shared" si="0"/>
        <v>0.69804098176085694</v>
      </c>
      <c r="F59" s="49">
        <f>VLOOKUP($A59,'Data shares'!$C:$FB,98)</f>
        <v>39107500</v>
      </c>
      <c r="G59" s="49">
        <f>VLOOKUP($A59,'Data shares'!$C:$FB,99)</f>
        <v>37847500</v>
      </c>
      <c r="H59" s="50">
        <f t="shared" si="1"/>
        <v>3.329149877799062</v>
      </c>
      <c r="I59" s="49">
        <f>VLOOKUP($A59,'Data shares'!$C:$FB,66)</f>
        <v>9500000</v>
      </c>
      <c r="J59" s="49">
        <f>VLOOKUP($A59,'Data shares'!$C:$FB,67)</f>
        <v>14963750</v>
      </c>
      <c r="K59" s="50">
        <f t="shared" si="2"/>
        <v>-57.513157894736842</v>
      </c>
      <c r="L59" s="50">
        <f>VLOOKUP($A59,'Data shares'!$C:$FB,118)</f>
        <v>0.64</v>
      </c>
      <c r="M59" s="50">
        <f>VLOOKUP($A59,'Data shares'!$C:$FB,119)</f>
        <v>0.68</v>
      </c>
      <c r="N59" s="50">
        <f>VLOOKUP($A59,'Data shares'!$C:$FB,121)*100</f>
        <v>-5.88</v>
      </c>
      <c r="O59" s="50">
        <f>VLOOKUP($A59,'Data shares'!$C:$FB,124)</f>
        <v>0.42</v>
      </c>
      <c r="P59" s="50">
        <f>VLOOKUP($A59,'Data shares'!$C:$FB,125)</f>
        <v>0.49</v>
      </c>
      <c r="Q59" s="50">
        <f>VLOOKUP($A59,'Data shares'!$C:$FB,127)*100</f>
        <v>-14.29</v>
      </c>
    </row>
    <row r="60" spans="1:17" x14ac:dyDescent="0.25">
      <c r="A60" s="97" t="str">
        <f>'Data Vlaue (Cr)'!C55</f>
        <v>DALBHARAT</v>
      </c>
      <c r="B60" s="140">
        <f>VLOOKUP($A60,'Data shares'!$C:$FB,7)</f>
        <v>1983.3</v>
      </c>
      <c r="C60" s="140">
        <f>VLOOKUP($A60,'Data shares'!$C:$FB,3)</f>
        <v>1988.2</v>
      </c>
      <c r="D60" s="140">
        <f>VLOOKUP($A60,'Data shares'!$C:$FB,4)</f>
        <v>1916.5</v>
      </c>
      <c r="E60" s="50">
        <f t="shared" si="0"/>
        <v>3.7411948865118729</v>
      </c>
      <c r="F60" s="49">
        <f>VLOOKUP($A60,'Data shares'!$C:$FB,98)</f>
        <v>3982225</v>
      </c>
      <c r="G60" s="49">
        <f>VLOOKUP($A60,'Data shares'!$C:$FB,99)</f>
        <v>3552575</v>
      </c>
      <c r="H60" s="50">
        <f t="shared" si="1"/>
        <v>12.094044460708078</v>
      </c>
      <c r="I60" s="49">
        <f>VLOOKUP($A60,'Data shares'!$C:$FB,66)</f>
        <v>4497350</v>
      </c>
      <c r="J60" s="49">
        <f>VLOOKUP($A60,'Data shares'!$C:$FB,67)</f>
        <v>2571725</v>
      </c>
      <c r="K60" s="50">
        <f t="shared" si="2"/>
        <v>42.816881052175169</v>
      </c>
      <c r="L60" s="50">
        <f>VLOOKUP($A60,'Data shares'!$C:$FB,118)</f>
        <v>0.64</v>
      </c>
      <c r="M60" s="50">
        <f>VLOOKUP($A60,'Data shares'!$C:$FB,119)</f>
        <v>0.63</v>
      </c>
      <c r="N60" s="50">
        <f>VLOOKUP($A60,'Data shares'!$C:$FB,121)*100</f>
        <v>1.59</v>
      </c>
      <c r="O60" s="50">
        <f>VLOOKUP($A60,'Data shares'!$C:$FB,124)</f>
        <v>0.52</v>
      </c>
      <c r="P60" s="50">
        <f>VLOOKUP($A60,'Data shares'!$C:$FB,125)</f>
        <v>0.8</v>
      </c>
      <c r="Q60" s="50">
        <f>VLOOKUP($A60,'Data shares'!$C:$FB,127)*100</f>
        <v>-35</v>
      </c>
    </row>
    <row r="61" spans="1:17" x14ac:dyDescent="0.25">
      <c r="A61" s="97" t="str">
        <f>'Data Vlaue (Cr)'!C56</f>
        <v>DELHIVERY</v>
      </c>
      <c r="B61" s="140">
        <f>VLOOKUP($A61,'Data shares'!$C:$FB,7)</f>
        <v>467.35</v>
      </c>
      <c r="C61" s="140">
        <f>VLOOKUP($A61,'Data shares'!$C:$FB,3)</f>
        <v>469.4</v>
      </c>
      <c r="D61" s="140">
        <f>VLOOKUP($A61,'Data shares'!$C:$FB,4)</f>
        <v>469.35</v>
      </c>
      <c r="E61" s="50">
        <f t="shared" si="0"/>
        <v>1.0653030787249286E-2</v>
      </c>
      <c r="F61" s="49">
        <f>VLOOKUP($A61,'Data shares'!$C:$FB,98)</f>
        <v>37559575</v>
      </c>
      <c r="G61" s="49">
        <f>VLOOKUP($A61,'Data shares'!$C:$FB,99)</f>
        <v>37395650</v>
      </c>
      <c r="H61" s="50">
        <f t="shared" si="1"/>
        <v>0.43835312395960491</v>
      </c>
      <c r="I61" s="49">
        <f>VLOOKUP($A61,'Data shares'!$C:$FB,66)</f>
        <v>10455925</v>
      </c>
      <c r="J61" s="49">
        <f>VLOOKUP($A61,'Data shares'!$C:$FB,67)</f>
        <v>10368775</v>
      </c>
      <c r="K61" s="50">
        <f t="shared" si="2"/>
        <v>0.83349871006152021</v>
      </c>
      <c r="L61" s="50">
        <f>VLOOKUP($A61,'Data shares'!$C:$FB,118)</f>
        <v>0.38</v>
      </c>
      <c r="M61" s="50">
        <f>VLOOKUP($A61,'Data shares'!$C:$FB,119)</f>
        <v>0.39</v>
      </c>
      <c r="N61" s="50">
        <f>VLOOKUP($A61,'Data shares'!$C:$FB,121)*100</f>
        <v>-2.56</v>
      </c>
      <c r="O61" s="50">
        <f>VLOOKUP($A61,'Data shares'!$C:$FB,124)</f>
        <v>0.33</v>
      </c>
      <c r="P61" s="50">
        <f>VLOOKUP($A61,'Data shares'!$C:$FB,125)</f>
        <v>0.41</v>
      </c>
      <c r="Q61" s="50">
        <f>VLOOKUP($A61,'Data shares'!$C:$FB,127)*100</f>
        <v>-19.509999999999998</v>
      </c>
    </row>
    <row r="62" spans="1:17" x14ac:dyDescent="0.25">
      <c r="A62" s="97" t="str">
        <f>'Data Vlaue (Cr)'!C57</f>
        <v>DIVISLAB</v>
      </c>
      <c r="B62" s="140">
        <f>VLOOKUP($A62,'Data shares'!$C:$FB,7)</f>
        <v>6619.5</v>
      </c>
      <c r="C62" s="140">
        <f>VLOOKUP($A62,'Data shares'!$C:$FB,3)</f>
        <v>6639</v>
      </c>
      <c r="D62" s="140">
        <f>VLOOKUP($A62,'Data shares'!$C:$FB,4)</f>
        <v>6541</v>
      </c>
      <c r="E62" s="50">
        <f t="shared" si="0"/>
        <v>1.4982418590429598</v>
      </c>
      <c r="F62" s="49">
        <f>VLOOKUP($A62,'Data shares'!$C:$FB,98)</f>
        <v>3405300</v>
      </c>
      <c r="G62" s="49">
        <f>VLOOKUP($A62,'Data shares'!$C:$FB,99)</f>
        <v>3233400</v>
      </c>
      <c r="H62" s="50">
        <f t="shared" si="1"/>
        <v>5.3163852291705327</v>
      </c>
      <c r="I62" s="49">
        <f>VLOOKUP($A62,'Data shares'!$C:$FB,66)</f>
        <v>1797500</v>
      </c>
      <c r="J62" s="49">
        <f>VLOOKUP($A62,'Data shares'!$C:$FB,67)</f>
        <v>1011500</v>
      </c>
      <c r="K62" s="50">
        <f t="shared" si="2"/>
        <v>43.727399165507649</v>
      </c>
      <c r="L62" s="50">
        <f>VLOOKUP($A62,'Data shares'!$C:$FB,118)</f>
        <v>0.74</v>
      </c>
      <c r="M62" s="50">
        <f>VLOOKUP($A62,'Data shares'!$C:$FB,119)</f>
        <v>0.75</v>
      </c>
      <c r="N62" s="50">
        <f>VLOOKUP($A62,'Data shares'!$C:$FB,121)*100</f>
        <v>-1.3299999999999998</v>
      </c>
      <c r="O62" s="50">
        <f>VLOOKUP($A62,'Data shares'!$C:$FB,124)</f>
        <v>0.35</v>
      </c>
      <c r="P62" s="50">
        <f>VLOOKUP($A62,'Data shares'!$C:$FB,125)</f>
        <v>0.47</v>
      </c>
      <c r="Q62" s="50">
        <f>VLOOKUP($A62,'Data shares'!$C:$FB,127)*100</f>
        <v>-25.53</v>
      </c>
    </row>
    <row r="63" spans="1:17" x14ac:dyDescent="0.25">
      <c r="A63" s="97" t="str">
        <f>'Data Vlaue (Cr)'!C58</f>
        <v>DIXON</v>
      </c>
      <c r="B63" s="140">
        <f>VLOOKUP($A63,'Data shares'!$C:$FB,7)</f>
        <v>11408</v>
      </c>
      <c r="C63" s="140">
        <f>VLOOKUP($A63,'Data shares'!$C:$FB,3)</f>
        <v>11472</v>
      </c>
      <c r="D63" s="140">
        <f>VLOOKUP($A63,'Data shares'!$C:$FB,4)</f>
        <v>11234.5</v>
      </c>
      <c r="E63" s="50">
        <f t="shared" si="0"/>
        <v>2.114023766077707</v>
      </c>
      <c r="F63" s="49">
        <f>VLOOKUP($A63,'Data shares'!$C:$FB,98)</f>
        <v>4807200</v>
      </c>
      <c r="G63" s="49">
        <f>VLOOKUP($A63,'Data shares'!$C:$FB,99)</f>
        <v>4743950</v>
      </c>
      <c r="H63" s="50">
        <f t="shared" si="1"/>
        <v>1.3332771213861867</v>
      </c>
      <c r="I63" s="49">
        <f>VLOOKUP($A63,'Data shares'!$C:$FB,66)</f>
        <v>2108950</v>
      </c>
      <c r="J63" s="49">
        <f>VLOOKUP($A63,'Data shares'!$C:$FB,67)</f>
        <v>2589450</v>
      </c>
      <c r="K63" s="50">
        <f t="shared" si="2"/>
        <v>-22.783849783067403</v>
      </c>
      <c r="L63" s="50">
        <f>VLOOKUP($A63,'Data shares'!$C:$FB,118)</f>
        <v>0.94</v>
      </c>
      <c r="M63" s="50">
        <f>VLOOKUP($A63,'Data shares'!$C:$FB,119)</f>
        <v>0.92</v>
      </c>
      <c r="N63" s="50">
        <f>VLOOKUP($A63,'Data shares'!$C:$FB,121)*100</f>
        <v>2.17</v>
      </c>
      <c r="O63" s="50">
        <f>VLOOKUP($A63,'Data shares'!$C:$FB,124)</f>
        <v>0.74</v>
      </c>
      <c r="P63" s="50">
        <f>VLOOKUP($A63,'Data shares'!$C:$FB,125)</f>
        <v>0.67</v>
      </c>
      <c r="Q63" s="50">
        <f>VLOOKUP($A63,'Data shares'!$C:$FB,127)*100</f>
        <v>10.45</v>
      </c>
    </row>
    <row r="64" spans="1:17" x14ac:dyDescent="0.25">
      <c r="A64" s="97" t="str">
        <f>'Data Vlaue (Cr)'!C59</f>
        <v>DLF</v>
      </c>
      <c r="B64" s="140">
        <f>VLOOKUP($A64,'Data shares'!$C:$FB,7)</f>
        <v>607.20000000000005</v>
      </c>
      <c r="C64" s="140">
        <f>VLOOKUP($A64,'Data shares'!$C:$FB,3)</f>
        <v>608.79999999999995</v>
      </c>
      <c r="D64" s="140">
        <f>VLOOKUP($A64,'Data shares'!$C:$FB,4)</f>
        <v>590.35</v>
      </c>
      <c r="E64" s="50">
        <f t="shared" si="0"/>
        <v>3.1252646734987599</v>
      </c>
      <c r="F64" s="49">
        <f>VLOOKUP($A64,'Data shares'!$C:$FB,98)</f>
        <v>58447275</v>
      </c>
      <c r="G64" s="49">
        <f>VLOOKUP($A64,'Data shares'!$C:$FB,99)</f>
        <v>56914250</v>
      </c>
      <c r="H64" s="50">
        <f t="shared" si="1"/>
        <v>2.6935697123303917</v>
      </c>
      <c r="I64" s="49">
        <f>VLOOKUP($A64,'Data shares'!$C:$FB,66)</f>
        <v>21579525</v>
      </c>
      <c r="J64" s="49">
        <f>VLOOKUP($A64,'Data shares'!$C:$FB,67)</f>
        <v>17027175</v>
      </c>
      <c r="K64" s="50">
        <f t="shared" si="2"/>
        <v>21.095691401919183</v>
      </c>
      <c r="L64" s="50">
        <f>VLOOKUP($A64,'Data shares'!$C:$FB,118)</f>
        <v>0.81</v>
      </c>
      <c r="M64" s="50">
        <f>VLOOKUP($A64,'Data shares'!$C:$FB,119)</f>
        <v>0.88</v>
      </c>
      <c r="N64" s="50">
        <f>VLOOKUP($A64,'Data shares'!$C:$FB,121)*100</f>
        <v>-7.95</v>
      </c>
      <c r="O64" s="50">
        <f>VLOOKUP($A64,'Data shares'!$C:$FB,124)</f>
        <v>0.42</v>
      </c>
      <c r="P64" s="50">
        <f>VLOOKUP($A64,'Data shares'!$C:$FB,125)</f>
        <v>1.32</v>
      </c>
      <c r="Q64" s="50">
        <f>VLOOKUP($A64,'Data shares'!$C:$FB,127)*100</f>
        <v>-68.179999999999993</v>
      </c>
    </row>
    <row r="65" spans="1:17" x14ac:dyDescent="0.25">
      <c r="A65" s="97" t="str">
        <f>'Data Vlaue (Cr)'!C60</f>
        <v>DMART</v>
      </c>
      <c r="B65" s="140">
        <f>VLOOKUP($A65,'Data shares'!$C:$FB,7)</f>
        <v>4376.5</v>
      </c>
      <c r="C65" s="140">
        <f>VLOOKUP($A65,'Data shares'!$C:$FB,3)</f>
        <v>4362.2</v>
      </c>
      <c r="D65" s="140">
        <f>VLOOKUP($A65,'Data shares'!$C:$FB,4)</f>
        <v>4615.8</v>
      </c>
      <c r="E65" s="50">
        <f t="shared" si="0"/>
        <v>-5.4941721911694694</v>
      </c>
      <c r="F65" s="49">
        <f>VLOOKUP($A65,'Data shares'!$C:$FB,98)</f>
        <v>6708900</v>
      </c>
      <c r="G65" s="49">
        <f>VLOOKUP($A65,'Data shares'!$C:$FB,99)</f>
        <v>4567650</v>
      </c>
      <c r="H65" s="50">
        <f t="shared" si="1"/>
        <v>46.878591836064501</v>
      </c>
      <c r="I65" s="49">
        <f>VLOOKUP($A65,'Data shares'!$C:$FB,66)</f>
        <v>14011950</v>
      </c>
      <c r="J65" s="49">
        <f>VLOOKUP($A65,'Data shares'!$C:$FB,67)</f>
        <v>2642100</v>
      </c>
      <c r="K65" s="50">
        <f t="shared" si="2"/>
        <v>81.143952126577673</v>
      </c>
      <c r="L65" s="50">
        <f>VLOOKUP($A65,'Data shares'!$C:$FB,118)</f>
        <v>0.48</v>
      </c>
      <c r="M65" s="50">
        <f>VLOOKUP($A65,'Data shares'!$C:$FB,119)</f>
        <v>0.69</v>
      </c>
      <c r="N65" s="50">
        <f>VLOOKUP($A65,'Data shares'!$C:$FB,121)*100</f>
        <v>-30.43</v>
      </c>
      <c r="O65" s="50">
        <f>VLOOKUP($A65,'Data shares'!$C:$FB,124)</f>
        <v>0.49</v>
      </c>
      <c r="P65" s="50">
        <f>VLOOKUP($A65,'Data shares'!$C:$FB,125)</f>
        <v>0.56000000000000005</v>
      </c>
      <c r="Q65" s="50">
        <f>VLOOKUP($A65,'Data shares'!$C:$FB,127)*100</f>
        <v>-12.5</v>
      </c>
    </row>
    <row r="66" spans="1:17" x14ac:dyDescent="0.25">
      <c r="A66" s="97" t="str">
        <f>'Data Vlaue (Cr)'!C61</f>
        <v>DRREDDY</v>
      </c>
      <c r="B66" s="140">
        <f>VLOOKUP($A66,'Data shares'!$C:$FB,7)</f>
        <v>1287.2</v>
      </c>
      <c r="C66" s="140">
        <f>VLOOKUP($A66,'Data shares'!$C:$FB,3)</f>
        <v>1281.2</v>
      </c>
      <c r="D66" s="140">
        <f>VLOOKUP($A66,'Data shares'!$C:$FB,4)</f>
        <v>1321</v>
      </c>
      <c r="E66" s="50">
        <f t="shared" si="0"/>
        <v>-3.0128690386071124</v>
      </c>
      <c r="F66" s="49">
        <f>VLOOKUP($A66,'Data shares'!$C:$FB,98)</f>
        <v>29093750</v>
      </c>
      <c r="G66" s="49">
        <f>VLOOKUP($A66,'Data shares'!$C:$FB,99)</f>
        <v>26166250</v>
      </c>
      <c r="H66" s="50">
        <f t="shared" si="1"/>
        <v>11.188076243252281</v>
      </c>
      <c r="I66" s="49">
        <f>VLOOKUP($A66,'Data shares'!$C:$FB,66)</f>
        <v>22251875</v>
      </c>
      <c r="J66" s="49">
        <f>VLOOKUP($A66,'Data shares'!$C:$FB,67)</f>
        <v>14028125</v>
      </c>
      <c r="K66" s="50">
        <f t="shared" si="2"/>
        <v>36.957559756200318</v>
      </c>
      <c r="L66" s="50">
        <f>VLOOKUP($A66,'Data shares'!$C:$FB,118)</f>
        <v>0.51</v>
      </c>
      <c r="M66" s="50">
        <f>VLOOKUP($A66,'Data shares'!$C:$FB,119)</f>
        <v>0.57999999999999996</v>
      </c>
      <c r="N66" s="50">
        <f>VLOOKUP($A66,'Data shares'!$C:$FB,121)*100</f>
        <v>-12.07</v>
      </c>
      <c r="O66" s="50">
        <f>VLOOKUP($A66,'Data shares'!$C:$FB,124)</f>
        <v>0.6</v>
      </c>
      <c r="P66" s="50">
        <f>VLOOKUP($A66,'Data shares'!$C:$FB,125)</f>
        <v>0.68</v>
      </c>
      <c r="Q66" s="50">
        <f>VLOOKUP($A66,'Data shares'!$C:$FB,127)*100</f>
        <v>-11.76</v>
      </c>
    </row>
    <row r="67" spans="1:17" x14ac:dyDescent="0.25">
      <c r="A67" s="97" t="str">
        <f>'Data Vlaue (Cr)'!C62</f>
        <v>EICHERMOT</v>
      </c>
      <c r="B67" s="140">
        <f>VLOOKUP($A67,'Data shares'!$C:$FB,7)</f>
        <v>7329</v>
      </c>
      <c r="C67" s="140">
        <f>VLOOKUP($A67,'Data shares'!$C:$FB,3)</f>
        <v>7346</v>
      </c>
      <c r="D67" s="140">
        <f>VLOOKUP($A67,'Data shares'!$C:$FB,4)</f>
        <v>7149</v>
      </c>
      <c r="E67" s="50">
        <f t="shared" si="0"/>
        <v>2.755630158064065</v>
      </c>
      <c r="F67" s="49">
        <f>VLOOKUP($A67,'Data shares'!$C:$FB,98)</f>
        <v>5384100</v>
      </c>
      <c r="G67" s="49">
        <f>VLOOKUP($A67,'Data shares'!$C:$FB,99)</f>
        <v>5195800</v>
      </c>
      <c r="H67" s="50">
        <f t="shared" si="1"/>
        <v>3.6240809884907041</v>
      </c>
      <c r="I67" s="49">
        <f>VLOOKUP($A67,'Data shares'!$C:$FB,66)</f>
        <v>3789700</v>
      </c>
      <c r="J67" s="49">
        <f>VLOOKUP($A67,'Data shares'!$C:$FB,67)</f>
        <v>2571400</v>
      </c>
      <c r="K67" s="50">
        <f t="shared" si="2"/>
        <v>32.147663403435629</v>
      </c>
      <c r="L67" s="50">
        <f>VLOOKUP($A67,'Data shares'!$C:$FB,118)</f>
        <v>0.79</v>
      </c>
      <c r="M67" s="50">
        <f>VLOOKUP($A67,'Data shares'!$C:$FB,119)</f>
        <v>0.87</v>
      </c>
      <c r="N67" s="50">
        <f>VLOOKUP($A67,'Data shares'!$C:$FB,121)*100</f>
        <v>-9.1999999999999993</v>
      </c>
      <c r="O67" s="50">
        <f>VLOOKUP($A67,'Data shares'!$C:$FB,124)</f>
        <v>0.34</v>
      </c>
      <c r="P67" s="50">
        <f>VLOOKUP($A67,'Data shares'!$C:$FB,125)</f>
        <v>0.93</v>
      </c>
      <c r="Q67" s="50">
        <f>VLOOKUP($A67,'Data shares'!$C:$FB,127)*100</f>
        <v>-63.44</v>
      </c>
    </row>
    <row r="68" spans="1:17" x14ac:dyDescent="0.25">
      <c r="A68" s="97" t="str">
        <f>'Data Vlaue (Cr)'!C63</f>
        <v>ETERNAL</v>
      </c>
      <c r="B68" s="140">
        <f>VLOOKUP($A68,'Data shares'!$C:$FB,7)</f>
        <v>251.9</v>
      </c>
      <c r="C68" s="140">
        <f>VLOOKUP($A68,'Data shares'!$C:$FB,3)</f>
        <v>253.32</v>
      </c>
      <c r="D68" s="140">
        <f>VLOOKUP($A68,'Data shares'!$C:$FB,4)</f>
        <v>248.46</v>
      </c>
      <c r="E68" s="50">
        <f t="shared" si="0"/>
        <v>1.9560492634629258</v>
      </c>
      <c r="F68" s="49">
        <f>VLOOKUP($A68,'Data shares'!$C:$FB,98)</f>
        <v>351685625</v>
      </c>
      <c r="G68" s="49">
        <f>VLOOKUP($A68,'Data shares'!$C:$FB,99)</f>
        <v>348443400</v>
      </c>
      <c r="H68" s="50">
        <f t="shared" si="1"/>
        <v>0.93048828016257457</v>
      </c>
      <c r="I68" s="49">
        <f>VLOOKUP($A68,'Data shares'!$C:$FB,66)</f>
        <v>175819775</v>
      </c>
      <c r="J68" s="49">
        <f>VLOOKUP($A68,'Data shares'!$C:$FB,67)</f>
        <v>269645450</v>
      </c>
      <c r="K68" s="50">
        <f t="shared" si="2"/>
        <v>-53.364688357723132</v>
      </c>
      <c r="L68" s="50">
        <f>VLOOKUP($A68,'Data shares'!$C:$FB,118)</f>
        <v>0.54</v>
      </c>
      <c r="M68" s="50">
        <f>VLOOKUP($A68,'Data shares'!$C:$FB,119)</f>
        <v>0.53</v>
      </c>
      <c r="N68" s="50">
        <f>VLOOKUP($A68,'Data shares'!$C:$FB,121)*100</f>
        <v>1.8900000000000001</v>
      </c>
      <c r="O68" s="50">
        <f>VLOOKUP($A68,'Data shares'!$C:$FB,124)</f>
        <v>0.51</v>
      </c>
      <c r="P68" s="50">
        <f>VLOOKUP($A68,'Data shares'!$C:$FB,125)</f>
        <v>0.55000000000000004</v>
      </c>
      <c r="Q68" s="50">
        <f>VLOOKUP($A68,'Data shares'!$C:$FB,127)*100</f>
        <v>-7.2700000000000005</v>
      </c>
    </row>
    <row r="69" spans="1:17" x14ac:dyDescent="0.25">
      <c r="A69" s="97" t="str">
        <f>'Data Vlaue (Cr)'!C64</f>
        <v>EXIDEIND</v>
      </c>
      <c r="B69" s="140">
        <f>VLOOKUP($A69,'Data shares'!$C:$FB,7)</f>
        <v>359.05</v>
      </c>
      <c r="C69" s="140">
        <f>VLOOKUP($A69,'Data shares'!$C:$FB,3)</f>
        <v>360.35</v>
      </c>
      <c r="D69" s="140">
        <f>VLOOKUP($A69,'Data shares'!$C:$FB,4)</f>
        <v>361.9</v>
      </c>
      <c r="E69" s="50">
        <f t="shared" si="0"/>
        <v>-0.42829510914616042</v>
      </c>
      <c r="F69" s="49">
        <f>VLOOKUP($A69,'Data shares'!$C:$FB,98)</f>
        <v>52383600</v>
      </c>
      <c r="G69" s="49">
        <f>VLOOKUP($A69,'Data shares'!$C:$FB,99)</f>
        <v>44166600</v>
      </c>
      <c r="H69" s="50">
        <f t="shared" si="1"/>
        <v>18.604556384236052</v>
      </c>
      <c r="I69" s="49">
        <f>VLOOKUP($A69,'Data shares'!$C:$FB,66)</f>
        <v>114042600</v>
      </c>
      <c r="J69" s="49">
        <f>VLOOKUP($A69,'Data shares'!$C:$FB,67)</f>
        <v>15375600</v>
      </c>
      <c r="K69" s="50">
        <f t="shared" si="2"/>
        <v>86.517669712896762</v>
      </c>
      <c r="L69" s="50">
        <f>VLOOKUP($A69,'Data shares'!$C:$FB,118)</f>
        <v>0.62</v>
      </c>
      <c r="M69" s="50">
        <f>VLOOKUP($A69,'Data shares'!$C:$FB,119)</f>
        <v>0.67</v>
      </c>
      <c r="N69" s="50">
        <f>VLOOKUP($A69,'Data shares'!$C:$FB,121)*100</f>
        <v>-7.46</v>
      </c>
      <c r="O69" s="50">
        <f>VLOOKUP($A69,'Data shares'!$C:$FB,124)</f>
        <v>0.49</v>
      </c>
      <c r="P69" s="50">
        <f>VLOOKUP($A69,'Data shares'!$C:$FB,125)</f>
        <v>0.47</v>
      </c>
      <c r="Q69" s="50">
        <f>VLOOKUP($A69,'Data shares'!$C:$FB,127)*100</f>
        <v>4.26</v>
      </c>
    </row>
    <row r="70" spans="1:17" x14ac:dyDescent="0.25">
      <c r="A70" s="97" t="str">
        <f>'Data Vlaue (Cr)'!C65</f>
        <v>FEDERALBNK</v>
      </c>
      <c r="B70" s="140">
        <f>VLOOKUP($A70,'Data shares'!$C:$FB,7)</f>
        <v>289.14999999999998</v>
      </c>
      <c r="C70" s="140">
        <f>VLOOKUP($A70,'Data shares'!$C:$FB,3)</f>
        <v>290.75</v>
      </c>
      <c r="D70" s="140">
        <f>VLOOKUP($A70,'Data shares'!$C:$FB,4)</f>
        <v>287.8</v>
      </c>
      <c r="E70" s="50">
        <f t="shared" si="0"/>
        <v>1.0250173731758125</v>
      </c>
      <c r="F70" s="49">
        <f>VLOOKUP($A70,'Data shares'!$C:$FB,98)</f>
        <v>139112500</v>
      </c>
      <c r="G70" s="49">
        <f>VLOOKUP($A70,'Data shares'!$C:$FB,99)</f>
        <v>138662500</v>
      </c>
      <c r="H70" s="50">
        <f t="shared" si="1"/>
        <v>0.32452898224105292</v>
      </c>
      <c r="I70" s="49">
        <f>VLOOKUP($A70,'Data shares'!$C:$FB,66)</f>
        <v>71992500</v>
      </c>
      <c r="J70" s="49">
        <f>VLOOKUP($A70,'Data shares'!$C:$FB,67)</f>
        <v>129932500</v>
      </c>
      <c r="K70" s="50">
        <f t="shared" si="2"/>
        <v>-80.480605618640837</v>
      </c>
      <c r="L70" s="50">
        <f>VLOOKUP($A70,'Data shares'!$C:$FB,118)</f>
        <v>0.54</v>
      </c>
      <c r="M70" s="50">
        <f>VLOOKUP($A70,'Data shares'!$C:$FB,119)</f>
        <v>0.51</v>
      </c>
      <c r="N70" s="50">
        <f>VLOOKUP($A70,'Data shares'!$C:$FB,121)*100</f>
        <v>5.88</v>
      </c>
      <c r="O70" s="50">
        <f>VLOOKUP($A70,'Data shares'!$C:$FB,124)</f>
        <v>0.46</v>
      </c>
      <c r="P70" s="50">
        <f>VLOOKUP($A70,'Data shares'!$C:$FB,125)</f>
        <v>0.4</v>
      </c>
      <c r="Q70" s="50">
        <f>VLOOKUP($A70,'Data shares'!$C:$FB,127)*100</f>
        <v>15</v>
      </c>
    </row>
    <row r="71" spans="1:17" x14ac:dyDescent="0.25">
      <c r="A71" s="97" t="str">
        <f>'Data Vlaue (Cr)'!C66</f>
        <v>FINNIFTY</v>
      </c>
      <c r="B71" s="140">
        <f>VLOOKUP($A71,'Data shares'!$C:$FB,7)</f>
        <v>25814.400000000001</v>
      </c>
      <c r="C71" s="140">
        <f>VLOOKUP($A71,'Data shares'!$C:$FB,3)</f>
        <v>25943.200000000001</v>
      </c>
      <c r="D71" s="140">
        <f>VLOOKUP($A71,'Data shares'!$C:$FB,4)</f>
        <v>25782.799999999999</v>
      </c>
      <c r="E71" s="50">
        <f t="shared" si="0"/>
        <v>0.62212017313868728</v>
      </c>
      <c r="F71" s="49">
        <f>VLOOKUP($A71,'Data shares'!$C:$FB,98)</f>
        <v>260880</v>
      </c>
      <c r="G71" s="49">
        <f>VLOOKUP($A71,'Data shares'!$C:$FB,99)</f>
        <v>180900</v>
      </c>
      <c r="H71" s="50">
        <f t="shared" si="1"/>
        <v>44.212271973466002</v>
      </c>
      <c r="I71" s="49">
        <f>VLOOKUP($A71,'Data shares'!$C:$FB,66)</f>
        <v>470040</v>
      </c>
      <c r="J71" s="49">
        <f>VLOOKUP($A71,'Data shares'!$C:$FB,67)</f>
        <v>324180</v>
      </c>
      <c r="K71" s="50">
        <f t="shared" si="2"/>
        <v>31.031401582844016</v>
      </c>
      <c r="L71" s="50">
        <f>VLOOKUP($A71,'Data shares'!$C:$FB,118)</f>
        <v>0.61</v>
      </c>
      <c r="M71" s="50">
        <f>VLOOKUP($A71,'Data shares'!$C:$FB,119)</f>
        <v>0.44</v>
      </c>
      <c r="N71" s="50">
        <f>VLOOKUP($A71,'Data shares'!$C:$FB,121)*100</f>
        <v>38.64</v>
      </c>
      <c r="O71" s="50">
        <f>VLOOKUP($A71,'Data shares'!$C:$FB,124)</f>
        <v>0.62</v>
      </c>
      <c r="P71" s="50">
        <f>VLOOKUP($A71,'Data shares'!$C:$FB,125)</f>
        <v>0.76</v>
      </c>
      <c r="Q71" s="50">
        <f>VLOOKUP($A71,'Data shares'!$C:$FB,127)*100</f>
        <v>-18.420000000000002</v>
      </c>
    </row>
    <row r="72" spans="1:17" x14ac:dyDescent="0.25">
      <c r="A72" s="97" t="str">
        <f>'Data Vlaue (Cr)'!C67</f>
        <v>FORCEMOT</v>
      </c>
      <c r="B72" s="140">
        <f>VLOOKUP($A72,'Data shares'!$C:$FB,7)</f>
        <v>19331</v>
      </c>
      <c r="C72" s="140">
        <f>VLOOKUP($A72,'Data shares'!$C:$FB,3)</f>
        <v>19109</v>
      </c>
      <c r="D72" s="140">
        <f>VLOOKUP($A72,'Data shares'!$C:$FB,4)</f>
        <v>19594</v>
      </c>
      <c r="E72" s="50">
        <f t="shared" ref="E72:E135" si="3">(C72-D72)/D72*100</f>
        <v>-2.4752475247524752</v>
      </c>
      <c r="F72" s="49">
        <f>VLOOKUP($A72,'Data shares'!$C:$FB,98)</f>
        <v>497075</v>
      </c>
      <c r="G72" s="49">
        <f>VLOOKUP($A72,'Data shares'!$C:$FB,99)</f>
        <v>456800</v>
      </c>
      <c r="H72" s="50">
        <f t="shared" ref="H72:H135" si="4">(F72-G72)/G72*100</f>
        <v>8.8167688266199651</v>
      </c>
      <c r="I72" s="49">
        <f>VLOOKUP($A72,'Data shares'!$C:$FB,66)</f>
        <v>353225</v>
      </c>
      <c r="J72" s="49">
        <f>VLOOKUP($A72,'Data shares'!$C:$FB,67)</f>
        <v>620575</v>
      </c>
      <c r="K72" s="50">
        <f t="shared" ref="K72:K135" si="5">(I72-J72)/I72*100</f>
        <v>-75.688300658220683</v>
      </c>
      <c r="L72" s="50">
        <f>VLOOKUP($A72,'Data shares'!$C:$FB,118)</f>
        <v>0.34</v>
      </c>
      <c r="M72" s="50">
        <f>VLOOKUP($A72,'Data shares'!$C:$FB,119)</f>
        <v>0.4</v>
      </c>
      <c r="N72" s="50">
        <f>VLOOKUP($A72,'Data shares'!$C:$FB,121)*100</f>
        <v>-15</v>
      </c>
      <c r="O72" s="50">
        <f>VLOOKUP($A72,'Data shares'!$C:$FB,124)</f>
        <v>0.27</v>
      </c>
      <c r="P72" s="50">
        <f>VLOOKUP($A72,'Data shares'!$C:$FB,125)</f>
        <v>0.56999999999999995</v>
      </c>
      <c r="Q72" s="50">
        <f>VLOOKUP($A72,'Data shares'!$C:$FB,127)*100</f>
        <v>-52.629999999999995</v>
      </c>
    </row>
    <row r="73" spans="1:17" x14ac:dyDescent="0.25">
      <c r="A73" s="97" t="str">
        <f>'Data Vlaue (Cr)'!C68</f>
        <v>FORTIS</v>
      </c>
      <c r="B73" s="140">
        <f>VLOOKUP($A73,'Data shares'!$C:$FB,7)</f>
        <v>952.9</v>
      </c>
      <c r="C73" s="140">
        <f>VLOOKUP($A73,'Data shares'!$C:$FB,3)</f>
        <v>956.15</v>
      </c>
      <c r="D73" s="140">
        <f>VLOOKUP($A73,'Data shares'!$C:$FB,4)</f>
        <v>927.9</v>
      </c>
      <c r="E73" s="50">
        <f t="shared" si="3"/>
        <v>3.0445091065847611</v>
      </c>
      <c r="F73" s="49">
        <f>VLOOKUP($A73,'Data shares'!$C:$FB,98)</f>
        <v>11729625</v>
      </c>
      <c r="G73" s="49">
        <f>VLOOKUP($A73,'Data shares'!$C:$FB,99)</f>
        <v>11226650</v>
      </c>
      <c r="H73" s="50">
        <f t="shared" si="4"/>
        <v>4.4801877674996549</v>
      </c>
      <c r="I73" s="49">
        <f>VLOOKUP($A73,'Data shares'!$C:$FB,66)</f>
        <v>5144450</v>
      </c>
      <c r="J73" s="49">
        <f>VLOOKUP($A73,'Data shares'!$C:$FB,67)</f>
        <v>2480775</v>
      </c>
      <c r="K73" s="50">
        <f t="shared" si="5"/>
        <v>51.777643868635124</v>
      </c>
      <c r="L73" s="50">
        <f>VLOOKUP($A73,'Data shares'!$C:$FB,118)</f>
        <v>0.53</v>
      </c>
      <c r="M73" s="50">
        <f>VLOOKUP($A73,'Data shares'!$C:$FB,119)</f>
        <v>0.56000000000000005</v>
      </c>
      <c r="N73" s="50">
        <f>VLOOKUP($A73,'Data shares'!$C:$FB,121)*100</f>
        <v>-5.36</v>
      </c>
      <c r="O73" s="50">
        <f>VLOOKUP($A73,'Data shares'!$C:$FB,124)</f>
        <v>0.37</v>
      </c>
      <c r="P73" s="50">
        <f>VLOOKUP($A73,'Data shares'!$C:$FB,125)</f>
        <v>1.06</v>
      </c>
      <c r="Q73" s="50">
        <f>VLOOKUP($A73,'Data shares'!$C:$FB,127)*100</f>
        <v>-65.09</v>
      </c>
    </row>
    <row r="74" spans="1:17" x14ac:dyDescent="0.25">
      <c r="A74" s="97" t="str">
        <f>'Data Vlaue (Cr)'!C69</f>
        <v>GAIL</v>
      </c>
      <c r="B74" s="140">
        <f>VLOOKUP($A74,'Data shares'!$C:$FB,7)</f>
        <v>164.48</v>
      </c>
      <c r="C74" s="140">
        <f>VLOOKUP($A74,'Data shares'!$C:$FB,3)</f>
        <v>165.37</v>
      </c>
      <c r="D74" s="140">
        <f>VLOOKUP($A74,'Data shares'!$C:$FB,4)</f>
        <v>163.84</v>
      </c>
      <c r="E74" s="50">
        <f t="shared" si="3"/>
        <v>0.93383789062500067</v>
      </c>
      <c r="F74" s="49">
        <f>VLOOKUP($A74,'Data shares'!$C:$FB,98)</f>
        <v>110179200</v>
      </c>
      <c r="G74" s="49">
        <f>VLOOKUP($A74,'Data shares'!$C:$FB,99)</f>
        <v>109399150</v>
      </c>
      <c r="H74" s="50">
        <f t="shared" si="4"/>
        <v>0.7130311341541502</v>
      </c>
      <c r="I74" s="49">
        <f>VLOOKUP($A74,'Data shares'!$C:$FB,66)</f>
        <v>34665750</v>
      </c>
      <c r="J74" s="49">
        <f>VLOOKUP($A74,'Data shares'!$C:$FB,67)</f>
        <v>29191050</v>
      </c>
      <c r="K74" s="50">
        <f t="shared" si="5"/>
        <v>15.79282144479782</v>
      </c>
      <c r="L74" s="50">
        <f>VLOOKUP($A74,'Data shares'!$C:$FB,118)</f>
        <v>1.06</v>
      </c>
      <c r="M74" s="50">
        <f>VLOOKUP($A74,'Data shares'!$C:$FB,119)</f>
        <v>1.07</v>
      </c>
      <c r="N74" s="50">
        <f>VLOOKUP($A74,'Data shares'!$C:$FB,121)*100</f>
        <v>-0.92999999999999994</v>
      </c>
      <c r="O74" s="50">
        <f>VLOOKUP($A74,'Data shares'!$C:$FB,124)</f>
        <v>0.47</v>
      </c>
      <c r="P74" s="50">
        <f>VLOOKUP($A74,'Data shares'!$C:$FB,125)</f>
        <v>0.71</v>
      </c>
      <c r="Q74" s="50">
        <f>VLOOKUP($A74,'Data shares'!$C:$FB,127)*100</f>
        <v>-33.800000000000004</v>
      </c>
    </row>
    <row r="75" spans="1:17" x14ac:dyDescent="0.25">
      <c r="A75" s="97" t="str">
        <f>'Data Vlaue (Cr)'!C70</f>
        <v>GLENMARK</v>
      </c>
      <c r="B75" s="140">
        <f>VLOOKUP($A75,'Data shares'!$C:$FB,7)</f>
        <v>2393.6999999999998</v>
      </c>
      <c r="C75" s="140">
        <f>VLOOKUP($A75,'Data shares'!$C:$FB,3)</f>
        <v>2404.9</v>
      </c>
      <c r="D75" s="140">
        <f>VLOOKUP($A75,'Data shares'!$C:$FB,4)</f>
        <v>2420.8000000000002</v>
      </c>
      <c r="E75" s="50">
        <f t="shared" si="3"/>
        <v>-0.65680766688698322</v>
      </c>
      <c r="F75" s="49">
        <f>VLOOKUP($A75,'Data shares'!$C:$FB,98)</f>
        <v>13853625</v>
      </c>
      <c r="G75" s="49">
        <f>VLOOKUP($A75,'Data shares'!$C:$FB,99)</f>
        <v>13706250</v>
      </c>
      <c r="H75" s="50">
        <f t="shared" si="4"/>
        <v>1.0752393980848154</v>
      </c>
      <c r="I75" s="49">
        <f>VLOOKUP($A75,'Data shares'!$C:$FB,66)</f>
        <v>2626125</v>
      </c>
      <c r="J75" s="49">
        <f>VLOOKUP($A75,'Data shares'!$C:$FB,67)</f>
        <v>4462875</v>
      </c>
      <c r="K75" s="50">
        <f t="shared" si="5"/>
        <v>-69.941453662715986</v>
      </c>
      <c r="L75" s="50">
        <f>VLOOKUP($A75,'Data shares'!$C:$FB,118)</f>
        <v>0.54</v>
      </c>
      <c r="M75" s="50">
        <f>VLOOKUP($A75,'Data shares'!$C:$FB,119)</f>
        <v>0.56999999999999995</v>
      </c>
      <c r="N75" s="50">
        <f>VLOOKUP($A75,'Data shares'!$C:$FB,121)*100</f>
        <v>-5.26</v>
      </c>
      <c r="O75" s="50">
        <f>VLOOKUP($A75,'Data shares'!$C:$FB,124)</f>
        <v>0.56000000000000005</v>
      </c>
      <c r="P75" s="50">
        <f>VLOOKUP($A75,'Data shares'!$C:$FB,125)</f>
        <v>0.43</v>
      </c>
      <c r="Q75" s="50">
        <f>VLOOKUP($A75,'Data shares'!$C:$FB,127)*100</f>
        <v>30.23</v>
      </c>
    </row>
    <row r="76" spans="1:17" x14ac:dyDescent="0.25">
      <c r="A76" s="97" t="str">
        <f>'Data Vlaue (Cr)'!C71</f>
        <v>GMRAIRPORT</v>
      </c>
      <c r="B76" s="140">
        <f>VLOOKUP($A76,'Data shares'!$C:$FB,7)</f>
        <v>98.9</v>
      </c>
      <c r="C76" s="140">
        <f>VLOOKUP($A76,'Data shares'!$C:$FB,3)</f>
        <v>99.1</v>
      </c>
      <c r="D76" s="140">
        <f>VLOOKUP($A76,'Data shares'!$C:$FB,4)</f>
        <v>96.96</v>
      </c>
      <c r="E76" s="50">
        <f t="shared" si="3"/>
        <v>2.2070957095709578</v>
      </c>
      <c r="F76" s="49">
        <f>VLOOKUP($A76,'Data shares'!$C:$FB,98)</f>
        <v>228361500</v>
      </c>
      <c r="G76" s="49">
        <f>VLOOKUP($A76,'Data shares'!$C:$FB,99)</f>
        <v>214174350</v>
      </c>
      <c r="H76" s="50">
        <f t="shared" si="4"/>
        <v>6.6241125512929075</v>
      </c>
      <c r="I76" s="49">
        <f>VLOOKUP($A76,'Data shares'!$C:$FB,66)</f>
        <v>129421125</v>
      </c>
      <c r="J76" s="49">
        <f>VLOOKUP($A76,'Data shares'!$C:$FB,67)</f>
        <v>58457475</v>
      </c>
      <c r="K76" s="50">
        <f t="shared" si="5"/>
        <v>54.831581783885738</v>
      </c>
      <c r="L76" s="50">
        <f>VLOOKUP($A76,'Data shares'!$C:$FB,118)</f>
        <v>0.59</v>
      </c>
      <c r="M76" s="50">
        <f>VLOOKUP($A76,'Data shares'!$C:$FB,119)</f>
        <v>0.6</v>
      </c>
      <c r="N76" s="50">
        <f>VLOOKUP($A76,'Data shares'!$C:$FB,121)*100</f>
        <v>-1.67</v>
      </c>
      <c r="O76" s="50">
        <f>VLOOKUP($A76,'Data shares'!$C:$FB,124)</f>
        <v>0.43</v>
      </c>
      <c r="P76" s="50">
        <f>VLOOKUP($A76,'Data shares'!$C:$FB,125)</f>
        <v>0.56000000000000005</v>
      </c>
      <c r="Q76" s="50">
        <f>VLOOKUP($A76,'Data shares'!$C:$FB,127)*100</f>
        <v>-23.21</v>
      </c>
    </row>
    <row r="77" spans="1:17" x14ac:dyDescent="0.25">
      <c r="A77" s="97" t="str">
        <f>'Data Vlaue (Cr)'!C72</f>
        <v>GODFRYPHLP</v>
      </c>
      <c r="B77" s="140">
        <f>VLOOKUP($A77,'Data shares'!$C:$FB,7)</f>
        <v>2216.3000000000002</v>
      </c>
      <c r="C77" s="140">
        <f>VLOOKUP($A77,'Data shares'!$C:$FB,3)</f>
        <v>2216.6</v>
      </c>
      <c r="D77" s="140">
        <f>VLOOKUP($A77,'Data shares'!$C:$FB,4)</f>
        <v>2253.3000000000002</v>
      </c>
      <c r="E77" s="50">
        <f t="shared" si="3"/>
        <v>-1.6287223183775026</v>
      </c>
      <c r="F77" s="49">
        <f>VLOOKUP($A77,'Data shares'!$C:$FB,98)</f>
        <v>2386725</v>
      </c>
      <c r="G77" s="49">
        <f>VLOOKUP($A77,'Data shares'!$C:$FB,99)</f>
        <v>2327050</v>
      </c>
      <c r="H77" s="50">
        <f t="shared" si="4"/>
        <v>2.5644055778775701</v>
      </c>
      <c r="I77" s="49">
        <f>VLOOKUP($A77,'Data shares'!$C:$FB,66)</f>
        <v>936925</v>
      </c>
      <c r="J77" s="49">
        <f>VLOOKUP($A77,'Data shares'!$C:$FB,67)</f>
        <v>1969550</v>
      </c>
      <c r="K77" s="50">
        <f t="shared" si="5"/>
        <v>-110.21426474904608</v>
      </c>
      <c r="L77" s="50">
        <f>VLOOKUP($A77,'Data shares'!$C:$FB,118)</f>
        <v>0.4</v>
      </c>
      <c r="M77" s="50">
        <f>VLOOKUP($A77,'Data shares'!$C:$FB,119)</f>
        <v>0.41</v>
      </c>
      <c r="N77" s="50">
        <f>VLOOKUP($A77,'Data shares'!$C:$FB,121)*100</f>
        <v>-2.44</v>
      </c>
      <c r="O77" s="50">
        <f>VLOOKUP($A77,'Data shares'!$C:$FB,124)</f>
        <v>0.28000000000000003</v>
      </c>
      <c r="P77" s="50">
        <f>VLOOKUP($A77,'Data shares'!$C:$FB,125)</f>
        <v>0.28000000000000003</v>
      </c>
      <c r="Q77" s="50">
        <f>VLOOKUP($A77,'Data shares'!$C:$FB,127)*100</f>
        <v>0</v>
      </c>
    </row>
    <row r="78" spans="1:17" x14ac:dyDescent="0.25">
      <c r="A78" s="97" t="str">
        <f>'Data Vlaue (Cr)'!C73</f>
        <v>GODREJCP</v>
      </c>
      <c r="B78" s="140">
        <f>VLOOKUP($A78,'Data shares'!$C:$FB,7)</f>
        <v>1072.5</v>
      </c>
      <c r="C78" s="140">
        <f>VLOOKUP($A78,'Data shares'!$C:$FB,3)</f>
        <v>1073.9000000000001</v>
      </c>
      <c r="D78" s="140">
        <f>VLOOKUP($A78,'Data shares'!$C:$FB,4)</f>
        <v>1064.8</v>
      </c>
      <c r="E78" s="50">
        <f t="shared" si="3"/>
        <v>0.85462058602555757</v>
      </c>
      <c r="F78" s="49">
        <f>VLOOKUP($A78,'Data shares'!$C:$FB,98)</f>
        <v>15140000</v>
      </c>
      <c r="G78" s="49">
        <f>VLOOKUP($A78,'Data shares'!$C:$FB,99)</f>
        <v>14767000</v>
      </c>
      <c r="H78" s="50">
        <f t="shared" si="4"/>
        <v>2.5259023498340896</v>
      </c>
      <c r="I78" s="49">
        <f>VLOOKUP($A78,'Data shares'!$C:$FB,66)</f>
        <v>3330500</v>
      </c>
      <c r="J78" s="49">
        <f>VLOOKUP($A78,'Data shares'!$C:$FB,67)</f>
        <v>5291000</v>
      </c>
      <c r="K78" s="50">
        <f t="shared" si="5"/>
        <v>-58.865035279987985</v>
      </c>
      <c r="L78" s="50">
        <f>VLOOKUP($A78,'Data shares'!$C:$FB,118)</f>
        <v>0.76</v>
      </c>
      <c r="M78" s="50">
        <f>VLOOKUP($A78,'Data shares'!$C:$FB,119)</f>
        <v>0.94</v>
      </c>
      <c r="N78" s="50">
        <f>VLOOKUP($A78,'Data shares'!$C:$FB,121)*100</f>
        <v>-19.149999999999999</v>
      </c>
      <c r="O78" s="50">
        <f>VLOOKUP($A78,'Data shares'!$C:$FB,124)</f>
        <v>0.35</v>
      </c>
      <c r="P78" s="50">
        <f>VLOOKUP($A78,'Data shares'!$C:$FB,125)</f>
        <v>1.07</v>
      </c>
      <c r="Q78" s="50">
        <f>VLOOKUP($A78,'Data shares'!$C:$FB,127)*100</f>
        <v>-67.290000000000006</v>
      </c>
    </row>
    <row r="79" spans="1:17" x14ac:dyDescent="0.25">
      <c r="A79" s="97" t="str">
        <f>'Data Vlaue (Cr)'!C74</f>
        <v>GODREJPROP</v>
      </c>
      <c r="B79" s="140">
        <f>VLOOKUP($A79,'Data shares'!$C:$FB,7)</f>
        <v>1899.8</v>
      </c>
      <c r="C79" s="140">
        <f>VLOOKUP($A79,'Data shares'!$C:$FB,3)</f>
        <v>1911</v>
      </c>
      <c r="D79" s="140">
        <f>VLOOKUP($A79,'Data shares'!$C:$FB,4)</f>
        <v>1841</v>
      </c>
      <c r="E79" s="50">
        <f t="shared" si="3"/>
        <v>3.8022813688212929</v>
      </c>
      <c r="F79" s="49">
        <f>VLOOKUP($A79,'Data shares'!$C:$FB,98)</f>
        <v>11331475</v>
      </c>
      <c r="G79" s="49">
        <f>VLOOKUP($A79,'Data shares'!$C:$FB,99)</f>
        <v>9440225</v>
      </c>
      <c r="H79" s="50">
        <f t="shared" si="4"/>
        <v>20.03395046198581</v>
      </c>
      <c r="I79" s="49">
        <f>VLOOKUP($A79,'Data shares'!$C:$FB,66)</f>
        <v>25533750</v>
      </c>
      <c r="J79" s="49">
        <f>VLOOKUP($A79,'Data shares'!$C:$FB,67)</f>
        <v>3601400</v>
      </c>
      <c r="K79" s="50">
        <f t="shared" si="5"/>
        <v>85.895530425417348</v>
      </c>
      <c r="L79" s="50">
        <f>VLOOKUP($A79,'Data shares'!$C:$FB,118)</f>
        <v>0.6</v>
      </c>
      <c r="M79" s="50">
        <f>VLOOKUP($A79,'Data shares'!$C:$FB,119)</f>
        <v>0.81</v>
      </c>
      <c r="N79" s="50">
        <f>VLOOKUP($A79,'Data shares'!$C:$FB,121)*100</f>
        <v>-25.929999999999996</v>
      </c>
      <c r="O79" s="50">
        <f>VLOOKUP($A79,'Data shares'!$C:$FB,124)</f>
        <v>0.35</v>
      </c>
      <c r="P79" s="50">
        <f>VLOOKUP($A79,'Data shares'!$C:$FB,125)</f>
        <v>1.03</v>
      </c>
      <c r="Q79" s="50">
        <f>VLOOKUP($A79,'Data shares'!$C:$FB,127)*100</f>
        <v>-66.02</v>
      </c>
    </row>
    <row r="80" spans="1:17" x14ac:dyDescent="0.25">
      <c r="A80" s="97" t="str">
        <f>'Data Vlaue (Cr)'!C75</f>
        <v>GRASIM</v>
      </c>
      <c r="B80" s="140">
        <f>VLOOKUP($A80,'Data shares'!$C:$FB,7)</f>
        <v>2856</v>
      </c>
      <c r="C80" s="140">
        <f>VLOOKUP($A80,'Data shares'!$C:$FB,3)</f>
        <v>2871.8</v>
      </c>
      <c r="D80" s="140">
        <f>VLOOKUP($A80,'Data shares'!$C:$FB,4)</f>
        <v>2802.8</v>
      </c>
      <c r="E80" s="50">
        <f t="shared" si="3"/>
        <v>2.4618238903953187</v>
      </c>
      <c r="F80" s="49">
        <f>VLOOKUP($A80,'Data shares'!$C:$FB,98)</f>
        <v>16554750</v>
      </c>
      <c r="G80" s="49">
        <f>VLOOKUP($A80,'Data shares'!$C:$FB,99)</f>
        <v>16192500</v>
      </c>
      <c r="H80" s="50">
        <f t="shared" si="4"/>
        <v>2.2371468272348309</v>
      </c>
      <c r="I80" s="49">
        <f>VLOOKUP($A80,'Data shares'!$C:$FB,66)</f>
        <v>3712500</v>
      </c>
      <c r="J80" s="49">
        <f>VLOOKUP($A80,'Data shares'!$C:$FB,67)</f>
        <v>2108250</v>
      </c>
      <c r="K80" s="50">
        <f t="shared" si="5"/>
        <v>43.212121212121211</v>
      </c>
      <c r="L80" s="50">
        <f>VLOOKUP($A80,'Data shares'!$C:$FB,118)</f>
        <v>0.73</v>
      </c>
      <c r="M80" s="50">
        <f>VLOOKUP($A80,'Data shares'!$C:$FB,119)</f>
        <v>0.81</v>
      </c>
      <c r="N80" s="50">
        <f>VLOOKUP($A80,'Data shares'!$C:$FB,121)*100</f>
        <v>-9.879999999999999</v>
      </c>
      <c r="O80" s="50">
        <f>VLOOKUP($A80,'Data shares'!$C:$FB,124)</f>
        <v>0.3</v>
      </c>
      <c r="P80" s="50">
        <f>VLOOKUP($A80,'Data shares'!$C:$FB,125)</f>
        <v>0.5</v>
      </c>
      <c r="Q80" s="50">
        <f>VLOOKUP($A80,'Data shares'!$C:$FB,127)*100</f>
        <v>-40</v>
      </c>
    </row>
    <row r="81" spans="1:17" x14ac:dyDescent="0.25">
      <c r="A81" s="97" t="str">
        <f>'Data Vlaue (Cr)'!C76</f>
        <v>HAL</v>
      </c>
      <c r="B81" s="140">
        <f>VLOOKUP($A81,'Data shares'!$C:$FB,7)</f>
        <v>4559.5</v>
      </c>
      <c r="C81" s="140">
        <f>VLOOKUP($A81,'Data shares'!$C:$FB,3)</f>
        <v>4580.2</v>
      </c>
      <c r="D81" s="140">
        <f>VLOOKUP($A81,'Data shares'!$C:$FB,4)</f>
        <v>4364.2</v>
      </c>
      <c r="E81" s="50">
        <f t="shared" si="3"/>
        <v>4.9493607075752717</v>
      </c>
      <c r="F81" s="49">
        <f>VLOOKUP($A81,'Data shares'!$C:$FB,98)</f>
        <v>10973250</v>
      </c>
      <c r="G81" s="49">
        <f>VLOOKUP($A81,'Data shares'!$C:$FB,99)</f>
        <v>10270050</v>
      </c>
      <c r="H81" s="50">
        <f t="shared" si="4"/>
        <v>6.8470942205734149</v>
      </c>
      <c r="I81" s="49">
        <f>VLOOKUP($A81,'Data shares'!$C:$FB,66)</f>
        <v>18061350</v>
      </c>
      <c r="J81" s="49">
        <f>VLOOKUP($A81,'Data shares'!$C:$FB,67)</f>
        <v>3999600</v>
      </c>
      <c r="K81" s="50">
        <f t="shared" si="5"/>
        <v>77.855475919574118</v>
      </c>
      <c r="L81" s="50">
        <f>VLOOKUP($A81,'Data shares'!$C:$FB,118)</f>
        <v>0.86</v>
      </c>
      <c r="M81" s="50">
        <f>VLOOKUP($A81,'Data shares'!$C:$FB,119)</f>
        <v>0.87</v>
      </c>
      <c r="N81" s="50">
        <f>VLOOKUP($A81,'Data shares'!$C:$FB,121)*100</f>
        <v>-1.1499999999999999</v>
      </c>
      <c r="O81" s="50">
        <f>VLOOKUP($A81,'Data shares'!$C:$FB,124)</f>
        <v>0.39</v>
      </c>
      <c r="P81" s="50">
        <f>VLOOKUP($A81,'Data shares'!$C:$FB,125)</f>
        <v>0.7</v>
      </c>
      <c r="Q81" s="50">
        <f>VLOOKUP($A81,'Data shares'!$C:$FB,127)*100</f>
        <v>-44.29</v>
      </c>
    </row>
    <row r="82" spans="1:17" x14ac:dyDescent="0.25">
      <c r="A82" s="97" t="str">
        <f>'Data Vlaue (Cr)'!C77</f>
        <v>HAVELLS</v>
      </c>
      <c r="B82" s="140">
        <f>VLOOKUP($A82,'Data shares'!$C:$FB,7)</f>
        <v>1256.5999999999999</v>
      </c>
      <c r="C82" s="140">
        <f>VLOOKUP($A82,'Data shares'!$C:$FB,3)</f>
        <v>1256.4000000000001</v>
      </c>
      <c r="D82" s="140">
        <f>VLOOKUP($A82,'Data shares'!$C:$FB,4)</f>
        <v>1241.5</v>
      </c>
      <c r="E82" s="50">
        <f t="shared" si="3"/>
        <v>1.2001610954490609</v>
      </c>
      <c r="F82" s="49">
        <f>VLOOKUP($A82,'Data shares'!$C:$FB,98)</f>
        <v>17809000</v>
      </c>
      <c r="G82" s="49">
        <f>VLOOKUP($A82,'Data shares'!$C:$FB,99)</f>
        <v>17685500</v>
      </c>
      <c r="H82" s="50">
        <f t="shared" si="4"/>
        <v>0.69831217664188172</v>
      </c>
      <c r="I82" s="49">
        <f>VLOOKUP($A82,'Data shares'!$C:$FB,66)</f>
        <v>5089000</v>
      </c>
      <c r="J82" s="49">
        <f>VLOOKUP($A82,'Data shares'!$C:$FB,67)</f>
        <v>5814500</v>
      </c>
      <c r="K82" s="50">
        <f t="shared" si="5"/>
        <v>-14.256238946747887</v>
      </c>
      <c r="L82" s="50">
        <f>VLOOKUP($A82,'Data shares'!$C:$FB,118)</f>
        <v>0.48</v>
      </c>
      <c r="M82" s="50">
        <f>VLOOKUP($A82,'Data shares'!$C:$FB,119)</f>
        <v>0.49</v>
      </c>
      <c r="N82" s="50">
        <f>VLOOKUP($A82,'Data shares'!$C:$FB,121)*100</f>
        <v>-2.04</v>
      </c>
      <c r="O82" s="50">
        <f>VLOOKUP($A82,'Data shares'!$C:$FB,124)</f>
        <v>0.33</v>
      </c>
      <c r="P82" s="50">
        <f>VLOOKUP($A82,'Data shares'!$C:$FB,125)</f>
        <v>0.42</v>
      </c>
      <c r="Q82" s="50">
        <f>VLOOKUP($A82,'Data shares'!$C:$FB,127)*100</f>
        <v>-21.43</v>
      </c>
    </row>
    <row r="83" spans="1:17" x14ac:dyDescent="0.25">
      <c r="A83" s="97" t="str">
        <f>'Data Vlaue (Cr)'!C78</f>
        <v>HCLTECH</v>
      </c>
      <c r="B83" s="140">
        <f>VLOOKUP($A83,'Data shares'!$C:$FB,7)</f>
        <v>1200.5</v>
      </c>
      <c r="C83" s="140">
        <f>VLOOKUP($A83,'Data shares'!$C:$FB,3)</f>
        <v>1201.4000000000001</v>
      </c>
      <c r="D83" s="140">
        <f>VLOOKUP($A83,'Data shares'!$C:$FB,4)</f>
        <v>1201.7</v>
      </c>
      <c r="E83" s="50">
        <f t="shared" si="3"/>
        <v>-2.4964633435961933E-2</v>
      </c>
      <c r="F83" s="49">
        <f>VLOOKUP($A83,'Data shares'!$C:$FB,98)</f>
        <v>77653550</v>
      </c>
      <c r="G83" s="49">
        <f>VLOOKUP($A83,'Data shares'!$C:$FB,99)</f>
        <v>75565500</v>
      </c>
      <c r="H83" s="50">
        <f t="shared" si="4"/>
        <v>2.7632318981545811</v>
      </c>
      <c r="I83" s="49">
        <f>VLOOKUP($A83,'Data shares'!$C:$FB,66)</f>
        <v>21876050</v>
      </c>
      <c r="J83" s="49">
        <f>VLOOKUP($A83,'Data shares'!$C:$FB,67)</f>
        <v>24849650</v>
      </c>
      <c r="K83" s="50">
        <f t="shared" si="5"/>
        <v>-13.592947538518152</v>
      </c>
      <c r="L83" s="50">
        <f>VLOOKUP($A83,'Data shares'!$C:$FB,118)</f>
        <v>0.52</v>
      </c>
      <c r="M83" s="50">
        <f>VLOOKUP($A83,'Data shares'!$C:$FB,119)</f>
        <v>0.54</v>
      </c>
      <c r="N83" s="50">
        <f>VLOOKUP($A83,'Data shares'!$C:$FB,121)*100</f>
        <v>-3.6999999999999997</v>
      </c>
      <c r="O83" s="50">
        <f>VLOOKUP($A83,'Data shares'!$C:$FB,124)</f>
        <v>0.45</v>
      </c>
      <c r="P83" s="50">
        <f>VLOOKUP($A83,'Data shares'!$C:$FB,125)</f>
        <v>0.52</v>
      </c>
      <c r="Q83" s="50">
        <f>VLOOKUP($A83,'Data shares'!$C:$FB,127)*100</f>
        <v>-13.459999999999999</v>
      </c>
    </row>
    <row r="84" spans="1:17" x14ac:dyDescent="0.25">
      <c r="A84" s="97" t="str">
        <f>'Data Vlaue (Cr)'!C79</f>
        <v>HDFCAMC</v>
      </c>
      <c r="B84" s="140">
        <f>VLOOKUP($A84,'Data shares'!$C:$FB,7)</f>
        <v>2753.6</v>
      </c>
      <c r="C84" s="140">
        <f>VLOOKUP($A84,'Data shares'!$C:$FB,3)</f>
        <v>2769.4</v>
      </c>
      <c r="D84" s="140">
        <f>VLOOKUP($A84,'Data shares'!$C:$FB,4)</f>
        <v>2729.7</v>
      </c>
      <c r="E84" s="50">
        <f t="shared" si="3"/>
        <v>1.4543722753416226</v>
      </c>
      <c r="F84" s="49">
        <f>VLOOKUP($A84,'Data shares'!$C:$FB,98)</f>
        <v>6931800</v>
      </c>
      <c r="G84" s="49">
        <f>VLOOKUP($A84,'Data shares'!$C:$FB,99)</f>
        <v>6687300</v>
      </c>
      <c r="H84" s="50">
        <f t="shared" si="4"/>
        <v>3.6561841101789962</v>
      </c>
      <c r="I84" s="49">
        <f>VLOOKUP($A84,'Data shares'!$C:$FB,66)</f>
        <v>1727400</v>
      </c>
      <c r="J84" s="49">
        <f>VLOOKUP($A84,'Data shares'!$C:$FB,67)</f>
        <v>1994400</v>
      </c>
      <c r="K84" s="50">
        <f t="shared" si="5"/>
        <v>-15.456755817992359</v>
      </c>
      <c r="L84" s="50">
        <f>VLOOKUP($A84,'Data shares'!$C:$FB,118)</f>
        <v>0.7</v>
      </c>
      <c r="M84" s="50">
        <f>VLOOKUP($A84,'Data shares'!$C:$FB,119)</f>
        <v>0.74</v>
      </c>
      <c r="N84" s="50">
        <f>VLOOKUP($A84,'Data shares'!$C:$FB,121)*100</f>
        <v>-5.41</v>
      </c>
      <c r="O84" s="50">
        <f>VLOOKUP($A84,'Data shares'!$C:$FB,124)</f>
        <v>0.56000000000000005</v>
      </c>
      <c r="P84" s="50">
        <f>VLOOKUP($A84,'Data shares'!$C:$FB,125)</f>
        <v>0.69</v>
      </c>
      <c r="Q84" s="50">
        <f>VLOOKUP($A84,'Data shares'!$C:$FB,127)*100</f>
        <v>-18.84</v>
      </c>
    </row>
    <row r="85" spans="1:17" x14ac:dyDescent="0.25">
      <c r="A85" s="97" t="str">
        <f>'Data Vlaue (Cr)'!C80</f>
        <v>HDFCBANK</v>
      </c>
      <c r="B85" s="140">
        <f>VLOOKUP($A85,'Data shares'!$C:$FB,7)</f>
        <v>779.4</v>
      </c>
      <c r="C85" s="140">
        <f>VLOOKUP($A85,'Data shares'!$C:$FB,3)</f>
        <v>782.7</v>
      </c>
      <c r="D85" s="140">
        <f>VLOOKUP($A85,'Data shares'!$C:$FB,4)</f>
        <v>776.1</v>
      </c>
      <c r="E85" s="50">
        <f t="shared" si="3"/>
        <v>0.85040587553150659</v>
      </c>
      <c r="F85" s="49">
        <f>VLOOKUP($A85,'Data shares'!$C:$FB,98)</f>
        <v>441155500</v>
      </c>
      <c r="G85" s="49">
        <f>VLOOKUP($A85,'Data shares'!$C:$FB,99)</f>
        <v>432345350</v>
      </c>
      <c r="H85" s="50">
        <f t="shared" si="4"/>
        <v>2.0377575472940785</v>
      </c>
      <c r="I85" s="49">
        <f>VLOOKUP($A85,'Data shares'!$C:$FB,66)</f>
        <v>114604050</v>
      </c>
      <c r="J85" s="49">
        <f>VLOOKUP($A85,'Data shares'!$C:$FB,67)</f>
        <v>135867050</v>
      </c>
      <c r="K85" s="50">
        <f t="shared" si="5"/>
        <v>-18.553445537046905</v>
      </c>
      <c r="L85" s="50">
        <f>VLOOKUP($A85,'Data shares'!$C:$FB,118)</f>
        <v>0.55000000000000004</v>
      </c>
      <c r="M85" s="50">
        <f>VLOOKUP($A85,'Data shares'!$C:$FB,119)</f>
        <v>0.55000000000000004</v>
      </c>
      <c r="N85" s="50">
        <f>VLOOKUP($A85,'Data shares'!$C:$FB,121)*100</f>
        <v>0</v>
      </c>
      <c r="O85" s="50">
        <f>VLOOKUP($A85,'Data shares'!$C:$FB,124)</f>
        <v>0.59</v>
      </c>
      <c r="P85" s="50">
        <f>VLOOKUP($A85,'Data shares'!$C:$FB,125)</f>
        <v>0.5</v>
      </c>
      <c r="Q85" s="50">
        <f>VLOOKUP($A85,'Data shares'!$C:$FB,127)*100</f>
        <v>18</v>
      </c>
    </row>
    <row r="86" spans="1:17" x14ac:dyDescent="0.25">
      <c r="A86" s="97" t="str">
        <f>'Data Vlaue (Cr)'!C81</f>
        <v>HDFCLIFE</v>
      </c>
      <c r="B86" s="140">
        <f>VLOOKUP($A86,'Data shares'!$C:$FB,7)</f>
        <v>588.35</v>
      </c>
      <c r="C86" s="140">
        <f>VLOOKUP($A86,'Data shares'!$C:$FB,3)</f>
        <v>591.75</v>
      </c>
      <c r="D86" s="140">
        <f>VLOOKUP($A86,'Data shares'!$C:$FB,4)</f>
        <v>590</v>
      </c>
      <c r="E86" s="50">
        <f t="shared" si="3"/>
        <v>0.29661016949152541</v>
      </c>
      <c r="F86" s="49">
        <f>VLOOKUP($A86,'Data shares'!$C:$FB,98)</f>
        <v>66485100</v>
      </c>
      <c r="G86" s="49">
        <f>VLOOKUP($A86,'Data shares'!$C:$FB,99)</f>
        <v>63787900</v>
      </c>
      <c r="H86" s="50">
        <f t="shared" si="4"/>
        <v>4.2283881425787655</v>
      </c>
      <c r="I86" s="49">
        <f>VLOOKUP($A86,'Data shares'!$C:$FB,66)</f>
        <v>14672900</v>
      </c>
      <c r="J86" s="49">
        <f>VLOOKUP($A86,'Data shares'!$C:$FB,67)</f>
        <v>24174700</v>
      </c>
      <c r="K86" s="50">
        <f t="shared" si="5"/>
        <v>-64.757478071819477</v>
      </c>
      <c r="L86" s="50">
        <f>VLOOKUP($A86,'Data shares'!$C:$FB,118)</f>
        <v>0.61</v>
      </c>
      <c r="M86" s="50">
        <f>VLOOKUP($A86,'Data shares'!$C:$FB,119)</f>
        <v>0.63</v>
      </c>
      <c r="N86" s="50">
        <f>VLOOKUP($A86,'Data shares'!$C:$FB,121)*100</f>
        <v>-3.17</v>
      </c>
      <c r="O86" s="50">
        <f>VLOOKUP($A86,'Data shares'!$C:$FB,124)</f>
        <v>0.52</v>
      </c>
      <c r="P86" s="50">
        <f>VLOOKUP($A86,'Data shares'!$C:$FB,125)</f>
        <v>0.54</v>
      </c>
      <c r="Q86" s="50">
        <f>VLOOKUP($A86,'Data shares'!$C:$FB,127)*100</f>
        <v>-3.6999999999999997</v>
      </c>
    </row>
    <row r="87" spans="1:17" x14ac:dyDescent="0.25">
      <c r="A87" s="97" t="str">
        <f>'Data Vlaue (Cr)'!C82</f>
        <v>HEROMOTOCO</v>
      </c>
      <c r="B87" s="140">
        <f>VLOOKUP($A87,'Data shares'!$C:$FB,7)</f>
        <v>5066.5</v>
      </c>
      <c r="C87" s="140">
        <f>VLOOKUP($A87,'Data shares'!$C:$FB,3)</f>
        <v>5082.5</v>
      </c>
      <c r="D87" s="140">
        <f>VLOOKUP($A87,'Data shares'!$C:$FB,4)</f>
        <v>5124</v>
      </c>
      <c r="E87" s="50">
        <f t="shared" si="3"/>
        <v>-0.80991412958626074</v>
      </c>
      <c r="F87" s="49">
        <f>VLOOKUP($A87,'Data shares'!$C:$FB,98)</f>
        <v>6867150</v>
      </c>
      <c r="G87" s="49">
        <f>VLOOKUP($A87,'Data shares'!$C:$FB,99)</f>
        <v>6228300</v>
      </c>
      <c r="H87" s="50">
        <f t="shared" si="4"/>
        <v>10.257213043687683</v>
      </c>
      <c r="I87" s="49">
        <f>VLOOKUP($A87,'Data shares'!$C:$FB,66)</f>
        <v>5749650</v>
      </c>
      <c r="J87" s="49">
        <f>VLOOKUP($A87,'Data shares'!$C:$FB,67)</f>
        <v>3430950</v>
      </c>
      <c r="K87" s="50">
        <f t="shared" si="5"/>
        <v>40.327672119172469</v>
      </c>
      <c r="L87" s="50">
        <f>VLOOKUP($A87,'Data shares'!$C:$FB,118)</f>
        <v>0.59</v>
      </c>
      <c r="M87" s="50">
        <f>VLOOKUP($A87,'Data shares'!$C:$FB,119)</f>
        <v>0.65</v>
      </c>
      <c r="N87" s="50">
        <f>VLOOKUP($A87,'Data shares'!$C:$FB,121)*100</f>
        <v>-9.2299999999999986</v>
      </c>
      <c r="O87" s="50">
        <f>VLOOKUP($A87,'Data shares'!$C:$FB,124)</f>
        <v>0.34</v>
      </c>
      <c r="P87" s="50">
        <f>VLOOKUP($A87,'Data shares'!$C:$FB,125)</f>
        <v>0.45</v>
      </c>
      <c r="Q87" s="50">
        <f>VLOOKUP($A87,'Data shares'!$C:$FB,127)*100</f>
        <v>-24.44</v>
      </c>
    </row>
    <row r="88" spans="1:17" x14ac:dyDescent="0.25">
      <c r="A88" s="97" t="str">
        <f>'Data Vlaue (Cr)'!C83</f>
        <v>HINDALCO</v>
      </c>
      <c r="B88" s="140">
        <f>VLOOKUP($A88,'Data shares'!$C:$FB,7)</f>
        <v>1042.7</v>
      </c>
      <c r="C88" s="140">
        <f>VLOOKUP($A88,'Data shares'!$C:$FB,3)</f>
        <v>1048.5</v>
      </c>
      <c r="D88" s="140">
        <f>VLOOKUP($A88,'Data shares'!$C:$FB,4)</f>
        <v>1042.3</v>
      </c>
      <c r="E88" s="50">
        <f t="shared" si="3"/>
        <v>0.59483833829032384</v>
      </c>
      <c r="F88" s="140">
        <f>VLOOKUP($A88,'Data shares'!$C:$FB,98)</f>
        <v>45077900</v>
      </c>
      <c r="G88" s="140">
        <f>VLOOKUP($A88,'Data shares'!$C:$FB,99)</f>
        <v>43481200</v>
      </c>
      <c r="H88" s="50">
        <f t="shared" si="4"/>
        <v>3.6721617618648978</v>
      </c>
      <c r="I88" s="49">
        <f>VLOOKUP($A88,'Data shares'!$C:$FB,66)</f>
        <v>18769800</v>
      </c>
      <c r="J88" s="49">
        <f>VLOOKUP($A88,'Data shares'!$C:$FB,67)</f>
        <v>24423700</v>
      </c>
      <c r="K88" s="50">
        <f t="shared" si="5"/>
        <v>-30.122324159021407</v>
      </c>
      <c r="L88" s="50">
        <f>VLOOKUP($A88,'Data shares'!$C:$FB,118)</f>
        <v>0.76</v>
      </c>
      <c r="M88" s="50">
        <f>VLOOKUP($A88,'Data shares'!$C:$FB,119)</f>
        <v>0.76</v>
      </c>
      <c r="N88" s="50">
        <f>VLOOKUP($A88,'Data shares'!$C:$FB,121)*100</f>
        <v>0</v>
      </c>
      <c r="O88" s="50">
        <f>VLOOKUP($A88,'Data shares'!$C:$FB,124)</f>
        <v>0.6</v>
      </c>
      <c r="P88" s="50">
        <f>VLOOKUP($A88,'Data shares'!$C:$FB,125)</f>
        <v>0.85</v>
      </c>
      <c r="Q88" s="50">
        <f>VLOOKUP($A88,'Data shares'!$C:$FB,127)*100</f>
        <v>-29.409999999999997</v>
      </c>
    </row>
    <row r="89" spans="1:17" x14ac:dyDescent="0.25">
      <c r="A89" s="97" t="str">
        <f>'Data Vlaue (Cr)'!C84</f>
        <v>HINDPETRO</v>
      </c>
      <c r="B89" s="140">
        <f>VLOOKUP($A89,'Data shares'!$C:$FB,7)</f>
        <v>373.85</v>
      </c>
      <c r="C89" s="140">
        <f>VLOOKUP($A89,'Data shares'!$C:$FB,3)</f>
        <v>376.1</v>
      </c>
      <c r="D89" s="140">
        <f>VLOOKUP($A89,'Data shares'!$C:$FB,4)</f>
        <v>376.85</v>
      </c>
      <c r="E89" s="50">
        <f t="shared" si="3"/>
        <v>-0.19901817699349875</v>
      </c>
      <c r="F89" s="49">
        <f>VLOOKUP($A89,'Data shares'!$C:$FB,98)</f>
        <v>58763475</v>
      </c>
      <c r="G89" s="49">
        <f>VLOOKUP($A89,'Data shares'!$C:$FB,99)</f>
        <v>53407350</v>
      </c>
      <c r="H89" s="50">
        <f t="shared" si="4"/>
        <v>10.02881625843634</v>
      </c>
      <c r="I89" s="49">
        <f>VLOOKUP($A89,'Data shares'!$C:$FB,66)</f>
        <v>20634750</v>
      </c>
      <c r="J89" s="49">
        <f>VLOOKUP($A89,'Data shares'!$C:$FB,67)</f>
        <v>24737400</v>
      </c>
      <c r="K89" s="50">
        <f t="shared" si="5"/>
        <v>-19.882237487733072</v>
      </c>
      <c r="L89" s="50">
        <f>VLOOKUP($A89,'Data shares'!$C:$FB,118)</f>
        <v>1.1499999999999999</v>
      </c>
      <c r="M89" s="50">
        <f>VLOOKUP($A89,'Data shares'!$C:$FB,119)</f>
        <v>1.05</v>
      </c>
      <c r="N89" s="50">
        <f>VLOOKUP($A89,'Data shares'!$C:$FB,121)*100</f>
        <v>9.5200000000000014</v>
      </c>
      <c r="O89" s="50">
        <f>VLOOKUP($A89,'Data shares'!$C:$FB,124)</f>
        <v>0.95</v>
      </c>
      <c r="P89" s="50">
        <f>VLOOKUP($A89,'Data shares'!$C:$FB,125)</f>
        <v>0.85</v>
      </c>
      <c r="Q89" s="50">
        <f>VLOOKUP($A89,'Data shares'!$C:$FB,127)*100</f>
        <v>11.76</v>
      </c>
    </row>
    <row r="90" spans="1:17" x14ac:dyDescent="0.25">
      <c r="A90" s="97" t="str">
        <f>'Data Vlaue (Cr)'!C85</f>
        <v>HINDUNILVR</v>
      </c>
      <c r="B90" s="140">
        <f>VLOOKUP($A90,'Data shares'!$C:$FB,7)</f>
        <v>2309.3000000000002</v>
      </c>
      <c r="C90" s="140">
        <f>VLOOKUP($A90,'Data shares'!$C:$FB,3)</f>
        <v>2320.1999999999998</v>
      </c>
      <c r="D90" s="140">
        <f>VLOOKUP($A90,'Data shares'!$C:$FB,4)</f>
        <v>2259.6999999999998</v>
      </c>
      <c r="E90" s="50">
        <f t="shared" si="3"/>
        <v>2.6773465504270479</v>
      </c>
      <c r="F90" s="49">
        <f>VLOOKUP($A90,'Data shares'!$C:$FB,98)</f>
        <v>26374200</v>
      </c>
      <c r="G90" s="49">
        <f>VLOOKUP($A90,'Data shares'!$C:$FB,99)</f>
        <v>26981700</v>
      </c>
      <c r="H90" s="50">
        <f t="shared" si="4"/>
        <v>-2.2515260343121448</v>
      </c>
      <c r="I90" s="49">
        <f>VLOOKUP($A90,'Data shares'!$C:$FB,66)</f>
        <v>49271100</v>
      </c>
      <c r="J90" s="49">
        <f>VLOOKUP($A90,'Data shares'!$C:$FB,67)</f>
        <v>76617000</v>
      </c>
      <c r="K90" s="50">
        <f t="shared" si="5"/>
        <v>-55.500892003628898</v>
      </c>
      <c r="L90" s="50">
        <f>VLOOKUP($A90,'Data shares'!$C:$FB,118)</f>
        <v>0.6</v>
      </c>
      <c r="M90" s="50">
        <f>VLOOKUP($A90,'Data shares'!$C:$FB,119)</f>
        <v>0.54</v>
      </c>
      <c r="N90" s="50">
        <f>VLOOKUP($A90,'Data shares'!$C:$FB,121)*100</f>
        <v>11.110000000000001</v>
      </c>
      <c r="O90" s="50">
        <f>VLOOKUP($A90,'Data shares'!$C:$FB,124)</f>
        <v>0.47</v>
      </c>
      <c r="P90" s="50">
        <f>VLOOKUP($A90,'Data shares'!$C:$FB,125)</f>
        <v>0.5</v>
      </c>
      <c r="Q90" s="50">
        <f>VLOOKUP($A90,'Data shares'!$C:$FB,127)*100</f>
        <v>-6</v>
      </c>
    </row>
    <row r="91" spans="1:17" x14ac:dyDescent="0.25">
      <c r="A91" s="97" t="str">
        <f>'Data Vlaue (Cr)'!C86</f>
        <v>HINDZINC</v>
      </c>
      <c r="B91" s="140">
        <f>VLOOKUP($A91,'Data shares'!$C:$FB,7)</f>
        <v>605.54999999999995</v>
      </c>
      <c r="C91" s="140">
        <f>VLOOKUP($A91,'Data shares'!$C:$FB,3)</f>
        <v>607.5</v>
      </c>
      <c r="D91" s="140">
        <f>VLOOKUP($A91,'Data shares'!$C:$FB,4)</f>
        <v>597.70000000000005</v>
      </c>
      <c r="E91" s="50">
        <f t="shared" si="3"/>
        <v>1.6396185377279493</v>
      </c>
      <c r="F91" s="49">
        <f>VLOOKUP($A91,'Data shares'!$C:$FB,98)</f>
        <v>61272050</v>
      </c>
      <c r="G91" s="49">
        <f>VLOOKUP($A91,'Data shares'!$C:$FB,99)</f>
        <v>60729375</v>
      </c>
      <c r="H91" s="50">
        <f t="shared" si="4"/>
        <v>0.89359556227937464</v>
      </c>
      <c r="I91" s="49">
        <f>VLOOKUP($A91,'Data shares'!$C:$FB,66)</f>
        <v>30280775</v>
      </c>
      <c r="J91" s="49">
        <f>VLOOKUP($A91,'Data shares'!$C:$FB,67)</f>
        <v>39441325</v>
      </c>
      <c r="K91" s="50">
        <f t="shared" si="5"/>
        <v>-30.252032849225291</v>
      </c>
      <c r="L91" s="50">
        <f>VLOOKUP($A91,'Data shares'!$C:$FB,118)</f>
        <v>0.63</v>
      </c>
      <c r="M91" s="50">
        <f>VLOOKUP($A91,'Data shares'!$C:$FB,119)</f>
        <v>0.63</v>
      </c>
      <c r="N91" s="50">
        <f>VLOOKUP($A91,'Data shares'!$C:$FB,121)*100</f>
        <v>0</v>
      </c>
      <c r="O91" s="50">
        <f>VLOOKUP($A91,'Data shares'!$C:$FB,124)</f>
        <v>0.53</v>
      </c>
      <c r="P91" s="50">
        <f>VLOOKUP($A91,'Data shares'!$C:$FB,125)</f>
        <v>0.62</v>
      </c>
      <c r="Q91" s="50">
        <f>VLOOKUP($A91,'Data shares'!$C:$FB,127)*100</f>
        <v>-14.52</v>
      </c>
    </row>
    <row r="92" spans="1:17" x14ac:dyDescent="0.25">
      <c r="A92" s="97" t="str">
        <f>'Data Vlaue (Cr)'!C87</f>
        <v>HYUNDAI</v>
      </c>
      <c r="B92" s="140">
        <f>VLOOKUP($A92,'Data shares'!$C:$FB,7)</f>
        <v>1844.5</v>
      </c>
      <c r="C92" s="140">
        <f>VLOOKUP($A92,'Data shares'!$C:$FB,3)</f>
        <v>1815.4</v>
      </c>
      <c r="D92" s="140">
        <f>VLOOKUP($A92,'Data shares'!$C:$FB,4)</f>
        <v>1807.6</v>
      </c>
      <c r="E92" s="50">
        <f t="shared" si="3"/>
        <v>0.43151139632663105</v>
      </c>
      <c r="F92" s="49">
        <f>VLOOKUP($A92,'Data shares'!$C:$FB,98)</f>
        <v>9809250</v>
      </c>
      <c r="G92" s="49">
        <f>VLOOKUP($A92,'Data shares'!$C:$FB,99)</f>
        <v>9714375</v>
      </c>
      <c r="H92" s="50">
        <f t="shared" si="4"/>
        <v>0.97664543524416136</v>
      </c>
      <c r="I92" s="49">
        <f>VLOOKUP($A92,'Data shares'!$C:$FB,66)</f>
        <v>2664475</v>
      </c>
      <c r="J92" s="49">
        <f>VLOOKUP($A92,'Data shares'!$C:$FB,67)</f>
        <v>1861475</v>
      </c>
      <c r="K92" s="50">
        <f t="shared" si="5"/>
        <v>30.137269068015275</v>
      </c>
      <c r="L92" s="50">
        <f>VLOOKUP($A92,'Data shares'!$C:$FB,118)</f>
        <v>0.74</v>
      </c>
      <c r="M92" s="50">
        <f>VLOOKUP($A92,'Data shares'!$C:$FB,119)</f>
        <v>0.99</v>
      </c>
      <c r="N92" s="50">
        <f>VLOOKUP($A92,'Data shares'!$C:$FB,121)*100</f>
        <v>-25.25</v>
      </c>
      <c r="O92" s="50">
        <f>VLOOKUP($A92,'Data shares'!$C:$FB,124)</f>
        <v>0.28999999999999998</v>
      </c>
      <c r="P92" s="50">
        <f>VLOOKUP($A92,'Data shares'!$C:$FB,125)</f>
        <v>0.67</v>
      </c>
      <c r="Q92" s="50">
        <f>VLOOKUP($A92,'Data shares'!$C:$FB,127)*100</f>
        <v>-56.720000000000006</v>
      </c>
    </row>
    <row r="93" spans="1:17" x14ac:dyDescent="0.25">
      <c r="A93" s="97" t="str">
        <f>'Data Vlaue (Cr)'!C88</f>
        <v>ICICIBANK</v>
      </c>
      <c r="B93" s="140">
        <f>VLOOKUP($A93,'Data shares'!$C:$FB,7)</f>
        <v>1270.8</v>
      </c>
      <c r="C93" s="140">
        <f>VLOOKUP($A93,'Data shares'!$C:$FB,3)</f>
        <v>1278.3</v>
      </c>
      <c r="D93" s="140">
        <f>VLOOKUP($A93,'Data shares'!$C:$FB,4)</f>
        <v>1270.7</v>
      </c>
      <c r="E93" s="50">
        <f t="shared" si="3"/>
        <v>0.59809553789249303</v>
      </c>
      <c r="F93" s="49">
        <f>VLOOKUP($A93,'Data shares'!$C:$FB,98)</f>
        <v>189903000</v>
      </c>
      <c r="G93" s="49">
        <f>VLOOKUP($A93,'Data shares'!$C:$FB,99)</f>
        <v>182186200</v>
      </c>
      <c r="H93" s="50">
        <f t="shared" si="4"/>
        <v>4.2356665872607255</v>
      </c>
      <c r="I93" s="49">
        <f>VLOOKUP($A93,'Data shares'!$C:$FB,66)</f>
        <v>53535300</v>
      </c>
      <c r="J93" s="49">
        <f>VLOOKUP($A93,'Data shares'!$C:$FB,67)</f>
        <v>65252600</v>
      </c>
      <c r="K93" s="50">
        <f t="shared" si="5"/>
        <v>-21.887053962525659</v>
      </c>
      <c r="L93" s="50">
        <f>VLOOKUP($A93,'Data shares'!$C:$FB,118)</f>
        <v>0.6</v>
      </c>
      <c r="M93" s="50">
        <f>VLOOKUP($A93,'Data shares'!$C:$FB,119)</f>
        <v>0.65</v>
      </c>
      <c r="N93" s="50">
        <f>VLOOKUP($A93,'Data shares'!$C:$FB,121)*100</f>
        <v>-7.6899999999999995</v>
      </c>
      <c r="O93" s="50">
        <f>VLOOKUP($A93,'Data shares'!$C:$FB,124)</f>
        <v>0.56000000000000005</v>
      </c>
      <c r="P93" s="50">
        <f>VLOOKUP($A93,'Data shares'!$C:$FB,125)</f>
        <v>0.52</v>
      </c>
      <c r="Q93" s="50">
        <f>VLOOKUP($A93,'Data shares'!$C:$FB,127)*100</f>
        <v>7.6899999999999995</v>
      </c>
    </row>
    <row r="94" spans="1:17" x14ac:dyDescent="0.25">
      <c r="A94" s="97" t="str">
        <f>'Data Vlaue (Cr)'!C89</f>
        <v>ICICIGI</v>
      </c>
      <c r="B94" s="140">
        <f>VLOOKUP($A94,'Data shares'!$C:$FB,7)</f>
        <v>1756.8</v>
      </c>
      <c r="C94" s="140">
        <f>VLOOKUP($A94,'Data shares'!$C:$FB,3)</f>
        <v>1761.7</v>
      </c>
      <c r="D94" s="140">
        <f>VLOOKUP($A94,'Data shares'!$C:$FB,4)</f>
        <v>1768.1</v>
      </c>
      <c r="E94" s="50">
        <f t="shared" si="3"/>
        <v>-0.36197047678297967</v>
      </c>
      <c r="F94" s="49">
        <f>VLOOKUP($A94,'Data shares'!$C:$FB,98)</f>
        <v>6164925</v>
      </c>
      <c r="G94" s="49">
        <f>VLOOKUP($A94,'Data shares'!$C:$FB,99)</f>
        <v>6011525</v>
      </c>
      <c r="H94" s="50">
        <f t="shared" si="4"/>
        <v>2.5517651511055846</v>
      </c>
      <c r="I94" s="49">
        <f>VLOOKUP($A94,'Data shares'!$C:$FB,66)</f>
        <v>1346800</v>
      </c>
      <c r="J94" s="49">
        <f>VLOOKUP($A94,'Data shares'!$C:$FB,67)</f>
        <v>1091675</v>
      </c>
      <c r="K94" s="50">
        <f t="shared" si="5"/>
        <v>18.943050193050194</v>
      </c>
      <c r="L94" s="50">
        <f>VLOOKUP($A94,'Data shares'!$C:$FB,118)</f>
        <v>0.61</v>
      </c>
      <c r="M94" s="50">
        <f>VLOOKUP($A94,'Data shares'!$C:$FB,119)</f>
        <v>0.62</v>
      </c>
      <c r="N94" s="50">
        <f>VLOOKUP($A94,'Data shares'!$C:$FB,121)*100</f>
        <v>-1.6099999999999999</v>
      </c>
      <c r="O94" s="50">
        <f>VLOOKUP($A94,'Data shares'!$C:$FB,124)</f>
        <v>0.54</v>
      </c>
      <c r="P94" s="50">
        <f>VLOOKUP($A94,'Data shares'!$C:$FB,125)</f>
        <v>0.54</v>
      </c>
      <c r="Q94" s="50">
        <f>VLOOKUP($A94,'Data shares'!$C:$FB,127)*100</f>
        <v>0</v>
      </c>
    </row>
    <row r="95" spans="1:17" x14ac:dyDescent="0.25">
      <c r="A95" s="97" t="str">
        <f>'Data Vlaue (Cr)'!C90</f>
        <v>ICICIPRULI</v>
      </c>
      <c r="B95" s="140">
        <f>VLOOKUP($A95,'Data shares'!$C:$FB,7)</f>
        <v>535.54999999999995</v>
      </c>
      <c r="C95" s="140">
        <f>VLOOKUP($A95,'Data shares'!$C:$FB,3)</f>
        <v>538.15</v>
      </c>
      <c r="D95" s="140">
        <f>VLOOKUP($A95,'Data shares'!$C:$FB,4)</f>
        <v>516</v>
      </c>
      <c r="E95" s="50">
        <f t="shared" si="3"/>
        <v>4.2926356589147243</v>
      </c>
      <c r="F95" s="49">
        <f>VLOOKUP($A95,'Data shares'!$C:$FB,98)</f>
        <v>26062800</v>
      </c>
      <c r="G95" s="49">
        <f>VLOOKUP($A95,'Data shares'!$C:$FB,99)</f>
        <v>25558675</v>
      </c>
      <c r="H95" s="50">
        <f t="shared" si="4"/>
        <v>1.9724222793239476</v>
      </c>
      <c r="I95" s="49">
        <f>VLOOKUP($A95,'Data shares'!$C:$FB,66)</f>
        <v>12377425</v>
      </c>
      <c r="J95" s="49">
        <f>VLOOKUP($A95,'Data shares'!$C:$FB,67)</f>
        <v>5636950</v>
      </c>
      <c r="K95" s="50">
        <f t="shared" si="5"/>
        <v>54.457813317390325</v>
      </c>
      <c r="L95" s="50">
        <f>VLOOKUP($A95,'Data shares'!$C:$FB,118)</f>
        <v>0.65</v>
      </c>
      <c r="M95" s="50">
        <f>VLOOKUP($A95,'Data shares'!$C:$FB,119)</f>
        <v>0.68</v>
      </c>
      <c r="N95" s="50">
        <f>VLOOKUP($A95,'Data shares'!$C:$FB,121)*100</f>
        <v>-4.41</v>
      </c>
      <c r="O95" s="50">
        <f>VLOOKUP($A95,'Data shares'!$C:$FB,124)</f>
        <v>0.4</v>
      </c>
      <c r="P95" s="50">
        <f>VLOOKUP($A95,'Data shares'!$C:$FB,125)</f>
        <v>0.45</v>
      </c>
      <c r="Q95" s="50">
        <f>VLOOKUP($A95,'Data shares'!$C:$FB,127)*100</f>
        <v>-11.110000000000001</v>
      </c>
    </row>
    <row r="96" spans="1:17" x14ac:dyDescent="0.25">
      <c r="A96" s="97" t="str">
        <f>'Data Vlaue (Cr)'!C91</f>
        <v>IDEA</v>
      </c>
      <c r="B96" s="140">
        <f>VLOOKUP($A96,'Data shares'!$C:$FB,7)</f>
        <v>10.52</v>
      </c>
      <c r="C96" s="140">
        <f>VLOOKUP($A96,'Data shares'!$C:$FB,3)</f>
        <v>10.57</v>
      </c>
      <c r="D96" s="140">
        <f>VLOOKUP($A96,'Data shares'!$C:$FB,4)</f>
        <v>10.26</v>
      </c>
      <c r="E96" s="50">
        <f t="shared" si="3"/>
        <v>3.0214424951267107</v>
      </c>
      <c r="F96" s="49">
        <f>VLOOKUP($A96,'Data shares'!$C:$FB,98)</f>
        <v>9127643400</v>
      </c>
      <c r="G96" s="49">
        <f>VLOOKUP($A96,'Data shares'!$C:$FB,99)</f>
        <v>8531398950</v>
      </c>
      <c r="H96" s="50">
        <f t="shared" si="4"/>
        <v>6.9888239138084147</v>
      </c>
      <c r="I96" s="49">
        <f>VLOOKUP($A96,'Data shares'!$C:$FB,66)</f>
        <v>5360553525</v>
      </c>
      <c r="J96" s="49">
        <f>VLOOKUP($A96,'Data shares'!$C:$FB,67)</f>
        <v>2135172675</v>
      </c>
      <c r="K96" s="50">
        <f t="shared" si="5"/>
        <v>60.168802250696672</v>
      </c>
      <c r="L96" s="50">
        <f>VLOOKUP($A96,'Data shares'!$C:$FB,118)</f>
        <v>0.48</v>
      </c>
      <c r="M96" s="50">
        <f>VLOOKUP($A96,'Data shares'!$C:$FB,119)</f>
        <v>0.51</v>
      </c>
      <c r="N96" s="50">
        <f>VLOOKUP($A96,'Data shares'!$C:$FB,121)*100</f>
        <v>-5.88</v>
      </c>
      <c r="O96" s="50">
        <f>VLOOKUP($A96,'Data shares'!$C:$FB,124)</f>
        <v>0.24</v>
      </c>
      <c r="P96" s="50">
        <f>VLOOKUP($A96,'Data shares'!$C:$FB,125)</f>
        <v>0.28999999999999998</v>
      </c>
      <c r="Q96" s="50">
        <f>VLOOKUP($A96,'Data shares'!$C:$FB,127)*100</f>
        <v>-17.239999999999998</v>
      </c>
    </row>
    <row r="97" spans="1:17" x14ac:dyDescent="0.25">
      <c r="A97" s="97" t="str">
        <f>'Data Vlaue (Cr)'!C92</f>
        <v>IDFCFIRSTB</v>
      </c>
      <c r="B97" s="140">
        <f>VLOOKUP($A97,'Data shares'!$C:$FB,7)</f>
        <v>69.59</v>
      </c>
      <c r="C97" s="140">
        <f>VLOOKUP($A97,'Data shares'!$C:$FB,3)</f>
        <v>69.989999999999995</v>
      </c>
      <c r="D97" s="140">
        <f>VLOOKUP($A97,'Data shares'!$C:$FB,4)</f>
        <v>70.06</v>
      </c>
      <c r="E97" s="50">
        <f t="shared" si="3"/>
        <v>-9.9914359120764171E-2</v>
      </c>
      <c r="F97" s="49">
        <f>VLOOKUP($A97,'Data shares'!$C:$FB,98)</f>
        <v>572870375</v>
      </c>
      <c r="G97" s="49">
        <f>VLOOKUP($A97,'Data shares'!$C:$FB,99)</f>
        <v>560747950</v>
      </c>
      <c r="H97" s="50">
        <f t="shared" si="4"/>
        <v>2.1618313539978167</v>
      </c>
      <c r="I97" s="49">
        <f>VLOOKUP($A97,'Data shares'!$C:$FB,66)</f>
        <v>162034250</v>
      </c>
      <c r="J97" s="49">
        <f>VLOOKUP($A97,'Data shares'!$C:$FB,67)</f>
        <v>175306775</v>
      </c>
      <c r="K97" s="50">
        <f t="shared" si="5"/>
        <v>-8.1911848883800804</v>
      </c>
      <c r="L97" s="50">
        <f>VLOOKUP($A97,'Data shares'!$C:$FB,118)</f>
        <v>0.93</v>
      </c>
      <c r="M97" s="50">
        <f>VLOOKUP($A97,'Data shares'!$C:$FB,119)</f>
        <v>0.92</v>
      </c>
      <c r="N97" s="50">
        <f>VLOOKUP($A97,'Data shares'!$C:$FB,121)*100</f>
        <v>1.0900000000000001</v>
      </c>
      <c r="O97" s="50">
        <f>VLOOKUP($A97,'Data shares'!$C:$FB,124)</f>
        <v>0.9</v>
      </c>
      <c r="P97" s="50">
        <f>VLOOKUP($A97,'Data shares'!$C:$FB,125)</f>
        <v>0.72</v>
      </c>
      <c r="Q97" s="50">
        <f>VLOOKUP($A97,'Data shares'!$C:$FB,127)*100</f>
        <v>25</v>
      </c>
    </row>
    <row r="98" spans="1:17" x14ac:dyDescent="0.25">
      <c r="A98" s="97" t="str">
        <f>'Data Vlaue (Cr)'!C93</f>
        <v>IEX</v>
      </c>
      <c r="B98" s="140">
        <f>VLOOKUP($A98,'Data shares'!$C:$FB,7)</f>
        <v>126.97</v>
      </c>
      <c r="C98" s="140">
        <f>VLOOKUP($A98,'Data shares'!$C:$FB,3)</f>
        <v>125.72</v>
      </c>
      <c r="D98" s="140">
        <f>VLOOKUP($A98,'Data shares'!$C:$FB,4)</f>
        <v>124.03</v>
      </c>
      <c r="E98" s="50">
        <f t="shared" si="3"/>
        <v>1.3625735709102618</v>
      </c>
      <c r="F98" s="49">
        <f>VLOOKUP($A98,'Data shares'!$C:$FB,98)</f>
        <v>141104250</v>
      </c>
      <c r="G98" s="49">
        <f>VLOOKUP($A98,'Data shares'!$C:$FB,99)</f>
        <v>135631350</v>
      </c>
      <c r="H98" s="50">
        <f t="shared" si="4"/>
        <v>4.0351290464925702</v>
      </c>
      <c r="I98" s="49">
        <f>VLOOKUP($A98,'Data shares'!$C:$FB,66)</f>
        <v>53943750</v>
      </c>
      <c r="J98" s="49">
        <f>VLOOKUP($A98,'Data shares'!$C:$FB,67)</f>
        <v>39997500</v>
      </c>
      <c r="K98" s="50">
        <f t="shared" si="5"/>
        <v>25.853319429961765</v>
      </c>
      <c r="L98" s="50">
        <f>VLOOKUP($A98,'Data shares'!$C:$FB,118)</f>
        <v>0.6</v>
      </c>
      <c r="M98" s="50">
        <f>VLOOKUP($A98,'Data shares'!$C:$FB,119)</f>
        <v>0.61</v>
      </c>
      <c r="N98" s="50">
        <f>VLOOKUP($A98,'Data shares'!$C:$FB,121)*100</f>
        <v>-1.6400000000000001</v>
      </c>
      <c r="O98" s="50">
        <f>VLOOKUP($A98,'Data shares'!$C:$FB,124)</f>
        <v>0.45</v>
      </c>
      <c r="P98" s="50">
        <f>VLOOKUP($A98,'Data shares'!$C:$FB,125)</f>
        <v>0.35</v>
      </c>
      <c r="Q98" s="50">
        <f>VLOOKUP($A98,'Data shares'!$C:$FB,127)*100</f>
        <v>28.57</v>
      </c>
    </row>
    <row r="99" spans="1:17" x14ac:dyDescent="0.25">
      <c r="A99" s="97" t="str">
        <f>'Data Vlaue (Cr)'!C94</f>
        <v>INDHOTEL</v>
      </c>
      <c r="B99" s="140">
        <f>VLOOKUP($A99,'Data shares'!$C:$FB,7)</f>
        <v>643.70000000000005</v>
      </c>
      <c r="C99" s="140">
        <f>VLOOKUP($A99,'Data shares'!$C:$FB,3)</f>
        <v>645.54999999999995</v>
      </c>
      <c r="D99" s="140">
        <f>VLOOKUP($A99,'Data shares'!$C:$FB,4)</f>
        <v>640</v>
      </c>
      <c r="E99" s="50">
        <f t="shared" si="3"/>
        <v>0.86718749999999301</v>
      </c>
      <c r="F99" s="49">
        <f>VLOOKUP($A99,'Data shares'!$C:$FB,98)</f>
        <v>31054000</v>
      </c>
      <c r="G99" s="49">
        <f>VLOOKUP($A99,'Data shares'!$C:$FB,99)</f>
        <v>30567000</v>
      </c>
      <c r="H99" s="50">
        <f t="shared" si="4"/>
        <v>1.5932214479667615</v>
      </c>
      <c r="I99" s="49">
        <f>VLOOKUP($A99,'Data shares'!$C:$FB,66)</f>
        <v>7345000</v>
      </c>
      <c r="J99" s="49">
        <f>VLOOKUP($A99,'Data shares'!$C:$FB,67)</f>
        <v>11362000</v>
      </c>
      <c r="K99" s="50">
        <f t="shared" si="5"/>
        <v>-54.690265486725664</v>
      </c>
      <c r="L99" s="50">
        <f>VLOOKUP($A99,'Data shares'!$C:$FB,118)</f>
        <v>1.23</v>
      </c>
      <c r="M99" s="50">
        <f>VLOOKUP($A99,'Data shares'!$C:$FB,119)</f>
        <v>1.31</v>
      </c>
      <c r="N99" s="50">
        <f>VLOOKUP($A99,'Data shares'!$C:$FB,121)*100</f>
        <v>-6.11</v>
      </c>
      <c r="O99" s="50">
        <f>VLOOKUP($A99,'Data shares'!$C:$FB,124)</f>
        <v>0.73</v>
      </c>
      <c r="P99" s="50">
        <f>VLOOKUP($A99,'Data shares'!$C:$FB,125)</f>
        <v>0.82</v>
      </c>
      <c r="Q99" s="50">
        <f>VLOOKUP($A99,'Data shares'!$C:$FB,127)*100</f>
        <v>-10.979999999999999</v>
      </c>
    </row>
    <row r="100" spans="1:17" x14ac:dyDescent="0.25">
      <c r="A100" s="97" t="str">
        <f>'Data Vlaue (Cr)'!C95</f>
        <v>INDIANB</v>
      </c>
      <c r="B100" s="140">
        <f>VLOOKUP($A100,'Data shares'!$C:$FB,7)</f>
        <v>830.35</v>
      </c>
      <c r="C100" s="140">
        <f>VLOOKUP($A100,'Data shares'!$C:$FB,3)</f>
        <v>834.35</v>
      </c>
      <c r="D100" s="140">
        <f>VLOOKUP($A100,'Data shares'!$C:$FB,4)</f>
        <v>855.95</v>
      </c>
      <c r="E100" s="50">
        <f t="shared" si="3"/>
        <v>-2.5235118873766016</v>
      </c>
      <c r="F100" s="49">
        <f>VLOOKUP($A100,'Data shares'!$C:$FB,98)</f>
        <v>23402000</v>
      </c>
      <c r="G100" s="49">
        <f>VLOOKUP($A100,'Data shares'!$C:$FB,99)</f>
        <v>21863000</v>
      </c>
      <c r="H100" s="50">
        <f t="shared" si="4"/>
        <v>7.0392901248684998</v>
      </c>
      <c r="I100" s="49">
        <f>VLOOKUP($A100,'Data shares'!$C:$FB,66)</f>
        <v>14452000</v>
      </c>
      <c r="J100" s="49">
        <f>VLOOKUP($A100,'Data shares'!$C:$FB,67)</f>
        <v>53628000</v>
      </c>
      <c r="K100" s="50">
        <f t="shared" si="5"/>
        <v>-271.07666758926098</v>
      </c>
      <c r="L100" s="50">
        <f>VLOOKUP($A100,'Data shares'!$C:$FB,118)</f>
        <v>0.53</v>
      </c>
      <c r="M100" s="50">
        <f>VLOOKUP($A100,'Data shares'!$C:$FB,119)</f>
        <v>0.57999999999999996</v>
      </c>
      <c r="N100" s="50">
        <f>VLOOKUP($A100,'Data shares'!$C:$FB,121)*100</f>
        <v>-8.6199999999999992</v>
      </c>
      <c r="O100" s="50">
        <f>VLOOKUP($A100,'Data shares'!$C:$FB,124)</f>
        <v>0.4</v>
      </c>
      <c r="P100" s="50">
        <f>VLOOKUP($A100,'Data shares'!$C:$FB,125)</f>
        <v>0.68</v>
      </c>
      <c r="Q100" s="50">
        <f>VLOOKUP($A100,'Data shares'!$C:$FB,127)*100</f>
        <v>-41.18</v>
      </c>
    </row>
    <row r="101" spans="1:17" x14ac:dyDescent="0.25">
      <c r="A101" s="97" t="str">
        <f>'Data Vlaue (Cr)'!C96</f>
        <v>INDIAVIX</v>
      </c>
      <c r="B101" s="140">
        <f>VLOOKUP($A101,'Data shares'!$C:$FB,7)</f>
        <v>18.3</v>
      </c>
      <c r="C101" s="140">
        <f>VLOOKUP($A101,'Data shares'!$C:$FB,3)</f>
        <v>18.3</v>
      </c>
      <c r="D101" s="140">
        <f>VLOOKUP($A101,'Data shares'!$C:$FB,4)</f>
        <v>18.46</v>
      </c>
      <c r="E101" s="50">
        <f t="shared" si="3"/>
        <v>-0.86673889490790967</v>
      </c>
      <c r="F101" s="49">
        <f>VLOOKUP($A101,'Data shares'!$C:$FB,98)</f>
        <v>0</v>
      </c>
      <c r="G101" s="49">
        <f>VLOOKUP($A101,'Data shares'!$C:$FB,99)</f>
        <v>0</v>
      </c>
      <c r="H101" s="50" t="e">
        <f t="shared" si="4"/>
        <v>#DIV/0!</v>
      </c>
      <c r="I101" s="49">
        <f>VLOOKUP($A101,'Data shares'!$C:$FB,66)</f>
        <v>0</v>
      </c>
      <c r="J101" s="49">
        <f>VLOOKUP($A101,'Data shares'!$C:$FB,67)</f>
        <v>0</v>
      </c>
      <c r="K101" s="50" t="e">
        <f t="shared" si="5"/>
        <v>#DIV/0!</v>
      </c>
      <c r="L101" s="50">
        <f>VLOOKUP($A101,'Data shares'!$C:$FB,118)</f>
        <v>0</v>
      </c>
      <c r="M101" s="50">
        <f>VLOOKUP($A101,'Data shares'!$C:$FB,119)</f>
        <v>0</v>
      </c>
      <c r="N101" s="50">
        <f>VLOOKUP($A101,'Data shares'!$C:$FB,121)*100</f>
        <v>0</v>
      </c>
      <c r="O101" s="50">
        <f>VLOOKUP($A101,'Data shares'!$C:$FB,124)</f>
        <v>0</v>
      </c>
      <c r="P101" s="50">
        <f>VLOOKUP($A101,'Data shares'!$C:$FB,125)</f>
        <v>0</v>
      </c>
      <c r="Q101" s="50">
        <f>VLOOKUP($A101,'Data shares'!$C:$FB,127)*100</f>
        <v>0</v>
      </c>
    </row>
    <row r="102" spans="1:17" x14ac:dyDescent="0.25">
      <c r="A102" s="97" t="str">
        <f>'Data Vlaue (Cr)'!C97</f>
        <v>INDIGO</v>
      </c>
      <c r="B102" s="140">
        <f>VLOOKUP($A102,'Data shares'!$C:$FB,7)</f>
        <v>4262.3999999999996</v>
      </c>
      <c r="C102" s="140">
        <f>VLOOKUP($A102,'Data shares'!$C:$FB,3)</f>
        <v>4285.3999999999996</v>
      </c>
      <c r="D102" s="140">
        <f>VLOOKUP($A102,'Data shares'!$C:$FB,4)</f>
        <v>4321.3</v>
      </c>
      <c r="E102" s="50">
        <f t="shared" si="3"/>
        <v>-0.83076851873280133</v>
      </c>
      <c r="F102" s="49">
        <f>VLOOKUP($A102,'Data shares'!$C:$FB,98)</f>
        <v>12683250</v>
      </c>
      <c r="G102" s="49">
        <f>VLOOKUP($A102,'Data shares'!$C:$FB,99)</f>
        <v>11652000</v>
      </c>
      <c r="H102" s="50">
        <f t="shared" si="4"/>
        <v>8.8504119464469628</v>
      </c>
      <c r="I102" s="49">
        <f>VLOOKUP($A102,'Data shares'!$C:$FB,66)</f>
        <v>7561800</v>
      </c>
      <c r="J102" s="49">
        <f>VLOOKUP($A102,'Data shares'!$C:$FB,67)</f>
        <v>9940050</v>
      </c>
      <c r="K102" s="50">
        <f t="shared" si="5"/>
        <v>-31.450845036895974</v>
      </c>
      <c r="L102" s="50">
        <f>VLOOKUP($A102,'Data shares'!$C:$FB,118)</f>
        <v>0.63</v>
      </c>
      <c r="M102" s="50">
        <f>VLOOKUP($A102,'Data shares'!$C:$FB,119)</f>
        <v>0.8</v>
      </c>
      <c r="N102" s="50">
        <f>VLOOKUP($A102,'Data shares'!$C:$FB,121)*100</f>
        <v>-21.25</v>
      </c>
      <c r="O102" s="50">
        <f>VLOOKUP($A102,'Data shares'!$C:$FB,124)</f>
        <v>0.74</v>
      </c>
      <c r="P102" s="50">
        <f>VLOOKUP($A102,'Data shares'!$C:$FB,125)</f>
        <v>1.2</v>
      </c>
      <c r="Q102" s="50">
        <f>VLOOKUP($A102,'Data shares'!$C:$FB,127)*100</f>
        <v>-38.33</v>
      </c>
    </row>
    <row r="103" spans="1:17" x14ac:dyDescent="0.25">
      <c r="A103" s="97" t="str">
        <f>'Data Vlaue (Cr)'!C98</f>
        <v>INDUSINDBK</v>
      </c>
      <c r="B103" s="140">
        <f>VLOOKUP($A103,'Data shares'!$C:$FB,7)</f>
        <v>913.9</v>
      </c>
      <c r="C103" s="140">
        <f>VLOOKUP($A103,'Data shares'!$C:$FB,3)</f>
        <v>919</v>
      </c>
      <c r="D103" s="140">
        <f>VLOOKUP($A103,'Data shares'!$C:$FB,4)</f>
        <v>921.35</v>
      </c>
      <c r="E103" s="50">
        <f t="shared" si="3"/>
        <v>-0.25506050903565664</v>
      </c>
      <c r="F103" s="49">
        <f>VLOOKUP($A103,'Data shares'!$C:$FB,98)</f>
        <v>46923800</v>
      </c>
      <c r="G103" s="49">
        <f>VLOOKUP($A103,'Data shares'!$C:$FB,99)</f>
        <v>46627000</v>
      </c>
      <c r="H103" s="50">
        <f t="shared" si="4"/>
        <v>0.63654105990091581</v>
      </c>
      <c r="I103" s="49">
        <f>VLOOKUP($A103,'Data shares'!$C:$FB,66)</f>
        <v>19595800</v>
      </c>
      <c r="J103" s="49">
        <f>VLOOKUP($A103,'Data shares'!$C:$FB,67)</f>
        <v>21750400</v>
      </c>
      <c r="K103" s="50">
        <f t="shared" si="5"/>
        <v>-10.995213259984283</v>
      </c>
      <c r="L103" s="50">
        <f>VLOOKUP($A103,'Data shares'!$C:$FB,118)</f>
        <v>0.94</v>
      </c>
      <c r="M103" s="50">
        <f>VLOOKUP($A103,'Data shares'!$C:$FB,119)</f>
        <v>1.04</v>
      </c>
      <c r="N103" s="50">
        <f>VLOOKUP($A103,'Data shares'!$C:$FB,121)*100</f>
        <v>-9.6199999999999992</v>
      </c>
      <c r="O103" s="50">
        <f>VLOOKUP($A103,'Data shares'!$C:$FB,124)</f>
        <v>0.85</v>
      </c>
      <c r="P103" s="50">
        <f>VLOOKUP($A103,'Data shares'!$C:$FB,125)</f>
        <v>0.89</v>
      </c>
      <c r="Q103" s="50">
        <f>VLOOKUP($A103,'Data shares'!$C:$FB,127)*100</f>
        <v>-4.49</v>
      </c>
    </row>
    <row r="104" spans="1:17" x14ac:dyDescent="0.25">
      <c r="A104" s="97" t="str">
        <f>'Data Vlaue (Cr)'!C99</f>
        <v>INDUSTOWER</v>
      </c>
      <c r="B104" s="140">
        <f>VLOOKUP($A104,'Data shares'!$C:$FB,7)</f>
        <v>400.25</v>
      </c>
      <c r="C104" s="140">
        <f>VLOOKUP($A104,'Data shares'!$C:$FB,3)</f>
        <v>402.55</v>
      </c>
      <c r="D104" s="140">
        <f>VLOOKUP($A104,'Data shares'!$C:$FB,4)</f>
        <v>412.2</v>
      </c>
      <c r="E104" s="50">
        <f t="shared" si="3"/>
        <v>-2.3410965550703491</v>
      </c>
      <c r="F104" s="49">
        <f>VLOOKUP($A104,'Data shares'!$C:$FB,98)</f>
        <v>131187300</v>
      </c>
      <c r="G104" s="49">
        <f>VLOOKUP($A104,'Data shares'!$C:$FB,99)</f>
        <v>117174200</v>
      </c>
      <c r="H104" s="50">
        <f t="shared" si="4"/>
        <v>11.959202623103039</v>
      </c>
      <c r="I104" s="49">
        <f>VLOOKUP($A104,'Data shares'!$C:$FB,66)</f>
        <v>143291300</v>
      </c>
      <c r="J104" s="49">
        <f>VLOOKUP($A104,'Data shares'!$C:$FB,67)</f>
        <v>42018900</v>
      </c>
      <c r="K104" s="50">
        <f t="shared" si="5"/>
        <v>70.675888906025691</v>
      </c>
      <c r="L104" s="50">
        <f>VLOOKUP($A104,'Data shares'!$C:$FB,118)</f>
        <v>0.73</v>
      </c>
      <c r="M104" s="50">
        <f>VLOOKUP($A104,'Data shares'!$C:$FB,119)</f>
        <v>0.78</v>
      </c>
      <c r="N104" s="50">
        <f>VLOOKUP($A104,'Data shares'!$C:$FB,121)*100</f>
        <v>-6.41</v>
      </c>
      <c r="O104" s="50">
        <f>VLOOKUP($A104,'Data shares'!$C:$FB,124)</f>
        <v>0.48</v>
      </c>
      <c r="P104" s="50">
        <f>VLOOKUP($A104,'Data shares'!$C:$FB,125)</f>
        <v>0.56999999999999995</v>
      </c>
      <c r="Q104" s="50">
        <f>VLOOKUP($A104,'Data shares'!$C:$FB,127)*100</f>
        <v>-15.790000000000001</v>
      </c>
    </row>
    <row r="105" spans="1:17" x14ac:dyDescent="0.25">
      <c r="A105" s="97" t="str">
        <f>'Data Vlaue (Cr)'!C100</f>
        <v>INFY</v>
      </c>
      <c r="B105" s="140">
        <f>VLOOKUP($A105,'Data shares'!$C:$FB,7)</f>
        <v>1168.4000000000001</v>
      </c>
      <c r="C105" s="140">
        <f>VLOOKUP($A105,'Data shares'!$C:$FB,3)</f>
        <v>1173</v>
      </c>
      <c r="D105" s="140">
        <f>VLOOKUP($A105,'Data shares'!$C:$FB,4)</f>
        <v>1187.4000000000001</v>
      </c>
      <c r="E105" s="50">
        <f t="shared" si="3"/>
        <v>-1.2127337038908617</v>
      </c>
      <c r="F105" s="49">
        <f>VLOOKUP($A105,'Data shares'!$C:$FB,98)</f>
        <v>139034800</v>
      </c>
      <c r="G105" s="49">
        <f>VLOOKUP($A105,'Data shares'!$C:$FB,99)</f>
        <v>134222400</v>
      </c>
      <c r="H105" s="50">
        <f t="shared" si="4"/>
        <v>3.5853926021290041</v>
      </c>
      <c r="I105" s="49">
        <f>VLOOKUP($A105,'Data shares'!$C:$FB,66)</f>
        <v>37360400</v>
      </c>
      <c r="J105" s="49">
        <f>VLOOKUP($A105,'Data shares'!$C:$FB,67)</f>
        <v>57200400</v>
      </c>
      <c r="K105" s="50">
        <f t="shared" si="5"/>
        <v>-53.104356484405947</v>
      </c>
      <c r="L105" s="50">
        <f>VLOOKUP($A105,'Data shares'!$C:$FB,118)</f>
        <v>0.59</v>
      </c>
      <c r="M105" s="50">
        <f>VLOOKUP($A105,'Data shares'!$C:$FB,119)</f>
        <v>0.61</v>
      </c>
      <c r="N105" s="50">
        <f>VLOOKUP($A105,'Data shares'!$C:$FB,121)*100</f>
        <v>-3.2800000000000002</v>
      </c>
      <c r="O105" s="50">
        <f>VLOOKUP($A105,'Data shares'!$C:$FB,124)</f>
        <v>0.53</v>
      </c>
      <c r="P105" s="50">
        <f>VLOOKUP($A105,'Data shares'!$C:$FB,125)</f>
        <v>0.55000000000000004</v>
      </c>
      <c r="Q105" s="50">
        <f>VLOOKUP($A105,'Data shares'!$C:$FB,127)*100</f>
        <v>-3.64</v>
      </c>
    </row>
    <row r="106" spans="1:17" x14ac:dyDescent="0.25">
      <c r="A106" s="97" t="str">
        <f>'Data Vlaue (Cr)'!C101</f>
        <v>INOXWIND</v>
      </c>
      <c r="B106" s="140">
        <f>VLOOKUP($A106,'Data shares'!$C:$FB,7)</f>
        <v>103.38</v>
      </c>
      <c r="C106" s="140">
        <f>VLOOKUP($A106,'Data shares'!$C:$FB,3)</f>
        <v>103.93</v>
      </c>
      <c r="D106" s="140">
        <f>VLOOKUP($A106,'Data shares'!$C:$FB,4)</f>
        <v>101.51</v>
      </c>
      <c r="E106" s="50">
        <f t="shared" si="3"/>
        <v>2.3840015761993909</v>
      </c>
      <c r="F106" s="49">
        <f>VLOOKUP($A106,'Data shares'!$C:$FB,98)</f>
        <v>123237525</v>
      </c>
      <c r="G106" s="49">
        <f>VLOOKUP($A106,'Data shares'!$C:$FB,99)</f>
        <v>120884775</v>
      </c>
      <c r="H106" s="50">
        <f t="shared" si="4"/>
        <v>1.9462748720837673</v>
      </c>
      <c r="I106" s="49">
        <f>VLOOKUP($A106,'Data shares'!$C:$FB,66)</f>
        <v>66452100</v>
      </c>
      <c r="J106" s="49">
        <f>VLOOKUP($A106,'Data shares'!$C:$FB,67)</f>
        <v>39543075</v>
      </c>
      <c r="K106" s="50">
        <f t="shared" si="5"/>
        <v>40.493867010974824</v>
      </c>
      <c r="L106" s="50">
        <f>VLOOKUP($A106,'Data shares'!$C:$FB,118)</f>
        <v>0.71</v>
      </c>
      <c r="M106" s="50">
        <f>VLOOKUP($A106,'Data shares'!$C:$FB,119)</f>
        <v>0.7</v>
      </c>
      <c r="N106" s="50">
        <f>VLOOKUP($A106,'Data shares'!$C:$FB,121)*100</f>
        <v>1.43</v>
      </c>
      <c r="O106" s="50">
        <f>VLOOKUP($A106,'Data shares'!$C:$FB,124)</f>
        <v>0.37</v>
      </c>
      <c r="P106" s="50">
        <f>VLOOKUP($A106,'Data shares'!$C:$FB,125)</f>
        <v>0.49</v>
      </c>
      <c r="Q106" s="50">
        <f>VLOOKUP($A106,'Data shares'!$C:$FB,127)*100</f>
        <v>-24.490000000000002</v>
      </c>
    </row>
    <row r="107" spans="1:17" x14ac:dyDescent="0.25">
      <c r="A107" s="97" t="str">
        <f>'Data Vlaue (Cr)'!C102</f>
        <v>IOC</v>
      </c>
      <c r="B107" s="140">
        <f>VLOOKUP($A107,'Data shares'!$C:$FB,7)</f>
        <v>142.26</v>
      </c>
      <c r="C107" s="140">
        <f>VLOOKUP($A107,'Data shares'!$C:$FB,3)</f>
        <v>143.08000000000001</v>
      </c>
      <c r="D107" s="140">
        <f>VLOOKUP($A107,'Data shares'!$C:$FB,4)</f>
        <v>143.12</v>
      </c>
      <c r="E107" s="50">
        <f t="shared" si="3"/>
        <v>-2.7948574622688682E-2</v>
      </c>
      <c r="F107" s="49">
        <f>VLOOKUP($A107,'Data shares'!$C:$FB,98)</f>
        <v>181013625</v>
      </c>
      <c r="G107" s="49">
        <f>VLOOKUP($A107,'Data shares'!$C:$FB,99)</f>
        <v>174091125</v>
      </c>
      <c r="H107" s="50">
        <f t="shared" si="4"/>
        <v>3.97636582565596</v>
      </c>
      <c r="I107" s="49">
        <f>VLOOKUP($A107,'Data shares'!$C:$FB,66)</f>
        <v>45074250</v>
      </c>
      <c r="J107" s="49">
        <f>VLOOKUP($A107,'Data shares'!$C:$FB,67)</f>
        <v>70453500</v>
      </c>
      <c r="K107" s="50">
        <f t="shared" si="5"/>
        <v>-56.305429374864801</v>
      </c>
      <c r="L107" s="50">
        <f>VLOOKUP($A107,'Data shares'!$C:$FB,118)</f>
        <v>0.79</v>
      </c>
      <c r="M107" s="50">
        <f>VLOOKUP($A107,'Data shares'!$C:$FB,119)</f>
        <v>0.81</v>
      </c>
      <c r="N107" s="50">
        <f>VLOOKUP($A107,'Data shares'!$C:$FB,121)*100</f>
        <v>-2.4699999999999998</v>
      </c>
      <c r="O107" s="50">
        <f>VLOOKUP($A107,'Data shares'!$C:$FB,124)</f>
        <v>0.56000000000000005</v>
      </c>
      <c r="P107" s="50">
        <f>VLOOKUP($A107,'Data shares'!$C:$FB,125)</f>
        <v>0.71</v>
      </c>
      <c r="Q107" s="50">
        <f>VLOOKUP($A107,'Data shares'!$C:$FB,127)*100</f>
        <v>-21.13</v>
      </c>
    </row>
    <row r="108" spans="1:17" x14ac:dyDescent="0.25">
      <c r="A108" s="97" t="str">
        <f>'Data Vlaue (Cr)'!C103</f>
        <v>IREDA</v>
      </c>
      <c r="B108" s="140">
        <f>VLOOKUP($A108,'Data shares'!$C:$FB,7)</f>
        <v>135.36000000000001</v>
      </c>
      <c r="C108" s="140">
        <f>VLOOKUP($A108,'Data shares'!$C:$FB,3)</f>
        <v>135.68</v>
      </c>
      <c r="D108" s="140">
        <f>VLOOKUP($A108,'Data shares'!$C:$FB,4)</f>
        <v>135.36000000000001</v>
      </c>
      <c r="E108" s="50">
        <f t="shared" si="3"/>
        <v>0.23640661938533772</v>
      </c>
      <c r="F108" s="49">
        <f>VLOOKUP($A108,'Data shares'!$C:$FB,98)</f>
        <v>74772700</v>
      </c>
      <c r="G108" s="49">
        <f>VLOOKUP($A108,'Data shares'!$C:$FB,99)</f>
        <v>73025175</v>
      </c>
      <c r="H108" s="50">
        <f t="shared" si="4"/>
        <v>2.3930445904443225</v>
      </c>
      <c r="I108" s="49">
        <f>VLOOKUP($A108,'Data shares'!$C:$FB,66)</f>
        <v>19395900</v>
      </c>
      <c r="J108" s="49">
        <f>VLOOKUP($A108,'Data shares'!$C:$FB,67)</f>
        <v>21293400</v>
      </c>
      <c r="K108" s="50">
        <f t="shared" si="5"/>
        <v>-9.7829953753112786</v>
      </c>
      <c r="L108" s="50">
        <f>VLOOKUP($A108,'Data shares'!$C:$FB,118)</f>
        <v>0.72</v>
      </c>
      <c r="M108" s="50">
        <f>VLOOKUP($A108,'Data shares'!$C:$FB,119)</f>
        <v>0.75</v>
      </c>
      <c r="N108" s="50">
        <f>VLOOKUP($A108,'Data shares'!$C:$FB,121)*100</f>
        <v>-4</v>
      </c>
      <c r="O108" s="50">
        <f>VLOOKUP($A108,'Data shares'!$C:$FB,124)</f>
        <v>0.42</v>
      </c>
      <c r="P108" s="50">
        <f>VLOOKUP($A108,'Data shares'!$C:$FB,125)</f>
        <v>0.38</v>
      </c>
      <c r="Q108" s="50">
        <f>VLOOKUP($A108,'Data shares'!$C:$FB,127)*100</f>
        <v>10.530000000000001</v>
      </c>
    </row>
    <row r="109" spans="1:17" x14ac:dyDescent="0.25">
      <c r="A109" s="97" t="str">
        <f>'Data Vlaue (Cr)'!C104</f>
        <v>IRFC</v>
      </c>
      <c r="B109" s="140">
        <f>VLOOKUP($A109,'Data shares'!$C:$FB,7)</f>
        <v>104.41</v>
      </c>
      <c r="C109" s="140">
        <f>VLOOKUP($A109,'Data shares'!$C:$FB,3)</f>
        <v>104.95</v>
      </c>
      <c r="D109" s="140">
        <f>VLOOKUP($A109,'Data shares'!$C:$FB,4)</f>
        <v>104.12</v>
      </c>
      <c r="E109" s="50">
        <f t="shared" si="3"/>
        <v>0.79715712639262215</v>
      </c>
      <c r="F109" s="49">
        <f>VLOOKUP($A109,'Data shares'!$C:$FB,98)</f>
        <v>99808775</v>
      </c>
      <c r="G109" s="49">
        <f>VLOOKUP($A109,'Data shares'!$C:$FB,99)</f>
        <v>97275425</v>
      </c>
      <c r="H109" s="50">
        <f t="shared" si="4"/>
        <v>2.6043062777674835</v>
      </c>
      <c r="I109" s="49">
        <f>VLOOKUP($A109,'Data shares'!$C:$FB,66)</f>
        <v>25143000</v>
      </c>
      <c r="J109" s="49">
        <f>VLOOKUP($A109,'Data shares'!$C:$FB,67)</f>
        <v>26350000</v>
      </c>
      <c r="K109" s="50">
        <f t="shared" si="5"/>
        <v>-4.800540906017579</v>
      </c>
      <c r="L109" s="50">
        <f>VLOOKUP($A109,'Data shares'!$C:$FB,118)</f>
        <v>0.8</v>
      </c>
      <c r="M109" s="50">
        <f>VLOOKUP($A109,'Data shares'!$C:$FB,119)</f>
        <v>0.79</v>
      </c>
      <c r="N109" s="50">
        <f>VLOOKUP($A109,'Data shares'!$C:$FB,121)*100</f>
        <v>1.27</v>
      </c>
      <c r="O109" s="50">
        <f>VLOOKUP($A109,'Data shares'!$C:$FB,124)</f>
        <v>0.51</v>
      </c>
      <c r="P109" s="50">
        <f>VLOOKUP($A109,'Data shares'!$C:$FB,125)</f>
        <v>0.62</v>
      </c>
      <c r="Q109" s="50">
        <f>VLOOKUP($A109,'Data shares'!$C:$FB,127)*100</f>
        <v>-17.740000000000002</v>
      </c>
    </row>
    <row r="110" spans="1:17" x14ac:dyDescent="0.25">
      <c r="A110" s="97" t="str">
        <f>'Data Vlaue (Cr)'!C105</f>
        <v>ITC</v>
      </c>
      <c r="B110" s="140">
        <f>VLOOKUP($A110,'Data shares'!$C:$FB,7)</f>
        <v>311.10000000000002</v>
      </c>
      <c r="C110" s="140">
        <f>VLOOKUP($A110,'Data shares'!$C:$FB,3)</f>
        <v>312.60000000000002</v>
      </c>
      <c r="D110" s="140">
        <f>VLOOKUP($A110,'Data shares'!$C:$FB,4)</f>
        <v>315.75</v>
      </c>
      <c r="E110" s="50">
        <f t="shared" si="3"/>
        <v>-0.99762470308787876</v>
      </c>
      <c r="F110" s="49">
        <f>VLOOKUP($A110,'Data shares'!$C:$FB,98)</f>
        <v>300419450</v>
      </c>
      <c r="G110" s="49">
        <f>VLOOKUP($A110,'Data shares'!$C:$FB,99)</f>
        <v>281355525</v>
      </c>
      <c r="H110" s="50">
        <f t="shared" si="4"/>
        <v>6.7757421859762665</v>
      </c>
      <c r="I110" s="49">
        <f>VLOOKUP($A110,'Data shares'!$C:$FB,66)</f>
        <v>206670400</v>
      </c>
      <c r="J110" s="49">
        <f>VLOOKUP($A110,'Data shares'!$C:$FB,67)</f>
        <v>175793600</v>
      </c>
      <c r="K110" s="50">
        <f t="shared" si="5"/>
        <v>14.94011721078587</v>
      </c>
      <c r="L110" s="50">
        <f>VLOOKUP($A110,'Data shares'!$C:$FB,118)</f>
        <v>0.43</v>
      </c>
      <c r="M110" s="50">
        <f>VLOOKUP($A110,'Data shares'!$C:$FB,119)</f>
        <v>0.56000000000000005</v>
      </c>
      <c r="N110" s="50">
        <f>VLOOKUP($A110,'Data shares'!$C:$FB,121)*100</f>
        <v>-23.21</v>
      </c>
      <c r="O110" s="50">
        <f>VLOOKUP($A110,'Data shares'!$C:$FB,124)</f>
        <v>0.27</v>
      </c>
      <c r="P110" s="50">
        <f>VLOOKUP($A110,'Data shares'!$C:$FB,125)</f>
        <v>0.35</v>
      </c>
      <c r="Q110" s="50">
        <f>VLOOKUP($A110,'Data shares'!$C:$FB,127)*100</f>
        <v>-22.86</v>
      </c>
    </row>
    <row r="111" spans="1:17" x14ac:dyDescent="0.25">
      <c r="A111" s="97" t="str">
        <f>'Data Vlaue (Cr)'!C106</f>
        <v>JINDALSTEL</v>
      </c>
      <c r="B111" s="140">
        <f>VLOOKUP($A111,'Data shares'!$C:$FB,7)</f>
        <v>1261.4000000000001</v>
      </c>
      <c r="C111" s="140">
        <f>VLOOKUP($A111,'Data shares'!$C:$FB,3)</f>
        <v>1269.4000000000001</v>
      </c>
      <c r="D111" s="140">
        <f>VLOOKUP($A111,'Data shares'!$C:$FB,4)</f>
        <v>1232.5999999999999</v>
      </c>
      <c r="E111" s="50">
        <f t="shared" si="3"/>
        <v>2.9855589810157541</v>
      </c>
      <c r="F111" s="49">
        <f>VLOOKUP($A111,'Data shares'!$C:$FB,98)</f>
        <v>18154375</v>
      </c>
      <c r="G111" s="49">
        <f>VLOOKUP($A111,'Data shares'!$C:$FB,99)</f>
        <v>17546875</v>
      </c>
      <c r="H111" s="50">
        <f t="shared" si="4"/>
        <v>3.4621549421193234</v>
      </c>
      <c r="I111" s="49">
        <f>VLOOKUP($A111,'Data shares'!$C:$FB,66)</f>
        <v>24137500</v>
      </c>
      <c r="J111" s="49">
        <f>VLOOKUP($A111,'Data shares'!$C:$FB,67)</f>
        <v>10445625</v>
      </c>
      <c r="K111" s="50">
        <f t="shared" si="5"/>
        <v>56.724495080269286</v>
      </c>
      <c r="L111" s="50">
        <f>VLOOKUP($A111,'Data shares'!$C:$FB,118)</f>
        <v>0.82</v>
      </c>
      <c r="M111" s="50">
        <f>VLOOKUP($A111,'Data shares'!$C:$FB,119)</f>
        <v>0.95</v>
      </c>
      <c r="N111" s="50">
        <f>VLOOKUP($A111,'Data shares'!$C:$FB,121)*100</f>
        <v>-13.68</v>
      </c>
      <c r="O111" s="50">
        <f>VLOOKUP($A111,'Data shares'!$C:$FB,124)</f>
        <v>0.57999999999999996</v>
      </c>
      <c r="P111" s="50">
        <f>VLOOKUP($A111,'Data shares'!$C:$FB,125)</f>
        <v>0.8</v>
      </c>
      <c r="Q111" s="50">
        <f>VLOOKUP($A111,'Data shares'!$C:$FB,127)*100</f>
        <v>-27.500000000000004</v>
      </c>
    </row>
    <row r="112" spans="1:17" x14ac:dyDescent="0.25">
      <c r="A112" s="97" t="str">
        <f>'Data Vlaue (Cr)'!C107</f>
        <v>JIOFIN</v>
      </c>
      <c r="B112" s="140">
        <f>VLOOKUP($A112,'Data shares'!$C:$FB,7)</f>
        <v>252.74</v>
      </c>
      <c r="C112" s="140">
        <f>VLOOKUP($A112,'Data shares'!$C:$FB,3)</f>
        <v>254.4</v>
      </c>
      <c r="D112" s="140">
        <f>VLOOKUP($A112,'Data shares'!$C:$FB,4)</f>
        <v>247.12</v>
      </c>
      <c r="E112" s="50">
        <f t="shared" si="3"/>
        <v>2.9459371965037233</v>
      </c>
      <c r="F112" s="49">
        <f>VLOOKUP($A112,'Data shares'!$C:$FB,98)</f>
        <v>293108450</v>
      </c>
      <c r="G112" s="49">
        <f>VLOOKUP($A112,'Data shares'!$C:$FB,99)</f>
        <v>291700800</v>
      </c>
      <c r="H112" s="50">
        <f t="shared" si="4"/>
        <v>0.48256638308842487</v>
      </c>
      <c r="I112" s="49">
        <f>VLOOKUP($A112,'Data shares'!$C:$FB,66)</f>
        <v>101376650</v>
      </c>
      <c r="J112" s="49">
        <f>VLOOKUP($A112,'Data shares'!$C:$FB,67)</f>
        <v>101475350</v>
      </c>
      <c r="K112" s="50">
        <f t="shared" si="5"/>
        <v>-9.7359697721319458E-2</v>
      </c>
      <c r="L112" s="50">
        <f>VLOOKUP($A112,'Data shares'!$C:$FB,118)</f>
        <v>0.68</v>
      </c>
      <c r="M112" s="50">
        <f>VLOOKUP($A112,'Data shares'!$C:$FB,119)</f>
        <v>0.66</v>
      </c>
      <c r="N112" s="50">
        <f>VLOOKUP($A112,'Data shares'!$C:$FB,121)*100</f>
        <v>3.0300000000000002</v>
      </c>
      <c r="O112" s="50">
        <f>VLOOKUP($A112,'Data shares'!$C:$FB,124)</f>
        <v>0.48</v>
      </c>
      <c r="P112" s="50">
        <f>VLOOKUP($A112,'Data shares'!$C:$FB,125)</f>
        <v>0.44</v>
      </c>
      <c r="Q112" s="50">
        <f>VLOOKUP($A112,'Data shares'!$C:$FB,127)*100</f>
        <v>9.09</v>
      </c>
    </row>
    <row r="113" spans="1:17" x14ac:dyDescent="0.25">
      <c r="A113" s="97" t="str">
        <f>'Data Vlaue (Cr)'!C108</f>
        <v>JSWENERGY</v>
      </c>
      <c r="B113" s="140">
        <f>VLOOKUP($A113,'Data shares'!$C:$FB,7)</f>
        <v>562.29999999999995</v>
      </c>
      <c r="C113" s="140">
        <f>VLOOKUP($A113,'Data shares'!$C:$FB,3)</f>
        <v>564.45000000000005</v>
      </c>
      <c r="D113" s="140">
        <f>VLOOKUP($A113,'Data shares'!$C:$FB,4)</f>
        <v>563.9</v>
      </c>
      <c r="E113" s="50">
        <f t="shared" si="3"/>
        <v>9.7535023940427068E-2</v>
      </c>
      <c r="F113" s="49">
        <f>VLOOKUP($A113,'Data shares'!$C:$FB,98)</f>
        <v>33501300</v>
      </c>
      <c r="G113" s="49">
        <f>VLOOKUP($A113,'Data shares'!$C:$FB,99)</f>
        <v>33218225</v>
      </c>
      <c r="H113" s="50">
        <f t="shared" si="4"/>
        <v>0.85216774827673658</v>
      </c>
      <c r="I113" s="49">
        <f>VLOOKUP($A113,'Data shares'!$C:$FB,66)</f>
        <v>9951000</v>
      </c>
      <c r="J113" s="49">
        <f>VLOOKUP($A113,'Data shares'!$C:$FB,67)</f>
        <v>10888000</v>
      </c>
      <c r="K113" s="50">
        <f t="shared" si="5"/>
        <v>-9.4161390814993471</v>
      </c>
      <c r="L113" s="50">
        <f>VLOOKUP($A113,'Data shares'!$C:$FB,118)</f>
        <v>0.7</v>
      </c>
      <c r="M113" s="50">
        <f>VLOOKUP($A113,'Data shares'!$C:$FB,119)</f>
        <v>0.69</v>
      </c>
      <c r="N113" s="50">
        <f>VLOOKUP($A113,'Data shares'!$C:$FB,121)*100</f>
        <v>1.4500000000000002</v>
      </c>
      <c r="O113" s="50">
        <f>VLOOKUP($A113,'Data shares'!$C:$FB,124)</f>
        <v>0.32</v>
      </c>
      <c r="P113" s="50">
        <f>VLOOKUP($A113,'Data shares'!$C:$FB,125)</f>
        <v>0.63</v>
      </c>
      <c r="Q113" s="50">
        <f>VLOOKUP($A113,'Data shares'!$C:$FB,127)*100</f>
        <v>-49.21</v>
      </c>
    </row>
    <row r="114" spans="1:17" x14ac:dyDescent="0.25">
      <c r="A114" s="97" t="str">
        <f>'Data Vlaue (Cr)'!C109</f>
        <v>JSWSTEEL</v>
      </c>
      <c r="B114" s="140">
        <f>VLOOKUP($A114,'Data shares'!$C:$FB,7)</f>
        <v>1266.5999999999999</v>
      </c>
      <c r="C114" s="140">
        <f>VLOOKUP($A114,'Data shares'!$C:$FB,3)</f>
        <v>1273.9000000000001</v>
      </c>
      <c r="D114" s="140">
        <f>VLOOKUP($A114,'Data shares'!$C:$FB,4)</f>
        <v>1270.3</v>
      </c>
      <c r="E114" s="50">
        <f t="shared" si="3"/>
        <v>0.28339762260884327</v>
      </c>
      <c r="F114" s="49">
        <f>VLOOKUP($A114,'Data shares'!$C:$FB,98)</f>
        <v>57477600</v>
      </c>
      <c r="G114" s="49">
        <f>VLOOKUP($A114,'Data shares'!$C:$FB,99)</f>
        <v>56607525</v>
      </c>
      <c r="H114" s="50">
        <f t="shared" si="4"/>
        <v>1.5370306332947785</v>
      </c>
      <c r="I114" s="49">
        <f>VLOOKUP($A114,'Data shares'!$C:$FB,66)</f>
        <v>10905975</v>
      </c>
      <c r="J114" s="49">
        <f>VLOOKUP($A114,'Data shares'!$C:$FB,67)</f>
        <v>8559000</v>
      </c>
      <c r="K114" s="50">
        <f t="shared" si="5"/>
        <v>21.520084174042211</v>
      </c>
      <c r="L114" s="50">
        <f>VLOOKUP($A114,'Data shares'!$C:$FB,118)</f>
        <v>0.77</v>
      </c>
      <c r="M114" s="50">
        <f>VLOOKUP($A114,'Data shares'!$C:$FB,119)</f>
        <v>0.88</v>
      </c>
      <c r="N114" s="50">
        <f>VLOOKUP($A114,'Data shares'!$C:$FB,121)*100</f>
        <v>-12.5</v>
      </c>
      <c r="O114" s="50">
        <f>VLOOKUP($A114,'Data shares'!$C:$FB,124)</f>
        <v>0.62</v>
      </c>
      <c r="P114" s="50">
        <f>VLOOKUP($A114,'Data shares'!$C:$FB,125)</f>
        <v>0.81</v>
      </c>
      <c r="Q114" s="50">
        <f>VLOOKUP($A114,'Data shares'!$C:$FB,127)*100</f>
        <v>-23.46</v>
      </c>
    </row>
    <row r="115" spans="1:17" x14ac:dyDescent="0.25">
      <c r="A115" s="97" t="str">
        <f>'Data Vlaue (Cr)'!C110</f>
        <v>JUBLFOOD</v>
      </c>
      <c r="B115" s="140">
        <f>VLOOKUP($A115,'Data shares'!$C:$FB,7)</f>
        <v>476.4</v>
      </c>
      <c r="C115" s="140">
        <f>VLOOKUP($A115,'Data shares'!$C:$FB,3)</f>
        <v>476.2</v>
      </c>
      <c r="D115" s="140">
        <f>VLOOKUP($A115,'Data shares'!$C:$FB,4)</f>
        <v>477</v>
      </c>
      <c r="E115" s="50">
        <f t="shared" si="3"/>
        <v>-0.16771488469601914</v>
      </c>
      <c r="F115" s="49">
        <f>VLOOKUP($A115,'Data shares'!$C:$FB,98)</f>
        <v>49366250</v>
      </c>
      <c r="G115" s="49">
        <f>VLOOKUP($A115,'Data shares'!$C:$FB,99)</f>
        <v>48072500</v>
      </c>
      <c r="H115" s="50">
        <f t="shared" si="4"/>
        <v>2.6912475947787198</v>
      </c>
      <c r="I115" s="49">
        <f>VLOOKUP($A115,'Data shares'!$C:$FB,66)</f>
        <v>8050000</v>
      </c>
      <c r="J115" s="49">
        <f>VLOOKUP($A115,'Data shares'!$C:$FB,67)</f>
        <v>7735000</v>
      </c>
      <c r="K115" s="50">
        <f t="shared" si="5"/>
        <v>3.9130434782608701</v>
      </c>
      <c r="L115" s="50">
        <f>VLOOKUP($A115,'Data shares'!$C:$FB,118)</f>
        <v>0.74</v>
      </c>
      <c r="M115" s="50">
        <f>VLOOKUP($A115,'Data shares'!$C:$FB,119)</f>
        <v>0.78</v>
      </c>
      <c r="N115" s="50">
        <f>VLOOKUP($A115,'Data shares'!$C:$FB,121)*100</f>
        <v>-5.13</v>
      </c>
      <c r="O115" s="50">
        <f>VLOOKUP($A115,'Data shares'!$C:$FB,124)</f>
        <v>0.62</v>
      </c>
      <c r="P115" s="50">
        <f>VLOOKUP($A115,'Data shares'!$C:$FB,125)</f>
        <v>0.55000000000000004</v>
      </c>
      <c r="Q115" s="50">
        <f>VLOOKUP($A115,'Data shares'!$C:$FB,127)*100</f>
        <v>12.73</v>
      </c>
    </row>
    <row r="116" spans="1:17" x14ac:dyDescent="0.25">
      <c r="A116" s="97" t="str">
        <f>'Data Vlaue (Cr)'!C111</f>
        <v>KALYANKJIL</v>
      </c>
      <c r="B116" s="140">
        <f>VLOOKUP($A116,'Data shares'!$C:$FB,7)</f>
        <v>413.3</v>
      </c>
      <c r="C116" s="140">
        <f>VLOOKUP($A116,'Data shares'!$C:$FB,3)</f>
        <v>415.35</v>
      </c>
      <c r="D116" s="140">
        <f>VLOOKUP($A116,'Data shares'!$C:$FB,4)</f>
        <v>415.15</v>
      </c>
      <c r="E116" s="50">
        <f t="shared" si="3"/>
        <v>4.8175358304238344E-2</v>
      </c>
      <c r="F116" s="49">
        <f>VLOOKUP($A116,'Data shares'!$C:$FB,98)</f>
        <v>35103175</v>
      </c>
      <c r="G116" s="49">
        <f>VLOOKUP($A116,'Data shares'!$C:$FB,99)</f>
        <v>33569275</v>
      </c>
      <c r="H116" s="50">
        <f t="shared" si="4"/>
        <v>4.5693569491745061</v>
      </c>
      <c r="I116" s="49">
        <f>VLOOKUP($A116,'Data shares'!$C:$FB,66)</f>
        <v>9954600</v>
      </c>
      <c r="J116" s="49">
        <f>VLOOKUP($A116,'Data shares'!$C:$FB,67)</f>
        <v>11332875</v>
      </c>
      <c r="K116" s="50">
        <f t="shared" si="5"/>
        <v>-13.845609065155806</v>
      </c>
      <c r="L116" s="50">
        <f>VLOOKUP($A116,'Data shares'!$C:$FB,118)</f>
        <v>0.61</v>
      </c>
      <c r="M116" s="50">
        <f>VLOOKUP($A116,'Data shares'!$C:$FB,119)</f>
        <v>0.67</v>
      </c>
      <c r="N116" s="50">
        <f>VLOOKUP($A116,'Data shares'!$C:$FB,121)*100</f>
        <v>-8.9599999999999991</v>
      </c>
      <c r="O116" s="50">
        <f>VLOOKUP($A116,'Data shares'!$C:$FB,124)</f>
        <v>0.5</v>
      </c>
      <c r="P116" s="50">
        <f>VLOOKUP($A116,'Data shares'!$C:$FB,125)</f>
        <v>0.83</v>
      </c>
      <c r="Q116" s="50">
        <f>VLOOKUP($A116,'Data shares'!$C:$FB,127)*100</f>
        <v>-39.76</v>
      </c>
    </row>
    <row r="117" spans="1:17" x14ac:dyDescent="0.25">
      <c r="A117" s="97" t="str">
        <f>'Data Vlaue (Cr)'!C112</f>
        <v>KAYNES</v>
      </c>
      <c r="B117" s="140">
        <f>VLOOKUP($A117,'Data shares'!$C:$FB,7)</f>
        <v>4098.8999999999996</v>
      </c>
      <c r="C117" s="140">
        <f>VLOOKUP($A117,'Data shares'!$C:$FB,3)</f>
        <v>4104.8999999999996</v>
      </c>
      <c r="D117" s="140">
        <f>VLOOKUP($A117,'Data shares'!$C:$FB,4)</f>
        <v>4055.6</v>
      </c>
      <c r="E117" s="50">
        <f t="shared" si="3"/>
        <v>1.2156031166781667</v>
      </c>
      <c r="F117" s="49">
        <f>VLOOKUP($A117,'Data shares'!$C:$FB,98)</f>
        <v>4389100</v>
      </c>
      <c r="G117" s="49">
        <f>VLOOKUP($A117,'Data shares'!$C:$FB,99)</f>
        <v>4240800</v>
      </c>
      <c r="H117" s="50">
        <f t="shared" si="4"/>
        <v>3.4969817015657418</v>
      </c>
      <c r="I117" s="49">
        <f>VLOOKUP($A117,'Data shares'!$C:$FB,66)</f>
        <v>1652400</v>
      </c>
      <c r="J117" s="49">
        <f>VLOOKUP($A117,'Data shares'!$C:$FB,67)</f>
        <v>2101100</v>
      </c>
      <c r="K117" s="50">
        <f t="shared" si="5"/>
        <v>-27.154442023723067</v>
      </c>
      <c r="L117" s="50">
        <f>VLOOKUP($A117,'Data shares'!$C:$FB,118)</f>
        <v>0.69</v>
      </c>
      <c r="M117" s="50">
        <f>VLOOKUP($A117,'Data shares'!$C:$FB,119)</f>
        <v>0.73</v>
      </c>
      <c r="N117" s="50">
        <f>VLOOKUP($A117,'Data shares'!$C:$FB,121)*100</f>
        <v>-5.48</v>
      </c>
      <c r="O117" s="50">
        <f>VLOOKUP($A117,'Data shares'!$C:$FB,124)</f>
        <v>0.38</v>
      </c>
      <c r="P117" s="50">
        <f>VLOOKUP($A117,'Data shares'!$C:$FB,125)</f>
        <v>0.51</v>
      </c>
      <c r="Q117" s="50">
        <f>VLOOKUP($A117,'Data shares'!$C:$FB,127)*100</f>
        <v>-25.490000000000002</v>
      </c>
    </row>
    <row r="118" spans="1:17" x14ac:dyDescent="0.25">
      <c r="A118" s="97" t="str">
        <f>'Data Vlaue (Cr)'!C113</f>
        <v>KEI</v>
      </c>
      <c r="B118" s="140">
        <f>VLOOKUP($A118,'Data shares'!$C:$FB,7)</f>
        <v>5058.3</v>
      </c>
      <c r="C118" s="140">
        <f>VLOOKUP($A118,'Data shares'!$C:$FB,3)</f>
        <v>5086.3999999999996</v>
      </c>
      <c r="D118" s="140">
        <f>VLOOKUP($A118,'Data shares'!$C:$FB,4)</f>
        <v>4885.8</v>
      </c>
      <c r="E118" s="50">
        <f t="shared" si="3"/>
        <v>4.105775922059836</v>
      </c>
      <c r="F118" s="49">
        <f>VLOOKUP($A118,'Data shares'!$C:$FB,98)</f>
        <v>2657200</v>
      </c>
      <c r="G118" s="49">
        <f>VLOOKUP($A118,'Data shares'!$C:$FB,99)</f>
        <v>2217250</v>
      </c>
      <c r="H118" s="50">
        <f t="shared" si="4"/>
        <v>19.842146803472772</v>
      </c>
      <c r="I118" s="49">
        <f>VLOOKUP($A118,'Data shares'!$C:$FB,66)</f>
        <v>3271800</v>
      </c>
      <c r="J118" s="49">
        <f>VLOOKUP($A118,'Data shares'!$C:$FB,67)</f>
        <v>1556275</v>
      </c>
      <c r="K118" s="50">
        <f t="shared" si="5"/>
        <v>52.433675652546</v>
      </c>
      <c r="L118" s="50">
        <f>VLOOKUP($A118,'Data shares'!$C:$FB,118)</f>
        <v>0.78</v>
      </c>
      <c r="M118" s="50">
        <f>VLOOKUP($A118,'Data shares'!$C:$FB,119)</f>
        <v>0.82</v>
      </c>
      <c r="N118" s="50">
        <f>VLOOKUP($A118,'Data shares'!$C:$FB,121)*100</f>
        <v>-4.88</v>
      </c>
      <c r="O118" s="50">
        <f>VLOOKUP($A118,'Data shares'!$C:$FB,124)</f>
        <v>0.43</v>
      </c>
      <c r="P118" s="50">
        <f>VLOOKUP($A118,'Data shares'!$C:$FB,125)</f>
        <v>0.47</v>
      </c>
      <c r="Q118" s="50">
        <f>VLOOKUP($A118,'Data shares'!$C:$FB,127)*100</f>
        <v>-8.51</v>
      </c>
    </row>
    <row r="119" spans="1:17" x14ac:dyDescent="0.25">
      <c r="A119" s="97" t="str">
        <f>'Data Vlaue (Cr)'!C114</f>
        <v>KFINTECH</v>
      </c>
      <c r="B119" s="140">
        <f>VLOOKUP($A119,'Data shares'!$C:$FB,7)</f>
        <v>863.95</v>
      </c>
      <c r="C119" s="140">
        <f>VLOOKUP($A119,'Data shares'!$C:$FB,3)</f>
        <v>856.5</v>
      </c>
      <c r="D119" s="140">
        <f>VLOOKUP($A119,'Data shares'!$C:$FB,4)</f>
        <v>873.4</v>
      </c>
      <c r="E119" s="50">
        <f t="shared" si="3"/>
        <v>-1.934966796427751</v>
      </c>
      <c r="F119" s="49">
        <f>VLOOKUP($A119,'Data shares'!$C:$FB,98)</f>
        <v>13494175</v>
      </c>
      <c r="G119" s="49">
        <f>VLOOKUP($A119,'Data shares'!$C:$FB,99)</f>
        <v>11856475</v>
      </c>
      <c r="H119" s="50">
        <f t="shared" si="4"/>
        <v>13.812705715653262</v>
      </c>
      <c r="I119" s="49">
        <f>VLOOKUP($A119,'Data shares'!$C:$FB,66)</f>
        <v>11238500</v>
      </c>
      <c r="J119" s="49">
        <f>VLOOKUP($A119,'Data shares'!$C:$FB,67)</f>
        <v>34884000</v>
      </c>
      <c r="K119" s="50">
        <f t="shared" si="5"/>
        <v>-210.39729501267962</v>
      </c>
      <c r="L119" s="50">
        <f>VLOOKUP($A119,'Data shares'!$C:$FB,118)</f>
        <v>0.47</v>
      </c>
      <c r="M119" s="50">
        <f>VLOOKUP($A119,'Data shares'!$C:$FB,119)</f>
        <v>0.52</v>
      </c>
      <c r="N119" s="50">
        <f>VLOOKUP($A119,'Data shares'!$C:$FB,121)*100</f>
        <v>-9.6199999999999992</v>
      </c>
      <c r="O119" s="50">
        <f>VLOOKUP($A119,'Data shares'!$C:$FB,124)</f>
        <v>0.48</v>
      </c>
      <c r="P119" s="50">
        <f>VLOOKUP($A119,'Data shares'!$C:$FB,125)</f>
        <v>0.75</v>
      </c>
      <c r="Q119" s="50">
        <f>VLOOKUP($A119,'Data shares'!$C:$FB,127)*100</f>
        <v>-36</v>
      </c>
    </row>
    <row r="120" spans="1:17" x14ac:dyDescent="0.25">
      <c r="A120" s="97" t="str">
        <f>'Data Vlaue (Cr)'!C115</f>
        <v>KOTAKBANK</v>
      </c>
      <c r="B120" s="140">
        <f>VLOOKUP($A120,'Data shares'!$C:$FB,7)</f>
        <v>371.65</v>
      </c>
      <c r="C120" s="140">
        <f>VLOOKUP($A120,'Data shares'!$C:$FB,3)</f>
        <v>372.5</v>
      </c>
      <c r="D120" s="140">
        <f>VLOOKUP($A120,'Data shares'!$C:$FB,4)</f>
        <v>385.9</v>
      </c>
      <c r="E120" s="50">
        <f t="shared" si="3"/>
        <v>-3.4724021767297173</v>
      </c>
      <c r="F120" s="49">
        <f>VLOOKUP($A120,'Data shares'!$C:$FB,98)</f>
        <v>308854000</v>
      </c>
      <c r="G120" s="49">
        <f>VLOOKUP($A120,'Data shares'!$C:$FB,99)</f>
        <v>303524000</v>
      </c>
      <c r="H120" s="50">
        <f t="shared" si="4"/>
        <v>1.7560390611615555</v>
      </c>
      <c r="I120" s="49">
        <f>VLOOKUP($A120,'Data shares'!$C:$FB,66)</f>
        <v>315304000</v>
      </c>
      <c r="J120" s="49">
        <f>VLOOKUP($A120,'Data shares'!$C:$FB,67)</f>
        <v>115304000</v>
      </c>
      <c r="K120" s="50">
        <f t="shared" si="5"/>
        <v>63.430847689848527</v>
      </c>
      <c r="L120" s="50">
        <f>VLOOKUP($A120,'Data shares'!$C:$FB,118)</f>
        <v>0.65</v>
      </c>
      <c r="M120" s="50">
        <f>VLOOKUP($A120,'Data shares'!$C:$FB,119)</f>
        <v>0.98</v>
      </c>
      <c r="N120" s="50">
        <f>VLOOKUP($A120,'Data shares'!$C:$FB,121)*100</f>
        <v>-33.67</v>
      </c>
      <c r="O120" s="50">
        <f>VLOOKUP($A120,'Data shares'!$C:$FB,124)</f>
        <v>0.48</v>
      </c>
      <c r="P120" s="50">
        <f>VLOOKUP($A120,'Data shares'!$C:$FB,125)</f>
        <v>0.67</v>
      </c>
      <c r="Q120" s="50">
        <f>VLOOKUP($A120,'Data shares'!$C:$FB,127)*100</f>
        <v>-28.360000000000003</v>
      </c>
    </row>
    <row r="121" spans="1:17" x14ac:dyDescent="0.25">
      <c r="A121" s="97" t="str">
        <f>'Data Vlaue (Cr)'!C116</f>
        <v>KPITTECH</v>
      </c>
      <c r="B121" s="140">
        <f>VLOOKUP($A121,'Data shares'!$C:$FB,7)</f>
        <v>768.55</v>
      </c>
      <c r="C121" s="140">
        <f>VLOOKUP($A121,'Data shares'!$C:$FB,3)</f>
        <v>769.5</v>
      </c>
      <c r="D121" s="140">
        <f>VLOOKUP($A121,'Data shares'!$C:$FB,4)</f>
        <v>761.6</v>
      </c>
      <c r="E121" s="50">
        <f t="shared" si="3"/>
        <v>1.0372899159663835</v>
      </c>
      <c r="F121" s="49">
        <f>VLOOKUP($A121,'Data shares'!$C:$FB,98)</f>
        <v>10204100</v>
      </c>
      <c r="G121" s="49">
        <f>VLOOKUP($A121,'Data shares'!$C:$FB,99)</f>
        <v>9317700</v>
      </c>
      <c r="H121" s="50">
        <f t="shared" si="4"/>
        <v>9.5130772615559636</v>
      </c>
      <c r="I121" s="49">
        <f>VLOOKUP($A121,'Data shares'!$C:$FB,66)</f>
        <v>7343575</v>
      </c>
      <c r="J121" s="49">
        <f>VLOOKUP($A121,'Data shares'!$C:$FB,67)</f>
        <v>9612650</v>
      </c>
      <c r="K121" s="50">
        <f t="shared" si="5"/>
        <v>-30.898778864517624</v>
      </c>
      <c r="L121" s="50">
        <f>VLOOKUP($A121,'Data shares'!$C:$FB,118)</f>
        <v>0.64</v>
      </c>
      <c r="M121" s="50">
        <f>VLOOKUP($A121,'Data shares'!$C:$FB,119)</f>
        <v>0.81</v>
      </c>
      <c r="N121" s="50">
        <f>VLOOKUP($A121,'Data shares'!$C:$FB,121)*100</f>
        <v>-20.990000000000002</v>
      </c>
      <c r="O121" s="50">
        <f>VLOOKUP($A121,'Data shares'!$C:$FB,124)</f>
        <v>0.25</v>
      </c>
      <c r="P121" s="50">
        <f>VLOOKUP($A121,'Data shares'!$C:$FB,125)</f>
        <v>0.31</v>
      </c>
      <c r="Q121" s="50">
        <f>VLOOKUP($A121,'Data shares'!$C:$FB,127)*100</f>
        <v>-19.350000000000001</v>
      </c>
    </row>
    <row r="122" spans="1:17" x14ac:dyDescent="0.25">
      <c r="A122" s="97" t="str">
        <f>'Data Vlaue (Cr)'!C117</f>
        <v>LAURUSLABS</v>
      </c>
      <c r="B122" s="140">
        <f>VLOOKUP($A122,'Data shares'!$C:$FB,7)</f>
        <v>1166.4000000000001</v>
      </c>
      <c r="C122" s="140">
        <f>VLOOKUP($A122,'Data shares'!$C:$FB,3)</f>
        <v>1172</v>
      </c>
      <c r="D122" s="140">
        <f>VLOOKUP($A122,'Data shares'!$C:$FB,4)</f>
        <v>1107.45</v>
      </c>
      <c r="E122" s="50">
        <f t="shared" si="3"/>
        <v>5.8287055849022487</v>
      </c>
      <c r="F122" s="49">
        <f>VLOOKUP($A122,'Data shares'!$C:$FB,98)</f>
        <v>27562100</v>
      </c>
      <c r="G122" s="49">
        <f>VLOOKUP($A122,'Data shares'!$C:$FB,99)</f>
        <v>26152800</v>
      </c>
      <c r="H122" s="50">
        <f t="shared" si="4"/>
        <v>5.3887155486219447</v>
      </c>
      <c r="I122" s="49">
        <f>VLOOKUP($A122,'Data shares'!$C:$FB,66)</f>
        <v>47520950</v>
      </c>
      <c r="J122" s="49">
        <f>VLOOKUP($A122,'Data shares'!$C:$FB,67)</f>
        <v>20425500</v>
      </c>
      <c r="K122" s="50">
        <f t="shared" si="5"/>
        <v>57.017904734648617</v>
      </c>
      <c r="L122" s="50">
        <f>VLOOKUP($A122,'Data shares'!$C:$FB,118)</f>
        <v>0.64</v>
      </c>
      <c r="M122" s="50">
        <f>VLOOKUP($A122,'Data shares'!$C:$FB,119)</f>
        <v>0.59</v>
      </c>
      <c r="N122" s="50">
        <f>VLOOKUP($A122,'Data shares'!$C:$FB,121)*100</f>
        <v>8.4699999999999989</v>
      </c>
      <c r="O122" s="50">
        <f>VLOOKUP($A122,'Data shares'!$C:$FB,124)</f>
        <v>0.45</v>
      </c>
      <c r="P122" s="50">
        <f>VLOOKUP($A122,'Data shares'!$C:$FB,125)</f>
        <v>0.59</v>
      </c>
      <c r="Q122" s="50">
        <f>VLOOKUP($A122,'Data shares'!$C:$FB,127)*100</f>
        <v>-23.73</v>
      </c>
    </row>
    <row r="123" spans="1:17" x14ac:dyDescent="0.25">
      <c r="A123" s="97" t="str">
        <f>'Data Vlaue (Cr)'!C118</f>
        <v>LICHSGFIN</v>
      </c>
      <c r="B123" s="140">
        <f>VLOOKUP($A123,'Data shares'!$C:$FB,7)</f>
        <v>557</v>
      </c>
      <c r="C123" s="140">
        <f>VLOOKUP($A123,'Data shares'!$C:$FB,3)</f>
        <v>560.20000000000005</v>
      </c>
      <c r="D123" s="140">
        <f>VLOOKUP($A123,'Data shares'!$C:$FB,4)</f>
        <v>558</v>
      </c>
      <c r="E123" s="50">
        <f t="shared" si="3"/>
        <v>0.3942652329749185</v>
      </c>
      <c r="F123" s="49">
        <f>VLOOKUP($A123,'Data shares'!$C:$FB,98)</f>
        <v>38906000</v>
      </c>
      <c r="G123" s="49">
        <f>VLOOKUP($A123,'Data shares'!$C:$FB,99)</f>
        <v>38201000</v>
      </c>
      <c r="H123" s="50">
        <f t="shared" si="4"/>
        <v>1.8455014266642236</v>
      </c>
      <c r="I123" s="49">
        <f>VLOOKUP($A123,'Data shares'!$C:$FB,66)</f>
        <v>6031000</v>
      </c>
      <c r="J123" s="49">
        <f>VLOOKUP($A123,'Data shares'!$C:$FB,67)</f>
        <v>8372000</v>
      </c>
      <c r="K123" s="50">
        <f t="shared" si="5"/>
        <v>-38.816116730227158</v>
      </c>
      <c r="L123" s="50">
        <f>VLOOKUP($A123,'Data shares'!$C:$FB,118)</f>
        <v>0.65</v>
      </c>
      <c r="M123" s="50">
        <f>VLOOKUP($A123,'Data shares'!$C:$FB,119)</f>
        <v>0.66</v>
      </c>
      <c r="N123" s="50">
        <f>VLOOKUP($A123,'Data shares'!$C:$FB,121)*100</f>
        <v>-1.52</v>
      </c>
      <c r="O123" s="50">
        <f>VLOOKUP($A123,'Data shares'!$C:$FB,124)</f>
        <v>0.41</v>
      </c>
      <c r="P123" s="50">
        <f>VLOOKUP($A123,'Data shares'!$C:$FB,125)</f>
        <v>0.75</v>
      </c>
      <c r="Q123" s="50">
        <f>VLOOKUP($A123,'Data shares'!$C:$FB,127)*100</f>
        <v>-45.33</v>
      </c>
    </row>
    <row r="124" spans="1:17" x14ac:dyDescent="0.25">
      <c r="A124" s="97" t="str">
        <f>'Data Vlaue (Cr)'!C119</f>
        <v>LICI</v>
      </c>
      <c r="B124" s="140">
        <f>VLOOKUP($A124,'Data shares'!$C:$FB,7)</f>
        <v>802</v>
      </c>
      <c r="C124" s="140">
        <f>VLOOKUP($A124,'Data shares'!$C:$FB,3)</f>
        <v>799</v>
      </c>
      <c r="D124" s="140">
        <f>VLOOKUP($A124,'Data shares'!$C:$FB,4)</f>
        <v>791.3</v>
      </c>
      <c r="E124" s="50">
        <f t="shared" si="3"/>
        <v>0.9730822696828062</v>
      </c>
      <c r="F124" s="49">
        <f>VLOOKUP($A124,'Data shares'!$C:$FB,98)</f>
        <v>19342400</v>
      </c>
      <c r="G124" s="49">
        <f>VLOOKUP($A124,'Data shares'!$C:$FB,99)</f>
        <v>18350500</v>
      </c>
      <c r="H124" s="50">
        <f t="shared" si="4"/>
        <v>5.4053023078390234</v>
      </c>
      <c r="I124" s="49">
        <f>VLOOKUP($A124,'Data shares'!$C:$FB,66)</f>
        <v>5765900</v>
      </c>
      <c r="J124" s="49">
        <f>VLOOKUP($A124,'Data shares'!$C:$FB,67)</f>
        <v>7324100</v>
      </c>
      <c r="K124" s="50">
        <f t="shared" si="5"/>
        <v>-27.024402088138888</v>
      </c>
      <c r="L124" s="50">
        <f>VLOOKUP($A124,'Data shares'!$C:$FB,118)</f>
        <v>0.61</v>
      </c>
      <c r="M124" s="50">
        <f>VLOOKUP($A124,'Data shares'!$C:$FB,119)</f>
        <v>0.65</v>
      </c>
      <c r="N124" s="50">
        <f>VLOOKUP($A124,'Data shares'!$C:$FB,121)*100</f>
        <v>-6.15</v>
      </c>
      <c r="O124" s="50">
        <f>VLOOKUP($A124,'Data shares'!$C:$FB,124)</f>
        <v>0.35</v>
      </c>
      <c r="P124" s="50">
        <f>VLOOKUP($A124,'Data shares'!$C:$FB,125)</f>
        <v>0.64</v>
      </c>
      <c r="Q124" s="50">
        <f>VLOOKUP($A124,'Data shares'!$C:$FB,127)*100</f>
        <v>-45.31</v>
      </c>
    </row>
    <row r="125" spans="1:17" x14ac:dyDescent="0.25">
      <c r="A125" s="97" t="str">
        <f>'Data Vlaue (Cr)'!C120</f>
        <v>LODHA</v>
      </c>
      <c r="B125" s="140">
        <f>VLOOKUP($A125,'Data shares'!$C:$FB,7)</f>
        <v>923.6</v>
      </c>
      <c r="C125" s="140">
        <f>VLOOKUP($A125,'Data shares'!$C:$FB,3)</f>
        <v>926.55</v>
      </c>
      <c r="D125" s="140">
        <f>VLOOKUP($A125,'Data shares'!$C:$FB,4)</f>
        <v>902.4</v>
      </c>
      <c r="E125" s="50">
        <f t="shared" si="3"/>
        <v>2.6761968085106358</v>
      </c>
      <c r="F125" s="49">
        <f>VLOOKUP($A125,'Data shares'!$C:$FB,98)</f>
        <v>19060575</v>
      </c>
      <c r="G125" s="49">
        <f>VLOOKUP($A125,'Data shares'!$C:$FB,99)</f>
        <v>19351450</v>
      </c>
      <c r="H125" s="50">
        <f t="shared" si="4"/>
        <v>-1.5031173374605002</v>
      </c>
      <c r="I125" s="49">
        <f>VLOOKUP($A125,'Data shares'!$C:$FB,66)</f>
        <v>7695000</v>
      </c>
      <c r="J125" s="49">
        <f>VLOOKUP($A125,'Data shares'!$C:$FB,67)</f>
        <v>7397550</v>
      </c>
      <c r="K125" s="50">
        <f t="shared" si="5"/>
        <v>3.865497076023392</v>
      </c>
      <c r="L125" s="50">
        <f>VLOOKUP($A125,'Data shares'!$C:$FB,118)</f>
        <v>0.67</v>
      </c>
      <c r="M125" s="50">
        <f>VLOOKUP($A125,'Data shares'!$C:$FB,119)</f>
        <v>0.6</v>
      </c>
      <c r="N125" s="50">
        <f>VLOOKUP($A125,'Data shares'!$C:$FB,121)*100</f>
        <v>11.67</v>
      </c>
      <c r="O125" s="50">
        <f>VLOOKUP($A125,'Data shares'!$C:$FB,124)</f>
        <v>0.35</v>
      </c>
      <c r="P125" s="50">
        <f>VLOOKUP($A125,'Data shares'!$C:$FB,125)</f>
        <v>0.54</v>
      </c>
      <c r="Q125" s="50">
        <f>VLOOKUP($A125,'Data shares'!$C:$FB,127)*100</f>
        <v>-35.19</v>
      </c>
    </row>
    <row r="126" spans="1:17" x14ac:dyDescent="0.25">
      <c r="A126" s="97" t="str">
        <f>'Data Vlaue (Cr)'!C121</f>
        <v>LT</v>
      </c>
      <c r="B126" s="140">
        <f>VLOOKUP($A126,'Data shares'!$C:$FB,7)</f>
        <v>4100.8</v>
      </c>
      <c r="C126" s="140">
        <f>VLOOKUP($A126,'Data shares'!$C:$FB,3)</f>
        <v>4120.3</v>
      </c>
      <c r="D126" s="140">
        <f>VLOOKUP($A126,'Data shares'!$C:$FB,4)</f>
        <v>4037.7</v>
      </c>
      <c r="E126" s="50">
        <f t="shared" si="3"/>
        <v>2.0457190975060149</v>
      </c>
      <c r="F126" s="49">
        <f>VLOOKUP($A126,'Data shares'!$C:$FB,98)</f>
        <v>23251375</v>
      </c>
      <c r="G126" s="49">
        <f>VLOOKUP($A126,'Data shares'!$C:$FB,99)</f>
        <v>21916475</v>
      </c>
      <c r="H126" s="50">
        <f t="shared" si="4"/>
        <v>6.0908517450913067</v>
      </c>
      <c r="I126" s="49">
        <f>VLOOKUP($A126,'Data shares'!$C:$FB,66)</f>
        <v>15457225</v>
      </c>
      <c r="J126" s="49">
        <f>VLOOKUP($A126,'Data shares'!$C:$FB,67)</f>
        <v>10101000</v>
      </c>
      <c r="K126" s="50">
        <f t="shared" si="5"/>
        <v>34.651918439435278</v>
      </c>
      <c r="L126" s="50">
        <f>VLOOKUP($A126,'Data shares'!$C:$FB,118)</f>
        <v>0.83</v>
      </c>
      <c r="M126" s="50">
        <f>VLOOKUP($A126,'Data shares'!$C:$FB,119)</f>
        <v>0.98</v>
      </c>
      <c r="N126" s="50">
        <f>VLOOKUP($A126,'Data shares'!$C:$FB,121)*100</f>
        <v>-15.310000000000002</v>
      </c>
      <c r="O126" s="50">
        <f>VLOOKUP($A126,'Data shares'!$C:$FB,124)</f>
        <v>0.37</v>
      </c>
      <c r="P126" s="50">
        <f>VLOOKUP($A126,'Data shares'!$C:$FB,125)</f>
        <v>0.65</v>
      </c>
      <c r="Q126" s="50">
        <f>VLOOKUP($A126,'Data shares'!$C:$FB,127)*100</f>
        <v>-43.08</v>
      </c>
    </row>
    <row r="127" spans="1:17" x14ac:dyDescent="0.25">
      <c r="A127" s="97" t="str">
        <f>'Data Vlaue (Cr)'!C122</f>
        <v>LTF</v>
      </c>
      <c r="B127" s="140">
        <f>VLOOKUP($A127,'Data shares'!$C:$FB,7)</f>
        <v>285.64999999999998</v>
      </c>
      <c r="C127" s="140">
        <f>VLOOKUP($A127,'Data shares'!$C:$FB,3)</f>
        <v>284.64999999999998</v>
      </c>
      <c r="D127" s="140">
        <f>VLOOKUP($A127,'Data shares'!$C:$FB,4)</f>
        <v>280.81</v>
      </c>
      <c r="E127" s="50">
        <f t="shared" si="3"/>
        <v>1.3674726683522578</v>
      </c>
      <c r="F127" s="49">
        <f>VLOOKUP($A127,'Data shares'!$C:$FB,98)</f>
        <v>69414750</v>
      </c>
      <c r="G127" s="49">
        <f>VLOOKUP($A127,'Data shares'!$C:$FB,99)</f>
        <v>66586500</v>
      </c>
      <c r="H127" s="50">
        <f t="shared" si="4"/>
        <v>4.2474825978238835</v>
      </c>
      <c r="I127" s="49">
        <f>VLOOKUP($A127,'Data shares'!$C:$FB,66)</f>
        <v>18819000</v>
      </c>
      <c r="J127" s="49">
        <f>VLOOKUP($A127,'Data shares'!$C:$FB,67)</f>
        <v>16425000</v>
      </c>
      <c r="K127" s="50">
        <f t="shared" si="5"/>
        <v>12.721186035389763</v>
      </c>
      <c r="L127" s="50">
        <f>VLOOKUP($A127,'Data shares'!$C:$FB,118)</f>
        <v>0.75</v>
      </c>
      <c r="M127" s="50">
        <f>VLOOKUP($A127,'Data shares'!$C:$FB,119)</f>
        <v>0.82</v>
      </c>
      <c r="N127" s="50">
        <f>VLOOKUP($A127,'Data shares'!$C:$FB,121)*100</f>
        <v>-8.5400000000000009</v>
      </c>
      <c r="O127" s="50">
        <f>VLOOKUP($A127,'Data shares'!$C:$FB,124)</f>
        <v>0.33</v>
      </c>
      <c r="P127" s="50">
        <f>VLOOKUP($A127,'Data shares'!$C:$FB,125)</f>
        <v>0.52</v>
      </c>
      <c r="Q127" s="50">
        <f>VLOOKUP($A127,'Data shares'!$C:$FB,127)*100</f>
        <v>-36.54</v>
      </c>
    </row>
    <row r="128" spans="1:17" x14ac:dyDescent="0.25">
      <c r="A128" s="97" t="str">
        <f>'Data Vlaue (Cr)'!C123</f>
        <v>LTM</v>
      </c>
      <c r="B128" s="140">
        <f>VLOOKUP($A128,'Data shares'!$C:$FB,7)</f>
        <v>4202.7</v>
      </c>
      <c r="C128" s="140">
        <f>VLOOKUP($A128,'Data shares'!$C:$FB,3)</f>
        <v>4189.7</v>
      </c>
      <c r="D128" s="140">
        <f>VLOOKUP($A128,'Data shares'!$C:$FB,4)</f>
        <v>4258.8</v>
      </c>
      <c r="E128" s="50">
        <f t="shared" si="3"/>
        <v>-1.6225227763689387</v>
      </c>
      <c r="F128" s="49">
        <f>VLOOKUP($A128,'Data shares'!$C:$FB,98)</f>
        <v>4805700</v>
      </c>
      <c r="G128" s="49">
        <f>VLOOKUP($A128,'Data shares'!$C:$FB,99)</f>
        <v>4639350</v>
      </c>
      <c r="H128" s="50">
        <f t="shared" si="4"/>
        <v>3.585631607876103</v>
      </c>
      <c r="I128" s="49">
        <f>VLOOKUP($A128,'Data shares'!$C:$FB,66)</f>
        <v>1441350</v>
      </c>
      <c r="J128" s="49">
        <f>VLOOKUP($A128,'Data shares'!$C:$FB,67)</f>
        <v>1520700</v>
      </c>
      <c r="K128" s="50">
        <f t="shared" si="5"/>
        <v>-5.5052554896451245</v>
      </c>
      <c r="L128" s="50">
        <f>VLOOKUP($A128,'Data shares'!$C:$FB,118)</f>
        <v>0.67</v>
      </c>
      <c r="M128" s="50">
        <f>VLOOKUP($A128,'Data shares'!$C:$FB,119)</f>
        <v>0.69</v>
      </c>
      <c r="N128" s="50">
        <f>VLOOKUP($A128,'Data shares'!$C:$FB,121)*100</f>
        <v>-2.9000000000000004</v>
      </c>
      <c r="O128" s="50">
        <f>VLOOKUP($A128,'Data shares'!$C:$FB,124)</f>
        <v>0.48</v>
      </c>
      <c r="P128" s="50">
        <f>VLOOKUP($A128,'Data shares'!$C:$FB,125)</f>
        <v>0.47</v>
      </c>
      <c r="Q128" s="50">
        <f>VLOOKUP($A128,'Data shares'!$C:$FB,127)*100</f>
        <v>2.13</v>
      </c>
    </row>
    <row r="129" spans="1:17" x14ac:dyDescent="0.25">
      <c r="A129" s="97" t="str">
        <f>'Data Vlaue (Cr)'!C124</f>
        <v>LUPIN</v>
      </c>
      <c r="B129" s="140">
        <f>VLOOKUP($A129,'Data shares'!$C:$FB,7)</f>
        <v>2348.8000000000002</v>
      </c>
      <c r="C129" s="140">
        <f>VLOOKUP($A129,'Data shares'!$C:$FB,3)</f>
        <v>2351.5</v>
      </c>
      <c r="D129" s="140">
        <f>VLOOKUP($A129,'Data shares'!$C:$FB,4)</f>
        <v>2310.8000000000002</v>
      </c>
      <c r="E129" s="50">
        <f t="shared" si="3"/>
        <v>1.7612947896832185</v>
      </c>
      <c r="F129" s="49">
        <f>VLOOKUP($A129,'Data shares'!$C:$FB,98)</f>
        <v>11816700</v>
      </c>
      <c r="G129" s="49">
        <f>VLOOKUP($A129,'Data shares'!$C:$FB,99)</f>
        <v>10279475</v>
      </c>
      <c r="H129" s="50">
        <f t="shared" si="4"/>
        <v>14.954314301070823</v>
      </c>
      <c r="I129" s="49">
        <f>VLOOKUP($A129,'Data shares'!$C:$FB,66)</f>
        <v>10106075</v>
      </c>
      <c r="J129" s="49">
        <f>VLOOKUP($A129,'Data shares'!$C:$FB,67)</f>
        <v>4063000</v>
      </c>
      <c r="K129" s="50">
        <f t="shared" si="5"/>
        <v>59.796459060515581</v>
      </c>
      <c r="L129" s="50">
        <f>VLOOKUP($A129,'Data shares'!$C:$FB,118)</f>
        <v>0.63</v>
      </c>
      <c r="M129" s="50">
        <f>VLOOKUP($A129,'Data shares'!$C:$FB,119)</f>
        <v>0.8</v>
      </c>
      <c r="N129" s="50">
        <f>VLOOKUP($A129,'Data shares'!$C:$FB,121)*100</f>
        <v>-21.25</v>
      </c>
      <c r="O129" s="50">
        <f>VLOOKUP($A129,'Data shares'!$C:$FB,124)</f>
        <v>0.3</v>
      </c>
      <c r="P129" s="50">
        <f>VLOOKUP($A129,'Data shares'!$C:$FB,125)</f>
        <v>0.69</v>
      </c>
      <c r="Q129" s="50">
        <f>VLOOKUP($A129,'Data shares'!$C:$FB,127)*100</f>
        <v>-56.52</v>
      </c>
    </row>
    <row r="130" spans="1:17" x14ac:dyDescent="0.25">
      <c r="A130" s="97" t="str">
        <f>'Data Vlaue (Cr)'!C125</f>
        <v>M&amp;M</v>
      </c>
      <c r="B130" s="140">
        <f>VLOOKUP($A130,'Data shares'!$C:$FB,7)</f>
        <v>3106.5</v>
      </c>
      <c r="C130" s="140">
        <f>VLOOKUP($A130,'Data shares'!$C:$FB,3)</f>
        <v>3120.2</v>
      </c>
      <c r="D130" s="140">
        <f>VLOOKUP($A130,'Data shares'!$C:$FB,4)</f>
        <v>3115</v>
      </c>
      <c r="E130" s="50">
        <f t="shared" si="3"/>
        <v>0.16693418940609367</v>
      </c>
      <c r="F130" s="49">
        <f>VLOOKUP($A130,'Data shares'!$C:$FB,98)</f>
        <v>28714600</v>
      </c>
      <c r="G130" s="49">
        <f>VLOOKUP($A130,'Data shares'!$C:$FB,99)</f>
        <v>26667600</v>
      </c>
      <c r="H130" s="50">
        <f t="shared" si="4"/>
        <v>7.6759813406530775</v>
      </c>
      <c r="I130" s="49">
        <f>VLOOKUP($A130,'Data shares'!$C:$FB,66)</f>
        <v>15511600</v>
      </c>
      <c r="J130" s="49">
        <f>VLOOKUP($A130,'Data shares'!$C:$FB,67)</f>
        <v>10154400</v>
      </c>
      <c r="K130" s="50">
        <f t="shared" si="5"/>
        <v>34.536733799221224</v>
      </c>
      <c r="L130" s="50">
        <f>VLOOKUP($A130,'Data shares'!$C:$FB,118)</f>
        <v>0.8</v>
      </c>
      <c r="M130" s="50">
        <f>VLOOKUP($A130,'Data shares'!$C:$FB,119)</f>
        <v>0.89</v>
      </c>
      <c r="N130" s="50">
        <f>VLOOKUP($A130,'Data shares'!$C:$FB,121)*100</f>
        <v>-10.11</v>
      </c>
      <c r="O130" s="50">
        <f>VLOOKUP($A130,'Data shares'!$C:$FB,124)</f>
        <v>0.37</v>
      </c>
      <c r="P130" s="50">
        <f>VLOOKUP($A130,'Data shares'!$C:$FB,125)</f>
        <v>0.73</v>
      </c>
      <c r="Q130" s="50">
        <f>VLOOKUP($A130,'Data shares'!$C:$FB,127)*100</f>
        <v>-49.32</v>
      </c>
    </row>
    <row r="131" spans="1:17" x14ac:dyDescent="0.25">
      <c r="A131" s="97" t="str">
        <f>'Data Vlaue (Cr)'!C126</f>
        <v>MANAPPURAM</v>
      </c>
      <c r="B131" s="140">
        <f>VLOOKUP($A131,'Data shares'!$C:$FB,7)</f>
        <v>305.14999999999998</v>
      </c>
      <c r="C131" s="140">
        <f>VLOOKUP($A131,'Data shares'!$C:$FB,3)</f>
        <v>306.7</v>
      </c>
      <c r="D131" s="140">
        <f>VLOOKUP($A131,'Data shares'!$C:$FB,4)</f>
        <v>295.8</v>
      </c>
      <c r="E131" s="50">
        <f t="shared" si="3"/>
        <v>3.6849222447599654</v>
      </c>
      <c r="F131" s="49">
        <f>VLOOKUP($A131,'Data shares'!$C:$FB,98)</f>
        <v>74247000</v>
      </c>
      <c r="G131" s="49">
        <f>VLOOKUP($A131,'Data shares'!$C:$FB,99)</f>
        <v>67554000</v>
      </c>
      <c r="H131" s="50">
        <f t="shared" si="4"/>
        <v>9.9076294519939605</v>
      </c>
      <c r="I131" s="49">
        <f>VLOOKUP($A131,'Data shares'!$C:$FB,66)</f>
        <v>74253000</v>
      </c>
      <c r="J131" s="49">
        <f>VLOOKUP($A131,'Data shares'!$C:$FB,67)</f>
        <v>18120000</v>
      </c>
      <c r="K131" s="50">
        <f t="shared" si="5"/>
        <v>75.596945577956447</v>
      </c>
      <c r="L131" s="50">
        <f>VLOOKUP($A131,'Data shares'!$C:$FB,118)</f>
        <v>0.65</v>
      </c>
      <c r="M131" s="50">
        <f>VLOOKUP($A131,'Data shares'!$C:$FB,119)</f>
        <v>0.54</v>
      </c>
      <c r="N131" s="50">
        <f>VLOOKUP($A131,'Data shares'!$C:$FB,121)*100</f>
        <v>20.369999999999997</v>
      </c>
      <c r="O131" s="50">
        <f>VLOOKUP($A131,'Data shares'!$C:$FB,124)</f>
        <v>0.44</v>
      </c>
      <c r="P131" s="50">
        <f>VLOOKUP($A131,'Data shares'!$C:$FB,125)</f>
        <v>0.33</v>
      </c>
      <c r="Q131" s="50">
        <f>VLOOKUP($A131,'Data shares'!$C:$FB,127)*100</f>
        <v>33.33</v>
      </c>
    </row>
    <row r="132" spans="1:17" x14ac:dyDescent="0.25">
      <c r="A132" s="97" t="str">
        <f>'Data Vlaue (Cr)'!C127</f>
        <v>MANKIND</v>
      </c>
      <c r="B132" s="140">
        <f>VLOOKUP($A132,'Data shares'!$C:$FB,7)</f>
        <v>2257.8000000000002</v>
      </c>
      <c r="C132" s="140">
        <f>VLOOKUP($A132,'Data shares'!$C:$FB,3)</f>
        <v>2269.6</v>
      </c>
      <c r="D132" s="140">
        <f>VLOOKUP($A132,'Data shares'!$C:$FB,4)</f>
        <v>2252.1</v>
      </c>
      <c r="E132" s="50">
        <f t="shared" si="3"/>
        <v>0.77705252875094355</v>
      </c>
      <c r="F132" s="49">
        <f>VLOOKUP($A132,'Data shares'!$C:$FB,98)</f>
        <v>4412700</v>
      </c>
      <c r="G132" s="49">
        <f>VLOOKUP($A132,'Data shares'!$C:$FB,99)</f>
        <v>4209075</v>
      </c>
      <c r="H132" s="50">
        <f t="shared" si="4"/>
        <v>4.8377612658363178</v>
      </c>
      <c r="I132" s="49">
        <f>VLOOKUP($A132,'Data shares'!$C:$FB,66)</f>
        <v>1111725</v>
      </c>
      <c r="J132" s="49">
        <f>VLOOKUP($A132,'Data shares'!$C:$FB,67)</f>
        <v>446850</v>
      </c>
      <c r="K132" s="50">
        <f t="shared" si="5"/>
        <v>59.805707346690951</v>
      </c>
      <c r="L132" s="50">
        <f>VLOOKUP($A132,'Data shares'!$C:$FB,118)</f>
        <v>0.82</v>
      </c>
      <c r="M132" s="50">
        <f>VLOOKUP($A132,'Data shares'!$C:$FB,119)</f>
        <v>1.1299999999999999</v>
      </c>
      <c r="N132" s="50">
        <f>VLOOKUP($A132,'Data shares'!$C:$FB,121)*100</f>
        <v>-27.43</v>
      </c>
      <c r="O132" s="50">
        <f>VLOOKUP($A132,'Data shares'!$C:$FB,124)</f>
        <v>0.23</v>
      </c>
      <c r="P132" s="50">
        <f>VLOOKUP($A132,'Data shares'!$C:$FB,125)</f>
        <v>0.49</v>
      </c>
      <c r="Q132" s="50">
        <f>VLOOKUP($A132,'Data shares'!$C:$FB,127)*100</f>
        <v>-53.059999999999995</v>
      </c>
    </row>
    <row r="133" spans="1:17" x14ac:dyDescent="0.25">
      <c r="A133" s="97" t="str">
        <f>'Data Vlaue (Cr)'!C128</f>
        <v>MARICO</v>
      </c>
      <c r="B133" s="140">
        <f>VLOOKUP($A133,'Data shares'!$C:$FB,7)</f>
        <v>784.55</v>
      </c>
      <c r="C133" s="140">
        <f>VLOOKUP($A133,'Data shares'!$C:$FB,3)</f>
        <v>789</v>
      </c>
      <c r="D133" s="140">
        <f>VLOOKUP($A133,'Data shares'!$C:$FB,4)</f>
        <v>777.75</v>
      </c>
      <c r="E133" s="50">
        <f t="shared" si="3"/>
        <v>1.446480231436837</v>
      </c>
      <c r="F133" s="49">
        <f>VLOOKUP($A133,'Data shares'!$C:$FB,98)</f>
        <v>27924000</v>
      </c>
      <c r="G133" s="49">
        <f>VLOOKUP($A133,'Data shares'!$C:$FB,99)</f>
        <v>26574000</v>
      </c>
      <c r="H133" s="50">
        <f t="shared" si="4"/>
        <v>5.0801535335290131</v>
      </c>
      <c r="I133" s="49">
        <f>VLOOKUP($A133,'Data shares'!$C:$FB,66)</f>
        <v>7202400</v>
      </c>
      <c r="J133" s="49">
        <f>VLOOKUP($A133,'Data shares'!$C:$FB,67)</f>
        <v>6330000</v>
      </c>
      <c r="K133" s="50">
        <f t="shared" si="5"/>
        <v>12.112629123625458</v>
      </c>
      <c r="L133" s="50">
        <f>VLOOKUP($A133,'Data shares'!$C:$FB,118)</f>
        <v>0.8</v>
      </c>
      <c r="M133" s="50">
        <f>VLOOKUP($A133,'Data shares'!$C:$FB,119)</f>
        <v>0.79</v>
      </c>
      <c r="N133" s="50">
        <f>VLOOKUP($A133,'Data shares'!$C:$FB,121)*100</f>
        <v>1.27</v>
      </c>
      <c r="O133" s="50">
        <f>VLOOKUP($A133,'Data shares'!$C:$FB,124)</f>
        <v>0.82</v>
      </c>
      <c r="P133" s="50">
        <f>VLOOKUP($A133,'Data shares'!$C:$FB,125)</f>
        <v>0.6</v>
      </c>
      <c r="Q133" s="50">
        <f>VLOOKUP($A133,'Data shares'!$C:$FB,127)*100</f>
        <v>36.67</v>
      </c>
    </row>
    <row r="134" spans="1:17" x14ac:dyDescent="0.25">
      <c r="A134" s="97" t="str">
        <f>'Data Vlaue (Cr)'!C129</f>
        <v>MARUTI</v>
      </c>
      <c r="B134" s="140">
        <f>VLOOKUP($A134,'Data shares'!$C:$FB,7)</f>
        <v>13580</v>
      </c>
      <c r="C134" s="140">
        <f>VLOOKUP($A134,'Data shares'!$C:$FB,3)</f>
        <v>13656</v>
      </c>
      <c r="D134" s="140">
        <f>VLOOKUP($A134,'Data shares'!$C:$FB,4)</f>
        <v>13386</v>
      </c>
      <c r="E134" s="50">
        <f t="shared" si="3"/>
        <v>2.0170327207530256</v>
      </c>
      <c r="F134" s="49">
        <f>VLOOKUP($A134,'Data shares'!$C:$FB,98)</f>
        <v>5947550</v>
      </c>
      <c r="G134" s="49">
        <f>VLOOKUP($A134,'Data shares'!$C:$FB,99)</f>
        <v>5463600</v>
      </c>
      <c r="H134" s="50">
        <f t="shared" si="4"/>
        <v>8.8577128633135658</v>
      </c>
      <c r="I134" s="49">
        <f>VLOOKUP($A134,'Data shares'!$C:$FB,66)</f>
        <v>10811400</v>
      </c>
      <c r="J134" s="49">
        <f>VLOOKUP($A134,'Data shares'!$C:$FB,67)</f>
        <v>5926200</v>
      </c>
      <c r="K134" s="50">
        <f t="shared" si="5"/>
        <v>45.185637382762636</v>
      </c>
      <c r="L134" s="50">
        <f>VLOOKUP($A134,'Data shares'!$C:$FB,118)</f>
        <v>0.5</v>
      </c>
      <c r="M134" s="50">
        <f>VLOOKUP($A134,'Data shares'!$C:$FB,119)</f>
        <v>0.47</v>
      </c>
      <c r="N134" s="50">
        <f>VLOOKUP($A134,'Data shares'!$C:$FB,121)*100</f>
        <v>6.38</v>
      </c>
      <c r="O134" s="50">
        <f>VLOOKUP($A134,'Data shares'!$C:$FB,124)</f>
        <v>0.51</v>
      </c>
      <c r="P134" s="50">
        <f>VLOOKUP($A134,'Data shares'!$C:$FB,125)</f>
        <v>0.52</v>
      </c>
      <c r="Q134" s="50">
        <f>VLOOKUP($A134,'Data shares'!$C:$FB,127)*100</f>
        <v>-1.92</v>
      </c>
    </row>
    <row r="135" spans="1:17" x14ac:dyDescent="0.25">
      <c r="A135" s="97" t="str">
        <f>'Data Vlaue (Cr)'!C130</f>
        <v>MAXHEALTH</v>
      </c>
      <c r="B135" s="140">
        <f>VLOOKUP($A135,'Data shares'!$C:$FB,7)</f>
        <v>1011.55</v>
      </c>
      <c r="C135" s="140">
        <f>VLOOKUP($A135,'Data shares'!$C:$FB,3)</f>
        <v>1017.65</v>
      </c>
      <c r="D135" s="140">
        <f>VLOOKUP($A135,'Data shares'!$C:$FB,4)</f>
        <v>998.95</v>
      </c>
      <c r="E135" s="50">
        <f t="shared" si="3"/>
        <v>1.8719655638420274</v>
      </c>
      <c r="F135" s="49">
        <f>VLOOKUP($A135,'Data shares'!$C:$FB,98)</f>
        <v>16648800</v>
      </c>
      <c r="G135" s="49">
        <f>VLOOKUP($A135,'Data shares'!$C:$FB,99)</f>
        <v>15876000</v>
      </c>
      <c r="H135" s="50">
        <f t="shared" si="4"/>
        <v>4.8677248677248679</v>
      </c>
      <c r="I135" s="49">
        <f>VLOOKUP($A135,'Data shares'!$C:$FB,66)</f>
        <v>6404475</v>
      </c>
      <c r="J135" s="49">
        <f>VLOOKUP($A135,'Data shares'!$C:$FB,67)</f>
        <v>5383875</v>
      </c>
      <c r="K135" s="50">
        <f t="shared" si="5"/>
        <v>15.935732437085006</v>
      </c>
      <c r="L135" s="50">
        <f>VLOOKUP($A135,'Data shares'!$C:$FB,118)</f>
        <v>0.64</v>
      </c>
      <c r="M135" s="50">
        <f>VLOOKUP($A135,'Data shares'!$C:$FB,119)</f>
        <v>0.56000000000000005</v>
      </c>
      <c r="N135" s="50">
        <f>VLOOKUP($A135,'Data shares'!$C:$FB,121)*100</f>
        <v>14.29</v>
      </c>
      <c r="O135" s="50">
        <f>VLOOKUP($A135,'Data shares'!$C:$FB,124)</f>
        <v>0.5</v>
      </c>
      <c r="P135" s="50">
        <f>VLOOKUP($A135,'Data shares'!$C:$FB,125)</f>
        <v>0.69</v>
      </c>
      <c r="Q135" s="50">
        <f>VLOOKUP($A135,'Data shares'!$C:$FB,127)*100</f>
        <v>-27.54</v>
      </c>
    </row>
    <row r="136" spans="1:17" x14ac:dyDescent="0.25">
      <c r="A136" s="97" t="str">
        <f>'Data Vlaue (Cr)'!C131</f>
        <v>MAZDOCK</v>
      </c>
      <c r="B136" s="140">
        <f>VLOOKUP($A136,'Data shares'!$C:$FB,7)</f>
        <v>2611.6</v>
      </c>
      <c r="C136" s="140">
        <f>VLOOKUP($A136,'Data shares'!$C:$FB,3)</f>
        <v>2625.2</v>
      </c>
      <c r="D136" s="140">
        <f>VLOOKUP($A136,'Data shares'!$C:$FB,4)</f>
        <v>2742.2</v>
      </c>
      <c r="E136" s="50">
        <f t="shared" ref="E136:E172" si="6">(C136-D136)/D136*100</f>
        <v>-4.2666472175625412</v>
      </c>
      <c r="F136" s="49">
        <f>VLOOKUP($A136,'Data shares'!$C:$FB,98)</f>
        <v>11171950</v>
      </c>
      <c r="G136" s="49">
        <f>VLOOKUP($A136,'Data shares'!$C:$FB,99)</f>
        <v>8303425</v>
      </c>
      <c r="H136" s="50">
        <f t="shared" ref="H136:H172" si="7">(F136-G136)/G136*100</f>
        <v>34.546286622688832</v>
      </c>
      <c r="I136" s="49">
        <f>VLOOKUP($A136,'Data shares'!$C:$FB,66)</f>
        <v>17192000</v>
      </c>
      <c r="J136" s="49">
        <f>VLOOKUP($A136,'Data shares'!$C:$FB,67)</f>
        <v>6613200</v>
      </c>
      <c r="K136" s="50">
        <f t="shared" ref="K136:K172" si="8">(I136-J136)/I136*100</f>
        <v>61.533271288971612</v>
      </c>
      <c r="L136" s="50">
        <f>VLOOKUP($A136,'Data shares'!$C:$FB,118)</f>
        <v>0.39</v>
      </c>
      <c r="M136" s="50">
        <f>VLOOKUP($A136,'Data shares'!$C:$FB,119)</f>
        <v>0.49</v>
      </c>
      <c r="N136" s="50">
        <f>VLOOKUP($A136,'Data shares'!$C:$FB,121)*100</f>
        <v>-20.41</v>
      </c>
      <c r="O136" s="50">
        <f>VLOOKUP($A136,'Data shares'!$C:$FB,124)</f>
        <v>0.39</v>
      </c>
      <c r="P136" s="50">
        <f>VLOOKUP($A136,'Data shares'!$C:$FB,125)</f>
        <v>0.36</v>
      </c>
      <c r="Q136" s="50">
        <f>VLOOKUP($A136,'Data shares'!$C:$FB,127)*100</f>
        <v>8.33</v>
      </c>
    </row>
    <row r="137" spans="1:17" x14ac:dyDescent="0.25">
      <c r="A137" s="97" t="str">
        <f>'Data Vlaue (Cr)'!C132</f>
        <v>MCX</v>
      </c>
      <c r="B137" s="140">
        <f>VLOOKUP($A137,'Data shares'!$C:$FB,7)</f>
        <v>2912.9</v>
      </c>
      <c r="C137" s="140">
        <f>VLOOKUP($A137,'Data shares'!$C:$FB,3)</f>
        <v>2929.5</v>
      </c>
      <c r="D137" s="140">
        <f>VLOOKUP($A137,'Data shares'!$C:$FB,4)</f>
        <v>2981</v>
      </c>
      <c r="E137" s="50">
        <f t="shared" si="6"/>
        <v>-1.7276081851727607</v>
      </c>
      <c r="F137" s="49">
        <f>VLOOKUP($A137,'Data shares'!$C:$FB,98)</f>
        <v>20730625</v>
      </c>
      <c r="G137" s="49">
        <f>VLOOKUP($A137,'Data shares'!$C:$FB,99)</f>
        <v>19623150</v>
      </c>
      <c r="H137" s="50">
        <f t="shared" si="7"/>
        <v>5.6437167325327486</v>
      </c>
      <c r="I137" s="49">
        <f>VLOOKUP($A137,'Data shares'!$C:$FB,66)</f>
        <v>22602500</v>
      </c>
      <c r="J137" s="49">
        <f>VLOOKUP($A137,'Data shares'!$C:$FB,67)</f>
        <v>17009375</v>
      </c>
      <c r="K137" s="50">
        <f t="shared" si="8"/>
        <v>24.745603362459907</v>
      </c>
      <c r="L137" s="50">
        <f>VLOOKUP($A137,'Data shares'!$C:$FB,118)</f>
        <v>0.72</v>
      </c>
      <c r="M137" s="50">
        <f>VLOOKUP($A137,'Data shares'!$C:$FB,119)</f>
        <v>0.76</v>
      </c>
      <c r="N137" s="50">
        <f>VLOOKUP($A137,'Data shares'!$C:$FB,121)*100</f>
        <v>-5.26</v>
      </c>
      <c r="O137" s="50">
        <f>VLOOKUP($A137,'Data shares'!$C:$FB,124)</f>
        <v>0.72</v>
      </c>
      <c r="P137" s="50">
        <f>VLOOKUP($A137,'Data shares'!$C:$FB,125)</f>
        <v>0.69</v>
      </c>
      <c r="Q137" s="50">
        <f>VLOOKUP($A137,'Data shares'!$C:$FB,127)*100</f>
        <v>4.3499999999999996</v>
      </c>
    </row>
    <row r="138" spans="1:17" x14ac:dyDescent="0.25">
      <c r="A138" s="97" t="str">
        <f>'Data Vlaue (Cr)'!C133</f>
        <v>MFSL</v>
      </c>
      <c r="B138" s="140">
        <f>VLOOKUP($A138,'Data shares'!$C:$FB,7)</f>
        <v>1606.7</v>
      </c>
      <c r="C138" s="140">
        <f>VLOOKUP($A138,'Data shares'!$C:$FB,3)</f>
        <v>1615.1</v>
      </c>
      <c r="D138" s="140">
        <f>VLOOKUP($A138,'Data shares'!$C:$FB,4)</f>
        <v>1595.1</v>
      </c>
      <c r="E138" s="50">
        <f t="shared" si="6"/>
        <v>1.2538398846467307</v>
      </c>
      <c r="F138" s="49">
        <f>VLOOKUP($A138,'Data shares'!$C:$FB,98)</f>
        <v>9849600</v>
      </c>
      <c r="G138" s="49">
        <f>VLOOKUP($A138,'Data shares'!$C:$FB,99)</f>
        <v>9666800</v>
      </c>
      <c r="H138" s="50">
        <f t="shared" si="7"/>
        <v>1.8910083998841396</v>
      </c>
      <c r="I138" s="49">
        <f>VLOOKUP($A138,'Data shares'!$C:$FB,66)</f>
        <v>1053600</v>
      </c>
      <c r="J138" s="49">
        <f>VLOOKUP($A138,'Data shares'!$C:$FB,67)</f>
        <v>551200</v>
      </c>
      <c r="K138" s="50">
        <f t="shared" si="8"/>
        <v>47.684130599848139</v>
      </c>
      <c r="L138" s="50">
        <f>VLOOKUP($A138,'Data shares'!$C:$FB,118)</f>
        <v>0.85</v>
      </c>
      <c r="M138" s="50">
        <f>VLOOKUP($A138,'Data shares'!$C:$FB,119)</f>
        <v>1.19</v>
      </c>
      <c r="N138" s="50">
        <f>VLOOKUP($A138,'Data shares'!$C:$FB,121)*100</f>
        <v>-28.57</v>
      </c>
      <c r="O138" s="50">
        <f>VLOOKUP($A138,'Data shares'!$C:$FB,124)</f>
        <v>0.32</v>
      </c>
      <c r="P138" s="50">
        <f>VLOOKUP($A138,'Data shares'!$C:$FB,125)</f>
        <v>0.41</v>
      </c>
      <c r="Q138" s="50">
        <f>VLOOKUP($A138,'Data shares'!$C:$FB,127)*100</f>
        <v>-21.95</v>
      </c>
    </row>
    <row r="139" spans="1:17" x14ac:dyDescent="0.25">
      <c r="A139" s="97" t="str">
        <f>'Data Vlaue (Cr)'!C134</f>
        <v>MIDCPNIFTY</v>
      </c>
      <c r="B139" s="140">
        <f>VLOOKUP($A139,'Data shares'!$C:$FB,7)</f>
        <v>13930.2</v>
      </c>
      <c r="C139" s="140">
        <f>VLOOKUP($A139,'Data shares'!$C:$FB,3)</f>
        <v>13964.65</v>
      </c>
      <c r="D139" s="140">
        <f>VLOOKUP($A139,'Data shares'!$C:$FB,4)</f>
        <v>13879.65</v>
      </c>
      <c r="E139" s="50">
        <f t="shared" si="6"/>
        <v>0.61240737338477558</v>
      </c>
      <c r="F139" s="49">
        <f>VLOOKUP($A139,'Data shares'!$C:$FB,98)</f>
        <v>9549720</v>
      </c>
      <c r="G139" s="49">
        <f>VLOOKUP($A139,'Data shares'!$C:$FB,99)</f>
        <v>8384760</v>
      </c>
      <c r="H139" s="50">
        <f t="shared" si="7"/>
        <v>13.893778712807523</v>
      </c>
      <c r="I139" s="49">
        <f>VLOOKUP($A139,'Data shares'!$C:$FB,66)</f>
        <v>13769160</v>
      </c>
      <c r="J139" s="49">
        <f>VLOOKUP($A139,'Data shares'!$C:$FB,67)</f>
        <v>13611120</v>
      </c>
      <c r="K139" s="50">
        <f t="shared" si="8"/>
        <v>1.1477824355298363</v>
      </c>
      <c r="L139" s="50">
        <f>VLOOKUP($A139,'Data shares'!$C:$FB,118)</f>
        <v>1.1299999999999999</v>
      </c>
      <c r="M139" s="50">
        <f>VLOOKUP($A139,'Data shares'!$C:$FB,119)</f>
        <v>1.03</v>
      </c>
      <c r="N139" s="50">
        <f>VLOOKUP($A139,'Data shares'!$C:$FB,121)*100</f>
        <v>9.7100000000000009</v>
      </c>
      <c r="O139" s="50">
        <f>VLOOKUP($A139,'Data shares'!$C:$FB,124)</f>
        <v>1</v>
      </c>
      <c r="P139" s="50">
        <f>VLOOKUP($A139,'Data shares'!$C:$FB,125)</f>
        <v>0.79</v>
      </c>
      <c r="Q139" s="50">
        <f>VLOOKUP($A139,'Data shares'!$C:$FB,127)*100</f>
        <v>26.58</v>
      </c>
    </row>
    <row r="140" spans="1:17" x14ac:dyDescent="0.25">
      <c r="A140" s="97" t="str">
        <f>'Data Vlaue (Cr)'!C135</f>
        <v>MOTHERSON</v>
      </c>
      <c r="B140" s="140">
        <f>VLOOKUP($A140,'Data shares'!$C:$FB,7)</f>
        <v>120.21</v>
      </c>
      <c r="C140" s="140">
        <f>VLOOKUP($A140,'Data shares'!$C:$FB,3)</f>
        <v>120.79</v>
      </c>
      <c r="D140" s="140">
        <f>VLOOKUP($A140,'Data shares'!$C:$FB,4)</f>
        <v>121.92</v>
      </c>
      <c r="E140" s="50">
        <f t="shared" si="6"/>
        <v>-0.92683727034120356</v>
      </c>
      <c r="F140" s="49">
        <f>VLOOKUP($A140,'Data shares'!$C:$FB,98)</f>
        <v>178860450</v>
      </c>
      <c r="G140" s="49">
        <f>VLOOKUP($A140,'Data shares'!$C:$FB,99)</f>
        <v>174407850</v>
      </c>
      <c r="H140" s="50">
        <f t="shared" si="7"/>
        <v>2.5529814168341618</v>
      </c>
      <c r="I140" s="49">
        <f>VLOOKUP($A140,'Data shares'!$C:$FB,66)</f>
        <v>33511350</v>
      </c>
      <c r="J140" s="49">
        <f>VLOOKUP($A140,'Data shares'!$C:$FB,67)</f>
        <v>59224500</v>
      </c>
      <c r="K140" s="50">
        <f t="shared" si="8"/>
        <v>-76.729675169755922</v>
      </c>
      <c r="L140" s="50">
        <f>VLOOKUP($A140,'Data shares'!$C:$FB,118)</f>
        <v>0.66</v>
      </c>
      <c r="M140" s="50">
        <f>VLOOKUP($A140,'Data shares'!$C:$FB,119)</f>
        <v>0.72</v>
      </c>
      <c r="N140" s="50">
        <f>VLOOKUP($A140,'Data shares'!$C:$FB,121)*100</f>
        <v>-8.33</v>
      </c>
      <c r="O140" s="50">
        <f>VLOOKUP($A140,'Data shares'!$C:$FB,124)</f>
        <v>0.44</v>
      </c>
      <c r="P140" s="50">
        <f>VLOOKUP($A140,'Data shares'!$C:$FB,125)</f>
        <v>0.56999999999999995</v>
      </c>
      <c r="Q140" s="50">
        <f>VLOOKUP($A140,'Data shares'!$C:$FB,127)*100</f>
        <v>-22.81</v>
      </c>
    </row>
    <row r="141" spans="1:17" x14ac:dyDescent="0.25">
      <c r="A141" s="97" t="str">
        <f>'Data Vlaue (Cr)'!C136</f>
        <v>MOTILALOFS</v>
      </c>
      <c r="B141" s="140">
        <f>VLOOKUP($A141,'Data shares'!$C:$FB,7)</f>
        <v>836.6</v>
      </c>
      <c r="C141" s="140">
        <f>VLOOKUP($A141,'Data shares'!$C:$FB,3)</f>
        <v>840.45</v>
      </c>
      <c r="D141" s="140">
        <f>VLOOKUP($A141,'Data shares'!$C:$FB,4)</f>
        <v>805.15</v>
      </c>
      <c r="E141" s="50">
        <f t="shared" si="6"/>
        <v>4.3842762218220299</v>
      </c>
      <c r="F141" s="49">
        <f>VLOOKUP($A141,'Data shares'!$C:$FB,98)</f>
        <v>6244175</v>
      </c>
      <c r="G141" s="49">
        <f>VLOOKUP($A141,'Data shares'!$C:$FB,99)</f>
        <v>5953550</v>
      </c>
      <c r="H141" s="50">
        <f t="shared" si="7"/>
        <v>4.8815412652954953</v>
      </c>
      <c r="I141" s="49">
        <f>VLOOKUP($A141,'Data shares'!$C:$FB,66)</f>
        <v>8339000</v>
      </c>
      <c r="J141" s="49">
        <f>VLOOKUP($A141,'Data shares'!$C:$FB,67)</f>
        <v>16047150</v>
      </c>
      <c r="K141" s="50">
        <f t="shared" si="8"/>
        <v>-92.434944237918216</v>
      </c>
      <c r="L141" s="50">
        <f>VLOOKUP($A141,'Data shares'!$C:$FB,118)</f>
        <v>0.67</v>
      </c>
      <c r="M141" s="50">
        <f>VLOOKUP($A141,'Data shares'!$C:$FB,119)</f>
        <v>0.74</v>
      </c>
      <c r="N141" s="50">
        <f>VLOOKUP($A141,'Data shares'!$C:$FB,121)*100</f>
        <v>-9.4600000000000009</v>
      </c>
      <c r="O141" s="50">
        <f>VLOOKUP($A141,'Data shares'!$C:$FB,124)</f>
        <v>0.24</v>
      </c>
      <c r="P141" s="50">
        <f>VLOOKUP($A141,'Data shares'!$C:$FB,125)</f>
        <v>0.41</v>
      </c>
      <c r="Q141" s="50">
        <f>VLOOKUP($A141,'Data shares'!$C:$FB,127)*100</f>
        <v>-41.46</v>
      </c>
    </row>
    <row r="142" spans="1:17" x14ac:dyDescent="0.25">
      <c r="A142" s="97" t="str">
        <f>'Data Vlaue (Cr)'!C137</f>
        <v>MPHASIS</v>
      </c>
      <c r="B142" s="140">
        <f>VLOOKUP($A142,'Data shares'!$C:$FB,7)</f>
        <v>2276.6</v>
      </c>
      <c r="C142" s="140">
        <f>VLOOKUP($A142,'Data shares'!$C:$FB,3)</f>
        <v>2284</v>
      </c>
      <c r="D142" s="140">
        <f>VLOOKUP($A142,'Data shares'!$C:$FB,4)</f>
        <v>2288.8000000000002</v>
      </c>
      <c r="E142" s="50">
        <f t="shared" si="6"/>
        <v>-0.20971688220902573</v>
      </c>
      <c r="F142" s="49">
        <f>VLOOKUP($A142,'Data shares'!$C:$FB,98)</f>
        <v>7153300</v>
      </c>
      <c r="G142" s="49">
        <f>VLOOKUP($A142,'Data shares'!$C:$FB,99)</f>
        <v>7349100</v>
      </c>
      <c r="H142" s="50">
        <f t="shared" si="7"/>
        <v>-2.6642718155964675</v>
      </c>
      <c r="I142" s="49">
        <f>VLOOKUP($A142,'Data shares'!$C:$FB,66)</f>
        <v>2750825</v>
      </c>
      <c r="J142" s="49">
        <f>VLOOKUP($A142,'Data shares'!$C:$FB,67)</f>
        <v>17318400</v>
      </c>
      <c r="K142" s="50">
        <f t="shared" si="8"/>
        <v>-529.57112866140164</v>
      </c>
      <c r="L142" s="50">
        <f>VLOOKUP($A142,'Data shares'!$C:$FB,118)</f>
        <v>0.68</v>
      </c>
      <c r="M142" s="50">
        <f>VLOOKUP($A142,'Data shares'!$C:$FB,119)</f>
        <v>0.68</v>
      </c>
      <c r="N142" s="50">
        <f>VLOOKUP($A142,'Data shares'!$C:$FB,121)*100</f>
        <v>0</v>
      </c>
      <c r="O142" s="50">
        <f>VLOOKUP($A142,'Data shares'!$C:$FB,124)</f>
        <v>0.49</v>
      </c>
      <c r="P142" s="50">
        <f>VLOOKUP($A142,'Data shares'!$C:$FB,125)</f>
        <v>0.45</v>
      </c>
      <c r="Q142" s="50">
        <f>VLOOKUP($A142,'Data shares'!$C:$FB,127)*100</f>
        <v>8.89</v>
      </c>
    </row>
    <row r="143" spans="1:17" x14ac:dyDescent="0.25">
      <c r="A143" s="97" t="str">
        <f>'Data Vlaue (Cr)'!C138</f>
        <v>MUTHOOTFIN</v>
      </c>
      <c r="B143" s="140">
        <f>VLOOKUP($A143,'Data shares'!$C:$FB,7)</f>
        <v>3487.7</v>
      </c>
      <c r="C143" s="140">
        <f>VLOOKUP($A143,'Data shares'!$C:$FB,3)</f>
        <v>3503.9</v>
      </c>
      <c r="D143" s="140">
        <f>VLOOKUP($A143,'Data shares'!$C:$FB,4)</f>
        <v>3444.4</v>
      </c>
      <c r="E143" s="50">
        <f t="shared" si="6"/>
        <v>1.7274416444083149</v>
      </c>
      <c r="F143" s="49">
        <f>VLOOKUP($A143,'Data shares'!$C:$FB,98)</f>
        <v>5396600</v>
      </c>
      <c r="G143" s="49">
        <f>VLOOKUP($A143,'Data shares'!$C:$FB,99)</f>
        <v>5114450</v>
      </c>
      <c r="H143" s="50">
        <f t="shared" si="7"/>
        <v>5.5167222281965795</v>
      </c>
      <c r="I143" s="49">
        <f>VLOOKUP($A143,'Data shares'!$C:$FB,66)</f>
        <v>2223925</v>
      </c>
      <c r="J143" s="49">
        <f>VLOOKUP($A143,'Data shares'!$C:$FB,67)</f>
        <v>1442650</v>
      </c>
      <c r="K143" s="50">
        <f t="shared" si="8"/>
        <v>35.130456287869421</v>
      </c>
      <c r="L143" s="50">
        <f>VLOOKUP($A143,'Data shares'!$C:$FB,118)</f>
        <v>0.68</v>
      </c>
      <c r="M143" s="50">
        <f>VLOOKUP($A143,'Data shares'!$C:$FB,119)</f>
        <v>0.77</v>
      </c>
      <c r="N143" s="50">
        <f>VLOOKUP($A143,'Data shares'!$C:$FB,121)*100</f>
        <v>-11.690000000000001</v>
      </c>
      <c r="O143" s="50">
        <f>VLOOKUP($A143,'Data shares'!$C:$FB,124)</f>
        <v>0.31</v>
      </c>
      <c r="P143" s="50">
        <f>VLOOKUP($A143,'Data shares'!$C:$FB,125)</f>
        <v>0.74</v>
      </c>
      <c r="Q143" s="50">
        <f>VLOOKUP($A143,'Data shares'!$C:$FB,127)*100</f>
        <v>-58.109999999999992</v>
      </c>
    </row>
    <row r="144" spans="1:17" x14ac:dyDescent="0.25">
      <c r="A144" s="97" t="str">
        <f>'Data Vlaue (Cr)'!C139</f>
        <v>NAM-INDIA</v>
      </c>
      <c r="B144" s="140">
        <f>VLOOKUP($A144,'Data shares'!$C:$FB,7)</f>
        <v>1019.3</v>
      </c>
      <c r="C144" s="140">
        <f>VLOOKUP($A144,'Data shares'!$C:$FB,3)</f>
        <v>1021.6</v>
      </c>
      <c r="D144" s="140">
        <f>VLOOKUP($A144,'Data shares'!$C:$FB,4)</f>
        <v>1014.05</v>
      </c>
      <c r="E144" s="50">
        <f t="shared" si="6"/>
        <v>0.7445392239041535</v>
      </c>
      <c r="F144" s="49">
        <f>VLOOKUP($A144,'Data shares'!$C:$FB,98)</f>
        <v>5109375</v>
      </c>
      <c r="G144" s="49">
        <f>VLOOKUP($A144,'Data shares'!$C:$FB,99)</f>
        <v>5000625</v>
      </c>
      <c r="H144" s="50">
        <f t="shared" si="7"/>
        <v>2.1747281589801273</v>
      </c>
      <c r="I144" s="49">
        <f>VLOOKUP($A144,'Data shares'!$C:$FB,66)</f>
        <v>1692500</v>
      </c>
      <c r="J144" s="49">
        <f>VLOOKUP($A144,'Data shares'!$C:$FB,67)</f>
        <v>3342500</v>
      </c>
      <c r="K144" s="50">
        <f t="shared" si="8"/>
        <v>-97.488921713441655</v>
      </c>
      <c r="L144" s="50">
        <f>VLOOKUP($A144,'Data shares'!$C:$FB,118)</f>
        <v>0.45</v>
      </c>
      <c r="M144" s="50">
        <f>VLOOKUP($A144,'Data shares'!$C:$FB,119)</f>
        <v>0.55000000000000004</v>
      </c>
      <c r="N144" s="50">
        <f>VLOOKUP($A144,'Data shares'!$C:$FB,121)*100</f>
        <v>-18.18</v>
      </c>
      <c r="O144" s="50">
        <f>VLOOKUP($A144,'Data shares'!$C:$FB,124)</f>
        <v>0.24</v>
      </c>
      <c r="P144" s="50">
        <f>VLOOKUP($A144,'Data shares'!$C:$FB,125)</f>
        <v>0.41</v>
      </c>
      <c r="Q144" s="50">
        <f>VLOOKUP($A144,'Data shares'!$C:$FB,127)*100</f>
        <v>-41.46</v>
      </c>
    </row>
    <row r="145" spans="1:17" x14ac:dyDescent="0.25">
      <c r="A145" s="97" t="str">
        <f>'Data Vlaue (Cr)'!C140</f>
        <v>NATIONALUM</v>
      </c>
      <c r="B145" s="140">
        <f>VLOOKUP($A145,'Data shares'!$C:$FB,7)</f>
        <v>407.8</v>
      </c>
      <c r="C145" s="140">
        <f>VLOOKUP($A145,'Data shares'!$C:$FB,3)</f>
        <v>408.85</v>
      </c>
      <c r="D145" s="140">
        <f>VLOOKUP($A145,'Data shares'!$C:$FB,4)</f>
        <v>398.45</v>
      </c>
      <c r="E145" s="50">
        <f t="shared" si="6"/>
        <v>2.6101141924959306</v>
      </c>
      <c r="F145" s="49">
        <f>VLOOKUP($A145,'Data shares'!$C:$FB,98)</f>
        <v>95660625</v>
      </c>
      <c r="G145" s="49">
        <f>VLOOKUP($A145,'Data shares'!$C:$FB,99)</f>
        <v>91365000</v>
      </c>
      <c r="H145" s="50">
        <f t="shared" si="7"/>
        <v>4.7016089312099822</v>
      </c>
      <c r="I145" s="49">
        <f>VLOOKUP($A145,'Data shares'!$C:$FB,66)</f>
        <v>99039375</v>
      </c>
      <c r="J145" s="49">
        <f>VLOOKUP($A145,'Data shares'!$C:$FB,67)</f>
        <v>124876875</v>
      </c>
      <c r="K145" s="50">
        <f t="shared" si="8"/>
        <v>-26.088108896082996</v>
      </c>
      <c r="L145" s="50">
        <f>VLOOKUP($A145,'Data shares'!$C:$FB,118)</f>
        <v>0.56000000000000005</v>
      </c>
      <c r="M145" s="50">
        <f>VLOOKUP($A145,'Data shares'!$C:$FB,119)</f>
        <v>0.57999999999999996</v>
      </c>
      <c r="N145" s="50">
        <f>VLOOKUP($A145,'Data shares'!$C:$FB,121)*100</f>
        <v>-3.45</v>
      </c>
      <c r="O145" s="50">
        <f>VLOOKUP($A145,'Data shares'!$C:$FB,124)</f>
        <v>0.45</v>
      </c>
      <c r="P145" s="50">
        <f>VLOOKUP($A145,'Data shares'!$C:$FB,125)</f>
        <v>0.75</v>
      </c>
      <c r="Q145" s="50">
        <f>VLOOKUP($A145,'Data shares'!$C:$FB,127)*100</f>
        <v>-40</v>
      </c>
    </row>
    <row r="146" spans="1:17" x14ac:dyDescent="0.25">
      <c r="A146" s="97" t="str">
        <f>'Data Vlaue (Cr)'!C141</f>
        <v>NAUKRI</v>
      </c>
      <c r="B146" s="140">
        <f>VLOOKUP($A146,'Data shares'!$C:$FB,7)</f>
        <v>976.65</v>
      </c>
      <c r="C146" s="140">
        <f>VLOOKUP($A146,'Data shares'!$C:$FB,3)</f>
        <v>982.25</v>
      </c>
      <c r="D146" s="140">
        <f>VLOOKUP($A146,'Data shares'!$C:$FB,4)</f>
        <v>978.2</v>
      </c>
      <c r="E146" s="50">
        <f t="shared" si="6"/>
        <v>0.41402576160293958</v>
      </c>
      <c r="F146" s="49">
        <f>VLOOKUP($A146,'Data shares'!$C:$FB,98)</f>
        <v>13502450</v>
      </c>
      <c r="G146" s="49">
        <f>VLOOKUP($A146,'Data shares'!$C:$FB,99)</f>
        <v>13392200</v>
      </c>
      <c r="H146" s="50">
        <f t="shared" si="7"/>
        <v>0.82324039366198232</v>
      </c>
      <c r="I146" s="49">
        <f>VLOOKUP($A146,'Data shares'!$C:$FB,66)</f>
        <v>2520375</v>
      </c>
      <c r="J146" s="49">
        <f>VLOOKUP($A146,'Data shares'!$C:$FB,67)</f>
        <v>4059000</v>
      </c>
      <c r="K146" s="50">
        <f t="shared" si="8"/>
        <v>-61.047463175122751</v>
      </c>
      <c r="L146" s="50">
        <f>VLOOKUP($A146,'Data shares'!$C:$FB,118)</f>
        <v>0.44</v>
      </c>
      <c r="M146" s="50">
        <f>VLOOKUP($A146,'Data shares'!$C:$FB,119)</f>
        <v>0.46</v>
      </c>
      <c r="N146" s="50">
        <f>VLOOKUP($A146,'Data shares'!$C:$FB,121)*100</f>
        <v>-4.3499999999999996</v>
      </c>
      <c r="O146" s="50">
        <f>VLOOKUP($A146,'Data shares'!$C:$FB,124)</f>
        <v>0.25</v>
      </c>
      <c r="P146" s="50">
        <f>VLOOKUP($A146,'Data shares'!$C:$FB,125)</f>
        <v>0.53</v>
      </c>
      <c r="Q146" s="50">
        <f>VLOOKUP($A146,'Data shares'!$C:$FB,127)*100</f>
        <v>-52.83</v>
      </c>
    </row>
    <row r="147" spans="1:17" x14ac:dyDescent="0.25">
      <c r="A147" s="97" t="str">
        <f>'Data Vlaue (Cr)'!C142</f>
        <v>NBCC</v>
      </c>
      <c r="B147" s="140">
        <f>VLOOKUP($A147,'Data shares'!$C:$FB,7)</f>
        <v>92.52</v>
      </c>
      <c r="C147" s="140">
        <f>VLOOKUP($A147,'Data shares'!$C:$FB,3)</f>
        <v>93.17</v>
      </c>
      <c r="D147" s="140">
        <f>VLOOKUP($A147,'Data shares'!$C:$FB,4)</f>
        <v>92.22</v>
      </c>
      <c r="E147" s="50">
        <f t="shared" si="6"/>
        <v>1.0301453047061406</v>
      </c>
      <c r="F147" s="49">
        <f>VLOOKUP($A147,'Data shares'!$C:$FB,98)</f>
        <v>100165000</v>
      </c>
      <c r="G147" s="49">
        <f>VLOOKUP($A147,'Data shares'!$C:$FB,99)</f>
        <v>95784000</v>
      </c>
      <c r="H147" s="50">
        <f t="shared" si="7"/>
        <v>4.5738327904451683</v>
      </c>
      <c r="I147" s="49">
        <f>VLOOKUP($A147,'Data shares'!$C:$FB,66)</f>
        <v>20065500</v>
      </c>
      <c r="J147" s="49">
        <f>VLOOKUP($A147,'Data shares'!$C:$FB,67)</f>
        <v>26182000</v>
      </c>
      <c r="K147" s="50">
        <f t="shared" si="8"/>
        <v>-30.482669258179463</v>
      </c>
      <c r="L147" s="50">
        <f>VLOOKUP($A147,'Data shares'!$C:$FB,118)</f>
        <v>0.8</v>
      </c>
      <c r="M147" s="50">
        <f>VLOOKUP($A147,'Data shares'!$C:$FB,119)</f>
        <v>0.79</v>
      </c>
      <c r="N147" s="50">
        <f>VLOOKUP($A147,'Data shares'!$C:$FB,121)*100</f>
        <v>1.27</v>
      </c>
      <c r="O147" s="50">
        <f>VLOOKUP($A147,'Data shares'!$C:$FB,124)</f>
        <v>0.57999999999999996</v>
      </c>
      <c r="P147" s="50">
        <f>VLOOKUP($A147,'Data shares'!$C:$FB,125)</f>
        <v>0.61</v>
      </c>
      <c r="Q147" s="50">
        <f>VLOOKUP($A147,'Data shares'!$C:$FB,127)*100</f>
        <v>-4.92</v>
      </c>
    </row>
    <row r="148" spans="1:17" x14ac:dyDescent="0.25">
      <c r="A148" s="97" t="str">
        <f>'Data Vlaue (Cr)'!C143</f>
        <v>NESTLEIND</v>
      </c>
      <c r="B148" s="140">
        <f>VLOOKUP($A148,'Data shares'!$C:$FB,7)</f>
        <v>1457.1</v>
      </c>
      <c r="C148" s="140">
        <f>VLOOKUP($A148,'Data shares'!$C:$FB,3)</f>
        <v>1460.1</v>
      </c>
      <c r="D148" s="140">
        <f>VLOOKUP($A148,'Data shares'!$C:$FB,4)</f>
        <v>1462.1</v>
      </c>
      <c r="E148" s="50">
        <f t="shared" si="6"/>
        <v>-0.13678954927843515</v>
      </c>
      <c r="F148" s="49">
        <f>VLOOKUP($A148,'Data shares'!$C:$FB,98)</f>
        <v>21420500</v>
      </c>
      <c r="G148" s="49">
        <f>VLOOKUP($A148,'Data shares'!$C:$FB,99)</f>
        <v>21296500</v>
      </c>
      <c r="H148" s="50">
        <f t="shared" si="7"/>
        <v>0.58225530016669402</v>
      </c>
      <c r="I148" s="49">
        <f>VLOOKUP($A148,'Data shares'!$C:$FB,66)</f>
        <v>7324500</v>
      </c>
      <c r="J148" s="49">
        <f>VLOOKUP($A148,'Data shares'!$C:$FB,67)</f>
        <v>10733500</v>
      </c>
      <c r="K148" s="50">
        <f t="shared" si="8"/>
        <v>-46.542426104170929</v>
      </c>
      <c r="L148" s="50">
        <f>VLOOKUP($A148,'Data shares'!$C:$FB,118)</f>
        <v>0.87</v>
      </c>
      <c r="M148" s="50">
        <f>VLOOKUP($A148,'Data shares'!$C:$FB,119)</f>
        <v>0.9</v>
      </c>
      <c r="N148" s="50">
        <f>VLOOKUP($A148,'Data shares'!$C:$FB,121)*100</f>
        <v>-3.3300000000000005</v>
      </c>
      <c r="O148" s="50">
        <f>VLOOKUP($A148,'Data shares'!$C:$FB,124)</f>
        <v>0.6</v>
      </c>
      <c r="P148" s="50">
        <f>VLOOKUP($A148,'Data shares'!$C:$FB,125)</f>
        <v>0.83</v>
      </c>
      <c r="Q148" s="50">
        <f>VLOOKUP($A148,'Data shares'!$C:$FB,127)*100</f>
        <v>-27.71</v>
      </c>
    </row>
    <row r="149" spans="1:17" x14ac:dyDescent="0.25">
      <c r="A149" s="97" t="str">
        <f>'Data Vlaue (Cr)'!C144</f>
        <v>NHPC</v>
      </c>
      <c r="B149" s="140">
        <f>VLOOKUP($A149,'Data shares'!$C:$FB,7)</f>
        <v>83.28</v>
      </c>
      <c r="C149" s="140">
        <f>VLOOKUP($A149,'Data shares'!$C:$FB,3)</f>
        <v>82.68</v>
      </c>
      <c r="D149" s="140">
        <f>VLOOKUP($A149,'Data shares'!$C:$FB,4)</f>
        <v>82.43</v>
      </c>
      <c r="E149" s="50">
        <f t="shared" si="6"/>
        <v>0.30328763799587527</v>
      </c>
      <c r="F149" s="49">
        <f>VLOOKUP($A149,'Data shares'!$C:$FB,98)</f>
        <v>157934150</v>
      </c>
      <c r="G149" s="49">
        <f>VLOOKUP($A149,'Data shares'!$C:$FB,99)</f>
        <v>150857750</v>
      </c>
      <c r="H149" s="50">
        <f t="shared" si="7"/>
        <v>4.6907765759465461</v>
      </c>
      <c r="I149" s="49">
        <f>VLOOKUP($A149,'Data shares'!$C:$FB,66)</f>
        <v>53606400</v>
      </c>
      <c r="J149" s="49">
        <f>VLOOKUP($A149,'Data shares'!$C:$FB,67)</f>
        <v>58912000</v>
      </c>
      <c r="K149" s="50">
        <f t="shared" si="8"/>
        <v>-9.8973256924546327</v>
      </c>
      <c r="L149" s="50">
        <f>VLOOKUP($A149,'Data shares'!$C:$FB,118)</f>
        <v>0.56000000000000005</v>
      </c>
      <c r="M149" s="50">
        <f>VLOOKUP($A149,'Data shares'!$C:$FB,119)</f>
        <v>0.56999999999999995</v>
      </c>
      <c r="N149" s="50">
        <f>VLOOKUP($A149,'Data shares'!$C:$FB,121)*100</f>
        <v>-1.7500000000000002</v>
      </c>
      <c r="O149" s="50">
        <f>VLOOKUP($A149,'Data shares'!$C:$FB,124)</f>
        <v>0.37</v>
      </c>
      <c r="P149" s="50">
        <f>VLOOKUP($A149,'Data shares'!$C:$FB,125)</f>
        <v>0.42</v>
      </c>
      <c r="Q149" s="50">
        <f>VLOOKUP($A149,'Data shares'!$C:$FB,127)*100</f>
        <v>-11.899999999999999</v>
      </c>
    </row>
    <row r="150" spans="1:17" x14ac:dyDescent="0.25">
      <c r="A150" s="97" t="str">
        <f>'Data Vlaue (Cr)'!C145</f>
        <v>NIFTY</v>
      </c>
      <c r="B150" s="140">
        <f>VLOOKUP($A150,'Data shares'!$C:$FB,7)</f>
        <v>24119.3</v>
      </c>
      <c r="C150" s="140">
        <f>VLOOKUP($A150,'Data shares'!$C:$FB,3)</f>
        <v>24206</v>
      </c>
      <c r="D150" s="140">
        <f>VLOOKUP($A150,'Data shares'!$C:$FB,4)</f>
        <v>24098.2</v>
      </c>
      <c r="E150" s="50">
        <f t="shared" si="6"/>
        <v>0.44733631557543407</v>
      </c>
      <c r="F150" s="49">
        <f>VLOOKUP($A150,'Data shares'!$C:$FB,98)</f>
        <v>560265400</v>
      </c>
      <c r="G150" s="49">
        <f>VLOOKUP($A150,'Data shares'!$C:$FB,99)</f>
        <v>418842100</v>
      </c>
      <c r="H150" s="50">
        <f t="shared" si="7"/>
        <v>33.765302007606209</v>
      </c>
      <c r="I150" s="49">
        <f>VLOOKUP($A150,'Data shares'!$C:$FB,66)</f>
        <v>11303527690</v>
      </c>
      <c r="J150" s="49">
        <f>VLOOKUP($A150,'Data shares'!$C:$FB,67)</f>
        <v>3273439455</v>
      </c>
      <c r="K150" s="50">
        <f t="shared" si="8"/>
        <v>71.040549952419312</v>
      </c>
      <c r="L150" s="50">
        <f>VLOOKUP($A150,'Data shares'!$C:$FB,118)</f>
        <v>0.8</v>
      </c>
      <c r="M150" s="50">
        <f>VLOOKUP($A150,'Data shares'!$C:$FB,119)</f>
        <v>0.98</v>
      </c>
      <c r="N150" s="50">
        <f>VLOOKUP($A150,'Data shares'!$C:$FB,121)*100</f>
        <v>-18.37</v>
      </c>
      <c r="O150" s="50">
        <f>VLOOKUP($A150,'Data shares'!$C:$FB,124)</f>
        <v>1.1000000000000001</v>
      </c>
      <c r="P150" s="50">
        <f>VLOOKUP($A150,'Data shares'!$C:$FB,125)</f>
        <v>0.92</v>
      </c>
      <c r="Q150" s="50">
        <f>VLOOKUP($A150,'Data shares'!$C:$FB,127)*100</f>
        <v>19.57</v>
      </c>
    </row>
    <row r="151" spans="1:17" x14ac:dyDescent="0.25">
      <c r="A151" s="97" t="str">
        <f>'Data Vlaue (Cr)'!C146</f>
        <v>NIFTYNXT50</v>
      </c>
      <c r="B151" s="140">
        <f>VLOOKUP($A151,'Data shares'!$C:$FB,7)</f>
        <v>70283.850000000006</v>
      </c>
      <c r="C151" s="140">
        <f>VLOOKUP($A151,'Data shares'!$C:$FB,3)</f>
        <v>70524.800000000003</v>
      </c>
      <c r="D151" s="140">
        <f>VLOOKUP($A151,'Data shares'!$C:$FB,4)</f>
        <v>70084.2</v>
      </c>
      <c r="E151" s="50">
        <f t="shared" si="6"/>
        <v>0.62867236837975726</v>
      </c>
      <c r="F151" s="49">
        <f>VLOOKUP($A151,'Data shares'!$C:$FB,98)</f>
        <v>20225</v>
      </c>
      <c r="G151" s="49">
        <f>VLOOKUP($A151,'Data shares'!$C:$FB,99)</f>
        <v>19175</v>
      </c>
      <c r="H151" s="50">
        <f t="shared" si="7"/>
        <v>5.4758800521512381</v>
      </c>
      <c r="I151" s="49">
        <f>VLOOKUP($A151,'Data shares'!$C:$FB,66)</f>
        <v>8850</v>
      </c>
      <c r="J151" s="49">
        <f>VLOOKUP($A151,'Data shares'!$C:$FB,67)</f>
        <v>6600</v>
      </c>
      <c r="K151" s="50">
        <f t="shared" si="8"/>
        <v>25.423728813559322</v>
      </c>
      <c r="L151" s="50">
        <f>VLOOKUP($A151,'Data shares'!$C:$FB,118)</f>
        <v>0.15</v>
      </c>
      <c r="M151" s="50">
        <f>VLOOKUP($A151,'Data shares'!$C:$FB,119)</f>
        <v>0.23</v>
      </c>
      <c r="N151" s="50">
        <f>VLOOKUP($A151,'Data shares'!$C:$FB,121)*100</f>
        <v>-34.78</v>
      </c>
      <c r="O151" s="50">
        <f>VLOOKUP($A151,'Data shares'!$C:$FB,124)</f>
        <v>0.04</v>
      </c>
      <c r="P151" s="50">
        <f>VLOOKUP($A151,'Data shares'!$C:$FB,125)</f>
        <v>0.47</v>
      </c>
      <c r="Q151" s="50">
        <f>VLOOKUP($A151,'Data shares'!$C:$FB,127)*100</f>
        <v>-91.490000000000009</v>
      </c>
    </row>
    <row r="152" spans="1:17" x14ac:dyDescent="0.25">
      <c r="A152" s="97" t="str">
        <f>'Data Vlaue (Cr)'!C147</f>
        <v>NMDC</v>
      </c>
      <c r="B152" s="140">
        <f>VLOOKUP($A152,'Data shares'!$C:$FB,7)</f>
        <v>89.09</v>
      </c>
      <c r="C152" s="140">
        <f>VLOOKUP($A152,'Data shares'!$C:$FB,3)</f>
        <v>89.69</v>
      </c>
      <c r="D152" s="140">
        <f>VLOOKUP($A152,'Data shares'!$C:$FB,4)</f>
        <v>90.89</v>
      </c>
      <c r="E152" s="50">
        <f t="shared" si="6"/>
        <v>-1.3202772582242304</v>
      </c>
      <c r="F152" s="49">
        <f>VLOOKUP($A152,'Data shares'!$C:$FB,98)</f>
        <v>419438250</v>
      </c>
      <c r="G152" s="49">
        <f>VLOOKUP($A152,'Data shares'!$C:$FB,99)</f>
        <v>409509000</v>
      </c>
      <c r="H152" s="50">
        <f t="shared" si="7"/>
        <v>2.4246719852310936</v>
      </c>
      <c r="I152" s="49">
        <f>VLOOKUP($A152,'Data shares'!$C:$FB,66)</f>
        <v>92913750</v>
      </c>
      <c r="J152" s="49">
        <f>VLOOKUP($A152,'Data shares'!$C:$FB,67)</f>
        <v>83760750</v>
      </c>
      <c r="K152" s="50">
        <f t="shared" si="8"/>
        <v>9.8510715583000366</v>
      </c>
      <c r="L152" s="50">
        <f>VLOOKUP($A152,'Data shares'!$C:$FB,118)</f>
        <v>0.49</v>
      </c>
      <c r="M152" s="50">
        <f>VLOOKUP($A152,'Data shares'!$C:$FB,119)</f>
        <v>0.51</v>
      </c>
      <c r="N152" s="50">
        <f>VLOOKUP($A152,'Data shares'!$C:$FB,121)*100</f>
        <v>-3.92</v>
      </c>
      <c r="O152" s="50">
        <f>VLOOKUP($A152,'Data shares'!$C:$FB,124)</f>
        <v>0.38</v>
      </c>
      <c r="P152" s="50">
        <f>VLOOKUP($A152,'Data shares'!$C:$FB,125)</f>
        <v>0.44</v>
      </c>
      <c r="Q152" s="50">
        <f>VLOOKUP($A152,'Data shares'!$C:$FB,127)*100</f>
        <v>-13.639999999999999</v>
      </c>
    </row>
    <row r="153" spans="1:17" x14ac:dyDescent="0.25">
      <c r="A153" s="97" t="str">
        <f>'Data Vlaue (Cr)'!C148</f>
        <v>NTPC</v>
      </c>
      <c r="B153" s="140">
        <f>VLOOKUP($A153,'Data shares'!$C:$FB,7)</f>
        <v>400.05</v>
      </c>
      <c r="C153" s="140">
        <f>VLOOKUP($A153,'Data shares'!$C:$FB,3)</f>
        <v>402.2</v>
      </c>
      <c r="D153" s="140">
        <f>VLOOKUP($A153,'Data shares'!$C:$FB,4)</f>
        <v>400.5</v>
      </c>
      <c r="E153" s="50">
        <f t="shared" si="6"/>
        <v>0.42446941323345533</v>
      </c>
      <c r="F153" s="49">
        <f>VLOOKUP($A153,'Data shares'!$C:$FB,98)</f>
        <v>157033500</v>
      </c>
      <c r="G153" s="49">
        <f>VLOOKUP($A153,'Data shares'!$C:$FB,99)</f>
        <v>153456000</v>
      </c>
      <c r="H153" s="50">
        <f t="shared" si="7"/>
        <v>2.3312871441976855</v>
      </c>
      <c r="I153" s="49">
        <f>VLOOKUP($A153,'Data shares'!$C:$FB,66)</f>
        <v>41892000</v>
      </c>
      <c r="J153" s="49">
        <f>VLOOKUP($A153,'Data shares'!$C:$FB,67)</f>
        <v>61567500</v>
      </c>
      <c r="K153" s="50">
        <f t="shared" si="8"/>
        <v>-46.967201374964198</v>
      </c>
      <c r="L153" s="50">
        <f>VLOOKUP($A153,'Data shares'!$C:$FB,118)</f>
        <v>0.43</v>
      </c>
      <c r="M153" s="50">
        <f>VLOOKUP($A153,'Data shares'!$C:$FB,119)</f>
        <v>0.44</v>
      </c>
      <c r="N153" s="50">
        <f>VLOOKUP($A153,'Data shares'!$C:$FB,121)*100</f>
        <v>-2.27</v>
      </c>
      <c r="O153" s="50">
        <f>VLOOKUP($A153,'Data shares'!$C:$FB,124)</f>
        <v>0.39</v>
      </c>
      <c r="P153" s="50">
        <f>VLOOKUP($A153,'Data shares'!$C:$FB,125)</f>
        <v>0.28999999999999998</v>
      </c>
      <c r="Q153" s="50">
        <f>VLOOKUP($A153,'Data shares'!$C:$FB,127)*100</f>
        <v>34.479999999999997</v>
      </c>
    </row>
    <row r="154" spans="1:17" x14ac:dyDescent="0.25">
      <c r="A154" s="97" t="str">
        <f>'Data Vlaue (Cr)'!C149</f>
        <v>NUVAMA</v>
      </c>
      <c r="B154" s="140">
        <f>VLOOKUP($A154,'Data shares'!$C:$FB,7)</f>
        <v>1329.3</v>
      </c>
      <c r="C154" s="140">
        <f>VLOOKUP($A154,'Data shares'!$C:$FB,3)</f>
        <v>1338.3</v>
      </c>
      <c r="D154" s="140">
        <f>VLOOKUP($A154,'Data shares'!$C:$FB,4)</f>
        <v>1323.5</v>
      </c>
      <c r="E154" s="50">
        <f t="shared" si="6"/>
        <v>1.1182470721571556</v>
      </c>
      <c r="F154" s="49">
        <f>VLOOKUP($A154,'Data shares'!$C:$FB,98)</f>
        <v>2104500</v>
      </c>
      <c r="G154" s="49">
        <f>VLOOKUP($A154,'Data shares'!$C:$FB,99)</f>
        <v>2010000</v>
      </c>
      <c r="H154" s="50">
        <f t="shared" si="7"/>
        <v>4.7014925373134329</v>
      </c>
      <c r="I154" s="49">
        <f>VLOOKUP($A154,'Data shares'!$C:$FB,66)</f>
        <v>1267000</v>
      </c>
      <c r="J154" s="49">
        <f>VLOOKUP($A154,'Data shares'!$C:$FB,67)</f>
        <v>1046500</v>
      </c>
      <c r="K154" s="50">
        <f t="shared" si="8"/>
        <v>17.403314917127073</v>
      </c>
      <c r="L154" s="50">
        <f>VLOOKUP($A154,'Data shares'!$C:$FB,118)</f>
        <v>0.52</v>
      </c>
      <c r="M154" s="50">
        <f>VLOOKUP($A154,'Data shares'!$C:$FB,119)</f>
        <v>0.57999999999999996</v>
      </c>
      <c r="N154" s="50">
        <f>VLOOKUP($A154,'Data shares'!$C:$FB,121)*100</f>
        <v>-10.34</v>
      </c>
      <c r="O154" s="50">
        <f>VLOOKUP($A154,'Data shares'!$C:$FB,124)</f>
        <v>0.23</v>
      </c>
      <c r="P154" s="50">
        <f>VLOOKUP($A154,'Data shares'!$C:$FB,125)</f>
        <v>0.7</v>
      </c>
      <c r="Q154" s="50">
        <f>VLOOKUP($A154,'Data shares'!$C:$FB,127)*100</f>
        <v>-67.14</v>
      </c>
    </row>
    <row r="155" spans="1:17" x14ac:dyDescent="0.25">
      <c r="A155" s="97" t="str">
        <f>'Data Vlaue (Cr)'!C150</f>
        <v>NYKAA</v>
      </c>
      <c r="B155" s="140">
        <f>VLOOKUP($A155,'Data shares'!$C:$FB,7)</f>
        <v>264.85000000000002</v>
      </c>
      <c r="C155" s="140">
        <f>VLOOKUP($A155,'Data shares'!$C:$FB,3)</f>
        <v>266.35000000000002</v>
      </c>
      <c r="D155" s="140">
        <f>VLOOKUP($A155,'Data shares'!$C:$FB,4)</f>
        <v>266.33999999999997</v>
      </c>
      <c r="E155" s="50">
        <f t="shared" si="6"/>
        <v>3.7545993842636287E-3</v>
      </c>
      <c r="F155" s="49">
        <f>VLOOKUP($A155,'Data shares'!$C:$FB,98)</f>
        <v>55231250</v>
      </c>
      <c r="G155" s="49">
        <f>VLOOKUP($A155,'Data shares'!$C:$FB,99)</f>
        <v>53615625</v>
      </c>
      <c r="H155" s="50">
        <f t="shared" si="7"/>
        <v>3.0133473217928541</v>
      </c>
      <c r="I155" s="49">
        <f>VLOOKUP($A155,'Data shares'!$C:$FB,66)</f>
        <v>7487500</v>
      </c>
      <c r="J155" s="49">
        <f>VLOOKUP($A155,'Data shares'!$C:$FB,67)</f>
        <v>7446875</v>
      </c>
      <c r="K155" s="50">
        <f t="shared" si="8"/>
        <v>0.54257095158597668</v>
      </c>
      <c r="L155" s="50">
        <f>VLOOKUP($A155,'Data shares'!$C:$FB,118)</f>
        <v>0.68</v>
      </c>
      <c r="M155" s="50">
        <f>VLOOKUP($A155,'Data shares'!$C:$FB,119)</f>
        <v>0.82</v>
      </c>
      <c r="N155" s="50">
        <f>VLOOKUP($A155,'Data shares'!$C:$FB,121)*100</f>
        <v>-17.07</v>
      </c>
      <c r="O155" s="50">
        <f>VLOOKUP($A155,'Data shares'!$C:$FB,124)</f>
        <v>0.31</v>
      </c>
      <c r="P155" s="50">
        <f>VLOOKUP($A155,'Data shares'!$C:$FB,125)</f>
        <v>1.1100000000000001</v>
      </c>
      <c r="Q155" s="50">
        <f>VLOOKUP($A155,'Data shares'!$C:$FB,127)*100</f>
        <v>-72.070000000000007</v>
      </c>
    </row>
    <row r="156" spans="1:17" x14ac:dyDescent="0.25">
      <c r="A156" s="97" t="str">
        <f>'Data Vlaue (Cr)'!C151</f>
        <v>OBEROIRLTY</v>
      </c>
      <c r="B156" s="140">
        <f>VLOOKUP($A156,'Data shares'!$C:$FB,7)</f>
        <v>1693.7</v>
      </c>
      <c r="C156" s="140">
        <f>VLOOKUP($A156,'Data shares'!$C:$FB,3)</f>
        <v>1701.9</v>
      </c>
      <c r="D156" s="140">
        <f>VLOOKUP($A156,'Data shares'!$C:$FB,4)</f>
        <v>1678</v>
      </c>
      <c r="E156" s="50">
        <f t="shared" si="6"/>
        <v>1.4243146603098982</v>
      </c>
      <c r="F156" s="49">
        <f>VLOOKUP($A156,'Data shares'!$C:$FB,98)</f>
        <v>8325450</v>
      </c>
      <c r="G156" s="49">
        <f>VLOOKUP($A156,'Data shares'!$C:$FB,99)</f>
        <v>8194900</v>
      </c>
      <c r="H156" s="50">
        <f t="shared" si="7"/>
        <v>1.593063978816093</v>
      </c>
      <c r="I156" s="49">
        <f>VLOOKUP($A156,'Data shares'!$C:$FB,66)</f>
        <v>1207850</v>
      </c>
      <c r="J156" s="49">
        <f>VLOOKUP($A156,'Data shares'!$C:$FB,67)</f>
        <v>1269100</v>
      </c>
      <c r="K156" s="50">
        <f t="shared" si="8"/>
        <v>-5.0709939148073024</v>
      </c>
      <c r="L156" s="50">
        <f>VLOOKUP($A156,'Data shares'!$C:$FB,118)</f>
        <v>0.35</v>
      </c>
      <c r="M156" s="50">
        <f>VLOOKUP($A156,'Data shares'!$C:$FB,119)</f>
        <v>0.35</v>
      </c>
      <c r="N156" s="50">
        <f>VLOOKUP($A156,'Data shares'!$C:$FB,121)*100</f>
        <v>0</v>
      </c>
      <c r="O156" s="50">
        <f>VLOOKUP($A156,'Data shares'!$C:$FB,124)</f>
        <v>0.3</v>
      </c>
      <c r="P156" s="50">
        <f>VLOOKUP($A156,'Data shares'!$C:$FB,125)</f>
        <v>0.47</v>
      </c>
      <c r="Q156" s="50">
        <f>VLOOKUP($A156,'Data shares'!$C:$FB,127)*100</f>
        <v>-36.17</v>
      </c>
    </row>
    <row r="157" spans="1:17" x14ac:dyDescent="0.25">
      <c r="A157" s="97" t="str">
        <f>'Data Vlaue (Cr)'!C152</f>
        <v>OFSS</v>
      </c>
      <c r="B157" s="140">
        <f>VLOOKUP($A157,'Data shares'!$C:$FB,7)</f>
        <v>9730</v>
      </c>
      <c r="C157" s="140">
        <f>VLOOKUP($A157,'Data shares'!$C:$FB,3)</f>
        <v>9628.5</v>
      </c>
      <c r="D157" s="140">
        <f>VLOOKUP($A157,'Data shares'!$C:$FB,4)</f>
        <v>9584.5</v>
      </c>
      <c r="E157" s="50">
        <f t="shared" si="6"/>
        <v>0.45907454744639781</v>
      </c>
      <c r="F157" s="49">
        <f>VLOOKUP($A157,'Data shares'!$C:$FB,98)</f>
        <v>2544800</v>
      </c>
      <c r="G157" s="49">
        <f>VLOOKUP($A157,'Data shares'!$C:$FB,99)</f>
        <v>2496800</v>
      </c>
      <c r="H157" s="50">
        <f t="shared" si="7"/>
        <v>1.9224607497596924</v>
      </c>
      <c r="I157" s="49">
        <f>VLOOKUP($A157,'Data shares'!$C:$FB,66)</f>
        <v>1861875</v>
      </c>
      <c r="J157" s="49">
        <f>VLOOKUP($A157,'Data shares'!$C:$FB,67)</f>
        <v>2247975</v>
      </c>
      <c r="K157" s="50">
        <f t="shared" si="8"/>
        <v>-20.737160120845921</v>
      </c>
      <c r="L157" s="50">
        <f>VLOOKUP($A157,'Data shares'!$C:$FB,118)</f>
        <v>1</v>
      </c>
      <c r="M157" s="50">
        <f>VLOOKUP($A157,'Data shares'!$C:$FB,119)</f>
        <v>0.97</v>
      </c>
      <c r="N157" s="50">
        <f>VLOOKUP($A157,'Data shares'!$C:$FB,121)*100</f>
        <v>3.09</v>
      </c>
      <c r="O157" s="50">
        <f>VLOOKUP($A157,'Data shares'!$C:$FB,124)</f>
        <v>0.6</v>
      </c>
      <c r="P157" s="50">
        <f>VLOOKUP($A157,'Data shares'!$C:$FB,125)</f>
        <v>0.48</v>
      </c>
      <c r="Q157" s="50">
        <f>VLOOKUP($A157,'Data shares'!$C:$FB,127)*100</f>
        <v>25</v>
      </c>
    </row>
    <row r="158" spans="1:17" x14ac:dyDescent="0.25">
      <c r="A158" s="97" t="str">
        <f>'Data Vlaue (Cr)'!C153</f>
        <v>OIL</v>
      </c>
      <c r="B158" s="140">
        <f>VLOOKUP($A158,'Data shares'!$C:$FB,7)</f>
        <v>475.1</v>
      </c>
      <c r="C158" s="140">
        <f>VLOOKUP($A158,'Data shares'!$C:$FB,3)</f>
        <v>477.9</v>
      </c>
      <c r="D158" s="140">
        <f>VLOOKUP($A158,'Data shares'!$C:$FB,4)</f>
        <v>491.4</v>
      </c>
      <c r="E158" s="50">
        <f t="shared" si="6"/>
        <v>-2.7472527472527473</v>
      </c>
      <c r="F158" s="49">
        <f>VLOOKUP($A158,'Data shares'!$C:$FB,98)</f>
        <v>32233600</v>
      </c>
      <c r="G158" s="49">
        <f>VLOOKUP($A158,'Data shares'!$C:$FB,99)</f>
        <v>31896200</v>
      </c>
      <c r="H158" s="50">
        <f t="shared" si="7"/>
        <v>1.0578062590528026</v>
      </c>
      <c r="I158" s="49">
        <f>VLOOKUP($A158,'Data shares'!$C:$FB,66)</f>
        <v>19989200</v>
      </c>
      <c r="J158" s="49">
        <f>VLOOKUP($A158,'Data shares'!$C:$FB,67)</f>
        <v>17973200</v>
      </c>
      <c r="K158" s="50">
        <f t="shared" si="8"/>
        <v>10.085446140916094</v>
      </c>
      <c r="L158" s="50">
        <f>VLOOKUP($A158,'Data shares'!$C:$FB,118)</f>
        <v>0.52</v>
      </c>
      <c r="M158" s="50">
        <f>VLOOKUP($A158,'Data shares'!$C:$FB,119)</f>
        <v>0.52</v>
      </c>
      <c r="N158" s="50">
        <f>VLOOKUP($A158,'Data shares'!$C:$FB,121)*100</f>
        <v>0</v>
      </c>
      <c r="O158" s="50">
        <f>VLOOKUP($A158,'Data shares'!$C:$FB,124)</f>
        <v>0.44</v>
      </c>
      <c r="P158" s="50">
        <f>VLOOKUP($A158,'Data shares'!$C:$FB,125)</f>
        <v>0.34</v>
      </c>
      <c r="Q158" s="50">
        <f>VLOOKUP($A158,'Data shares'!$C:$FB,127)*100</f>
        <v>29.409999999999997</v>
      </c>
    </row>
    <row r="159" spans="1:17" x14ac:dyDescent="0.25">
      <c r="A159" s="97" t="str">
        <f>'Data Vlaue (Cr)'!C154</f>
        <v>ONGC</v>
      </c>
      <c r="B159" s="140">
        <f>VLOOKUP($A159,'Data shares'!$C:$FB,7)</f>
        <v>292.89999999999998</v>
      </c>
      <c r="C159" s="140">
        <f>VLOOKUP($A159,'Data shares'!$C:$FB,3)</f>
        <v>294.55</v>
      </c>
      <c r="D159" s="140">
        <f>VLOOKUP($A159,'Data shares'!$C:$FB,4)</f>
        <v>301.05</v>
      </c>
      <c r="E159" s="50">
        <f t="shared" si="6"/>
        <v>-2.159109782428168</v>
      </c>
      <c r="F159" s="49">
        <f>VLOOKUP($A159,'Data shares'!$C:$FB,98)</f>
        <v>162976500</v>
      </c>
      <c r="G159" s="49">
        <f>VLOOKUP($A159,'Data shares'!$C:$FB,99)</f>
        <v>158334750</v>
      </c>
      <c r="H159" s="50">
        <f t="shared" si="7"/>
        <v>2.9316053487942475</v>
      </c>
      <c r="I159" s="49">
        <f>VLOOKUP($A159,'Data shares'!$C:$FB,66)</f>
        <v>80471250</v>
      </c>
      <c r="J159" s="49">
        <f>VLOOKUP($A159,'Data shares'!$C:$FB,67)</f>
        <v>130430250</v>
      </c>
      <c r="K159" s="50">
        <f t="shared" si="8"/>
        <v>-62.083042080246052</v>
      </c>
      <c r="L159" s="50">
        <f>VLOOKUP($A159,'Data shares'!$C:$FB,118)</f>
        <v>0.41</v>
      </c>
      <c r="M159" s="50">
        <f>VLOOKUP($A159,'Data shares'!$C:$FB,119)</f>
        <v>0.52</v>
      </c>
      <c r="N159" s="50">
        <f>VLOOKUP($A159,'Data shares'!$C:$FB,121)*100</f>
        <v>-21.15</v>
      </c>
      <c r="O159" s="50">
        <f>VLOOKUP($A159,'Data shares'!$C:$FB,124)</f>
        <v>0.34</v>
      </c>
      <c r="P159" s="50">
        <f>VLOOKUP($A159,'Data shares'!$C:$FB,125)</f>
        <v>0.31</v>
      </c>
      <c r="Q159" s="50">
        <f>VLOOKUP($A159,'Data shares'!$C:$FB,127)*100</f>
        <v>9.68</v>
      </c>
    </row>
    <row r="160" spans="1:17" x14ac:dyDescent="0.25">
      <c r="A160" s="97" t="str">
        <f>'Data Vlaue (Cr)'!C155</f>
        <v>PAGEIND</v>
      </c>
      <c r="B160" s="140">
        <f>VLOOKUP($A160,'Data shares'!$C:$FB,7)</f>
        <v>36955</v>
      </c>
      <c r="C160" s="140">
        <f>VLOOKUP($A160,'Data shares'!$C:$FB,3)</f>
        <v>37105</v>
      </c>
      <c r="D160" s="140">
        <f>VLOOKUP($A160,'Data shares'!$C:$FB,4)</f>
        <v>36980</v>
      </c>
      <c r="E160" s="50">
        <f t="shared" si="6"/>
        <v>0.33802055164954026</v>
      </c>
      <c r="F160" s="49">
        <f>VLOOKUP($A160,'Data shares'!$C:$FB,98)</f>
        <v>335695</v>
      </c>
      <c r="G160" s="49">
        <f>VLOOKUP($A160,'Data shares'!$C:$FB,99)</f>
        <v>334555</v>
      </c>
      <c r="H160" s="50">
        <f t="shared" si="7"/>
        <v>0.34075114704607612</v>
      </c>
      <c r="I160" s="49">
        <f>VLOOKUP($A160,'Data shares'!$C:$FB,66)</f>
        <v>40020</v>
      </c>
      <c r="J160" s="49">
        <f>VLOOKUP($A160,'Data shares'!$C:$FB,67)</f>
        <v>56295</v>
      </c>
      <c r="K160" s="50">
        <f t="shared" si="8"/>
        <v>-40.667166416791609</v>
      </c>
      <c r="L160" s="50">
        <f>VLOOKUP($A160,'Data shares'!$C:$FB,118)</f>
        <v>0.65</v>
      </c>
      <c r="M160" s="50">
        <f>VLOOKUP($A160,'Data shares'!$C:$FB,119)</f>
        <v>0.56000000000000005</v>
      </c>
      <c r="N160" s="50">
        <f>VLOOKUP($A160,'Data shares'!$C:$FB,121)*100</f>
        <v>16.07</v>
      </c>
      <c r="O160" s="50">
        <f>VLOOKUP($A160,'Data shares'!$C:$FB,124)</f>
        <v>0.48</v>
      </c>
      <c r="P160" s="50">
        <f>VLOOKUP($A160,'Data shares'!$C:$FB,125)</f>
        <v>0.3</v>
      </c>
      <c r="Q160" s="50">
        <f>VLOOKUP($A160,'Data shares'!$C:$FB,127)*100</f>
        <v>60</v>
      </c>
    </row>
    <row r="161" spans="1:17" x14ac:dyDescent="0.25">
      <c r="A161" s="97" t="str">
        <f>'Data Vlaue (Cr)'!C156</f>
        <v>PATANJALI</v>
      </c>
      <c r="B161" s="140">
        <f>VLOOKUP($A161,'Data shares'!$C:$FB,7)</f>
        <v>456.25</v>
      </c>
      <c r="C161" s="140">
        <f>VLOOKUP($A161,'Data shares'!$C:$FB,3)</f>
        <v>458.15</v>
      </c>
      <c r="D161" s="140">
        <f>VLOOKUP($A161,'Data shares'!$C:$FB,4)</f>
        <v>460.3</v>
      </c>
      <c r="E161" s="50">
        <f t="shared" si="6"/>
        <v>-0.46708668259831282</v>
      </c>
      <c r="F161" s="49">
        <f>VLOOKUP($A161,'Data shares'!$C:$FB,98)</f>
        <v>41510125</v>
      </c>
      <c r="G161" s="49">
        <f>VLOOKUP($A161,'Data shares'!$C:$FB,99)</f>
        <v>40581875</v>
      </c>
      <c r="H161" s="50">
        <f t="shared" si="7"/>
        <v>2.2873511881843802</v>
      </c>
      <c r="I161" s="49">
        <f>VLOOKUP($A161,'Data shares'!$C:$FB,66)</f>
        <v>8748000</v>
      </c>
      <c r="J161" s="49">
        <f>VLOOKUP($A161,'Data shares'!$C:$FB,67)</f>
        <v>5510700</v>
      </c>
      <c r="K161" s="50">
        <f t="shared" si="8"/>
        <v>37.006172839506171</v>
      </c>
      <c r="L161" s="50">
        <f>VLOOKUP($A161,'Data shares'!$C:$FB,118)</f>
        <v>0.71</v>
      </c>
      <c r="M161" s="50">
        <f>VLOOKUP($A161,'Data shares'!$C:$FB,119)</f>
        <v>0.8</v>
      </c>
      <c r="N161" s="50">
        <f>VLOOKUP($A161,'Data shares'!$C:$FB,121)*100</f>
        <v>-11.25</v>
      </c>
      <c r="O161" s="50">
        <f>VLOOKUP($A161,'Data shares'!$C:$FB,124)</f>
        <v>0.17</v>
      </c>
      <c r="P161" s="50">
        <f>VLOOKUP($A161,'Data shares'!$C:$FB,125)</f>
        <v>0.32</v>
      </c>
      <c r="Q161" s="50">
        <f>VLOOKUP($A161,'Data shares'!$C:$FB,127)*100</f>
        <v>-46.88</v>
      </c>
    </row>
    <row r="162" spans="1:17" x14ac:dyDescent="0.25">
      <c r="A162" s="97" t="str">
        <f>'Data Vlaue (Cr)'!C157</f>
        <v>PAYTM</v>
      </c>
      <c r="B162" s="140">
        <f>VLOOKUP($A162,'Data shares'!$C:$FB,7)</f>
        <v>1115.8</v>
      </c>
      <c r="C162" s="140">
        <f>VLOOKUP($A162,'Data shares'!$C:$FB,3)</f>
        <v>1119.5999999999999</v>
      </c>
      <c r="D162" s="140">
        <f>VLOOKUP($A162,'Data shares'!$C:$FB,4)</f>
        <v>1101.5</v>
      </c>
      <c r="E162" s="50">
        <f t="shared" si="6"/>
        <v>1.6432137993644946</v>
      </c>
      <c r="F162" s="49">
        <f>VLOOKUP($A162,'Data shares'!$C:$FB,98)</f>
        <v>24512250</v>
      </c>
      <c r="G162" s="49">
        <f>VLOOKUP($A162,'Data shares'!$C:$FB,99)</f>
        <v>23894550</v>
      </c>
      <c r="H162" s="50">
        <f t="shared" si="7"/>
        <v>2.5851083196795925</v>
      </c>
      <c r="I162" s="49">
        <f>VLOOKUP($A162,'Data shares'!$C:$FB,66)</f>
        <v>8866025</v>
      </c>
      <c r="J162" s="49">
        <f>VLOOKUP($A162,'Data shares'!$C:$FB,67)</f>
        <v>10789450</v>
      </c>
      <c r="K162" s="50">
        <f t="shared" si="8"/>
        <v>-21.694333142530052</v>
      </c>
      <c r="L162" s="50">
        <f>VLOOKUP($A162,'Data shares'!$C:$FB,118)</f>
        <v>1.01</v>
      </c>
      <c r="M162" s="50">
        <f>VLOOKUP($A162,'Data shares'!$C:$FB,119)</f>
        <v>1.1100000000000001</v>
      </c>
      <c r="N162" s="50">
        <f>VLOOKUP($A162,'Data shares'!$C:$FB,121)*100</f>
        <v>-9.01</v>
      </c>
      <c r="O162" s="50">
        <f>VLOOKUP($A162,'Data shares'!$C:$FB,124)</f>
        <v>0.86</v>
      </c>
      <c r="P162" s="50">
        <f>VLOOKUP($A162,'Data shares'!$C:$FB,125)</f>
        <v>1.1200000000000001</v>
      </c>
      <c r="Q162" s="50">
        <f>VLOOKUP($A162,'Data shares'!$C:$FB,127)*100</f>
        <v>-23.21</v>
      </c>
    </row>
    <row r="163" spans="1:17" x14ac:dyDescent="0.25">
      <c r="A163" s="97" t="str">
        <f>'Data Vlaue (Cr)'!C158</f>
        <v>PERSISTENT</v>
      </c>
      <c r="B163" s="140">
        <f>VLOOKUP($A163,'Data shares'!$C:$FB,7)</f>
        <v>4788.1000000000004</v>
      </c>
      <c r="C163" s="140">
        <f>VLOOKUP($A163,'Data shares'!$C:$FB,3)</f>
        <v>4808.2</v>
      </c>
      <c r="D163" s="140">
        <f>VLOOKUP($A163,'Data shares'!$C:$FB,4)</f>
        <v>4822.2</v>
      </c>
      <c r="E163" s="50">
        <f t="shared" si="6"/>
        <v>-0.29032391854340339</v>
      </c>
      <c r="F163" s="49">
        <f>VLOOKUP($A163,'Data shares'!$C:$FB,98)</f>
        <v>6582350</v>
      </c>
      <c r="G163" s="49">
        <f>VLOOKUP($A163,'Data shares'!$C:$FB,99)</f>
        <v>6506100</v>
      </c>
      <c r="H163" s="50">
        <f t="shared" si="7"/>
        <v>1.1719770676749512</v>
      </c>
      <c r="I163" s="49">
        <f>VLOOKUP($A163,'Data shares'!$C:$FB,66)</f>
        <v>2082400</v>
      </c>
      <c r="J163" s="49">
        <f>VLOOKUP($A163,'Data shares'!$C:$FB,67)</f>
        <v>1853900</v>
      </c>
      <c r="K163" s="50">
        <f t="shared" si="8"/>
        <v>10.972915866308105</v>
      </c>
      <c r="L163" s="50">
        <f>VLOOKUP($A163,'Data shares'!$C:$FB,118)</f>
        <v>0.6</v>
      </c>
      <c r="M163" s="50">
        <f>VLOOKUP($A163,'Data shares'!$C:$FB,119)</f>
        <v>0.62</v>
      </c>
      <c r="N163" s="50">
        <f>VLOOKUP($A163,'Data shares'!$C:$FB,121)*100</f>
        <v>-3.2300000000000004</v>
      </c>
      <c r="O163" s="50">
        <f>VLOOKUP($A163,'Data shares'!$C:$FB,124)</f>
        <v>0.49</v>
      </c>
      <c r="P163" s="50">
        <f>VLOOKUP($A163,'Data shares'!$C:$FB,125)</f>
        <v>0.5</v>
      </c>
      <c r="Q163" s="50">
        <f>VLOOKUP($A163,'Data shares'!$C:$FB,127)*100</f>
        <v>-2</v>
      </c>
    </row>
    <row r="164" spans="1:17" x14ac:dyDescent="0.25">
      <c r="A164" s="97" t="str">
        <f>'Data Vlaue (Cr)'!C159</f>
        <v>PETRONET</v>
      </c>
      <c r="B164" s="140">
        <f>VLOOKUP($A164,'Data shares'!$C:$FB,7)</f>
        <v>276.7</v>
      </c>
      <c r="C164" s="140">
        <f>VLOOKUP($A164,'Data shares'!$C:$FB,3)</f>
        <v>278.25</v>
      </c>
      <c r="D164" s="140">
        <f>VLOOKUP($A164,'Data shares'!$C:$FB,4)</f>
        <v>278.52999999999997</v>
      </c>
      <c r="E164" s="50">
        <f t="shared" si="6"/>
        <v>-0.1005277707966728</v>
      </c>
      <c r="F164" s="49">
        <f>VLOOKUP($A164,'Data shares'!$C:$FB,98)</f>
        <v>50445000</v>
      </c>
      <c r="G164" s="49">
        <f>VLOOKUP($A164,'Data shares'!$C:$FB,99)</f>
        <v>45860300</v>
      </c>
      <c r="H164" s="50">
        <f t="shared" si="7"/>
        <v>9.9970998881385427</v>
      </c>
      <c r="I164" s="49">
        <f>VLOOKUP($A164,'Data shares'!$C:$FB,66)</f>
        <v>20630200</v>
      </c>
      <c r="J164" s="49">
        <f>VLOOKUP($A164,'Data shares'!$C:$FB,67)</f>
        <v>10353100</v>
      </c>
      <c r="K164" s="50">
        <f t="shared" si="8"/>
        <v>49.815804015472466</v>
      </c>
      <c r="L164" s="50">
        <f>VLOOKUP($A164,'Data shares'!$C:$FB,118)</f>
        <v>1.17</v>
      </c>
      <c r="M164" s="50">
        <f>VLOOKUP($A164,'Data shares'!$C:$FB,119)</f>
        <v>1.1599999999999999</v>
      </c>
      <c r="N164" s="50">
        <f>VLOOKUP($A164,'Data shares'!$C:$FB,121)*100</f>
        <v>0.86</v>
      </c>
      <c r="O164" s="50">
        <f>VLOOKUP($A164,'Data shares'!$C:$FB,124)</f>
        <v>0.84</v>
      </c>
      <c r="P164" s="50">
        <f>VLOOKUP($A164,'Data shares'!$C:$FB,125)</f>
        <v>0.66</v>
      </c>
      <c r="Q164" s="50">
        <f>VLOOKUP($A164,'Data shares'!$C:$FB,127)*100</f>
        <v>27.27</v>
      </c>
    </row>
    <row r="165" spans="1:17" x14ac:dyDescent="0.25">
      <c r="A165" s="97" t="str">
        <f>'Data Vlaue (Cr)'!C160</f>
        <v>PFC</v>
      </c>
      <c r="B165" s="140">
        <f>VLOOKUP($A165,'Data shares'!$C:$FB,7)</f>
        <v>448.25</v>
      </c>
      <c r="C165" s="140">
        <f>VLOOKUP($A165,'Data shares'!$C:$FB,3)</f>
        <v>449.7</v>
      </c>
      <c r="D165" s="140">
        <f>VLOOKUP($A165,'Data shares'!$C:$FB,4)</f>
        <v>451.25</v>
      </c>
      <c r="E165" s="50">
        <f t="shared" si="6"/>
        <v>-0.34349030470914377</v>
      </c>
      <c r="F165" s="49">
        <f>VLOOKUP($A165,'Data shares'!$C:$FB,98)</f>
        <v>86980400</v>
      </c>
      <c r="G165" s="49">
        <f>VLOOKUP($A165,'Data shares'!$C:$FB,99)</f>
        <v>85192900</v>
      </c>
      <c r="H165" s="50">
        <f t="shared" si="7"/>
        <v>2.0981795431309416</v>
      </c>
      <c r="I165" s="49">
        <f>VLOOKUP($A165,'Data shares'!$C:$FB,66)</f>
        <v>27391000</v>
      </c>
      <c r="J165" s="49">
        <f>VLOOKUP($A165,'Data shares'!$C:$FB,67)</f>
        <v>54341300</v>
      </c>
      <c r="K165" s="50">
        <f t="shared" si="8"/>
        <v>-98.391077361177025</v>
      </c>
      <c r="L165" s="50">
        <f>VLOOKUP($A165,'Data shares'!$C:$FB,118)</f>
        <v>0.56000000000000005</v>
      </c>
      <c r="M165" s="50">
        <f>VLOOKUP($A165,'Data shares'!$C:$FB,119)</f>
        <v>0.56000000000000005</v>
      </c>
      <c r="N165" s="50">
        <f>VLOOKUP($A165,'Data shares'!$C:$FB,121)*100</f>
        <v>0</v>
      </c>
      <c r="O165" s="50">
        <f>VLOOKUP($A165,'Data shares'!$C:$FB,124)</f>
        <v>0.47</v>
      </c>
      <c r="P165" s="50">
        <f>VLOOKUP($A165,'Data shares'!$C:$FB,125)</f>
        <v>0.62</v>
      </c>
      <c r="Q165" s="50">
        <f>VLOOKUP($A165,'Data shares'!$C:$FB,127)*100</f>
        <v>-24.19</v>
      </c>
    </row>
    <row r="166" spans="1:17" x14ac:dyDescent="0.25">
      <c r="A166" s="97" t="str">
        <f>'Data Vlaue (Cr)'!C161</f>
        <v>PGEL</v>
      </c>
      <c r="B166" s="140">
        <f>VLOOKUP($A166,'Data shares'!$C:$FB,7)</f>
        <v>534.5</v>
      </c>
      <c r="C166" s="140">
        <f>VLOOKUP($A166,'Data shares'!$C:$FB,3)</f>
        <v>537.4</v>
      </c>
      <c r="D166" s="140">
        <f>VLOOKUP($A166,'Data shares'!$C:$FB,4)</f>
        <v>536.75</v>
      </c>
      <c r="E166" s="50">
        <f t="shared" si="6"/>
        <v>0.12109920819748062</v>
      </c>
      <c r="F166" s="49">
        <f>VLOOKUP($A166,'Data shares'!$C:$FB,98)</f>
        <v>18356850</v>
      </c>
      <c r="G166" s="49">
        <f>VLOOKUP($A166,'Data shares'!$C:$FB,99)</f>
        <v>17947400</v>
      </c>
      <c r="H166" s="50">
        <f t="shared" si="7"/>
        <v>2.2813889477027316</v>
      </c>
      <c r="I166" s="49">
        <f>VLOOKUP($A166,'Data shares'!$C:$FB,66)</f>
        <v>6200650</v>
      </c>
      <c r="J166" s="49">
        <f>VLOOKUP($A166,'Data shares'!$C:$FB,67)</f>
        <v>13841500</v>
      </c>
      <c r="K166" s="50">
        <f t="shared" si="8"/>
        <v>-123.22659721158267</v>
      </c>
      <c r="L166" s="50">
        <f>VLOOKUP($A166,'Data shares'!$C:$FB,118)</f>
        <v>0.96</v>
      </c>
      <c r="M166" s="50">
        <f>VLOOKUP($A166,'Data shares'!$C:$FB,119)</f>
        <v>0.97</v>
      </c>
      <c r="N166" s="50">
        <f>VLOOKUP($A166,'Data shares'!$C:$FB,121)*100</f>
        <v>-1.03</v>
      </c>
      <c r="O166" s="50">
        <f>VLOOKUP($A166,'Data shares'!$C:$FB,124)</f>
        <v>0.49</v>
      </c>
      <c r="P166" s="50">
        <f>VLOOKUP($A166,'Data shares'!$C:$FB,125)</f>
        <v>0.87</v>
      </c>
      <c r="Q166" s="50">
        <f>VLOOKUP($A166,'Data shares'!$C:$FB,127)*100</f>
        <v>-43.68</v>
      </c>
    </row>
    <row r="167" spans="1:17" x14ac:dyDescent="0.25">
      <c r="A167" s="97" t="str">
        <f>'Data Vlaue (Cr)'!C162</f>
        <v>PHOENIXLTD</v>
      </c>
      <c r="B167" s="140">
        <f>VLOOKUP($A167,'Data shares'!$C:$FB,7)</f>
        <v>1787.4</v>
      </c>
      <c r="C167" s="140">
        <f>VLOOKUP($A167,'Data shares'!$C:$FB,3)</f>
        <v>1797.9</v>
      </c>
      <c r="D167" s="140">
        <f>VLOOKUP($A167,'Data shares'!$C:$FB,4)</f>
        <v>1771</v>
      </c>
      <c r="E167" s="50">
        <f t="shared" si="6"/>
        <v>1.5189158667419589</v>
      </c>
      <c r="F167" s="49">
        <f>VLOOKUP($A167,'Data shares'!$C:$FB,98)</f>
        <v>5629050</v>
      </c>
      <c r="G167" s="49">
        <f>VLOOKUP($A167,'Data shares'!$C:$FB,99)</f>
        <v>5566750</v>
      </c>
      <c r="H167" s="50">
        <f t="shared" si="7"/>
        <v>1.1191449229801949</v>
      </c>
      <c r="I167" s="49">
        <f>VLOOKUP($A167,'Data shares'!$C:$FB,66)</f>
        <v>1804600</v>
      </c>
      <c r="J167" s="49">
        <f>VLOOKUP($A167,'Data shares'!$C:$FB,67)</f>
        <v>3698100</v>
      </c>
      <c r="K167" s="50">
        <f t="shared" si="8"/>
        <v>-104.92629945694335</v>
      </c>
      <c r="L167" s="50">
        <f>VLOOKUP($A167,'Data shares'!$C:$FB,118)</f>
        <v>0.75</v>
      </c>
      <c r="M167" s="50">
        <f>VLOOKUP($A167,'Data shares'!$C:$FB,119)</f>
        <v>0.73</v>
      </c>
      <c r="N167" s="50">
        <f>VLOOKUP($A167,'Data shares'!$C:$FB,121)*100</f>
        <v>2.74</v>
      </c>
      <c r="O167" s="50">
        <f>VLOOKUP($A167,'Data shares'!$C:$FB,124)</f>
        <v>0.43</v>
      </c>
      <c r="P167" s="50">
        <f>VLOOKUP($A167,'Data shares'!$C:$FB,125)</f>
        <v>1.0900000000000001</v>
      </c>
      <c r="Q167" s="50">
        <f>VLOOKUP($A167,'Data shares'!$C:$FB,127)*100</f>
        <v>-60.550000000000004</v>
      </c>
    </row>
    <row r="168" spans="1:17" x14ac:dyDescent="0.25">
      <c r="A168" s="97" t="str">
        <f>'Data Vlaue (Cr)'!C163</f>
        <v>PIDILITIND</v>
      </c>
      <c r="B168" s="140">
        <f>VLOOKUP($A168,'Data shares'!$C:$FB,7)</f>
        <v>1364.6</v>
      </c>
      <c r="C168" s="140">
        <f>VLOOKUP($A168,'Data shares'!$C:$FB,3)</f>
        <v>1372.3</v>
      </c>
      <c r="D168" s="140">
        <f>VLOOKUP($A168,'Data shares'!$C:$FB,4)</f>
        <v>1385.3</v>
      </c>
      <c r="E168" s="50">
        <f t="shared" si="6"/>
        <v>-0.93842488991554185</v>
      </c>
      <c r="F168" s="49">
        <f>VLOOKUP($A168,'Data shares'!$C:$FB,98)</f>
        <v>8856000</v>
      </c>
      <c r="G168" s="49">
        <f>VLOOKUP($A168,'Data shares'!$C:$FB,99)</f>
        <v>8359500</v>
      </c>
      <c r="H168" s="50">
        <f t="shared" si="7"/>
        <v>5.9393504396195942</v>
      </c>
      <c r="I168" s="49">
        <f>VLOOKUP($A168,'Data shares'!$C:$FB,66)</f>
        <v>2674500</v>
      </c>
      <c r="J168" s="49">
        <f>VLOOKUP($A168,'Data shares'!$C:$FB,67)</f>
        <v>2471000</v>
      </c>
      <c r="K168" s="50">
        <f t="shared" si="8"/>
        <v>7.6088988595999245</v>
      </c>
      <c r="L168" s="50">
        <f>VLOOKUP($A168,'Data shares'!$C:$FB,118)</f>
        <v>0.65</v>
      </c>
      <c r="M168" s="50">
        <f>VLOOKUP($A168,'Data shares'!$C:$FB,119)</f>
        <v>0.7</v>
      </c>
      <c r="N168" s="50">
        <f>VLOOKUP($A168,'Data shares'!$C:$FB,121)*100</f>
        <v>-7.1400000000000006</v>
      </c>
      <c r="O168" s="50">
        <f>VLOOKUP($A168,'Data shares'!$C:$FB,124)</f>
        <v>0.51</v>
      </c>
      <c r="P168" s="50">
        <f>VLOOKUP($A168,'Data shares'!$C:$FB,125)</f>
        <v>0.67</v>
      </c>
      <c r="Q168" s="50">
        <f>VLOOKUP($A168,'Data shares'!$C:$FB,127)*100</f>
        <v>-23.880000000000003</v>
      </c>
    </row>
    <row r="169" spans="1:17" x14ac:dyDescent="0.25">
      <c r="A169" s="97" t="str">
        <f>'Data Vlaue (Cr)'!C164</f>
        <v>PIIND</v>
      </c>
      <c r="B169" s="140">
        <f>VLOOKUP($A169,'Data shares'!$C:$FB,7)</f>
        <v>3047.5</v>
      </c>
      <c r="C169" s="140">
        <f>VLOOKUP($A169,'Data shares'!$C:$FB,3)</f>
        <v>3064.9</v>
      </c>
      <c r="D169" s="140">
        <f>VLOOKUP($A169,'Data shares'!$C:$FB,4)</f>
        <v>3074.1</v>
      </c>
      <c r="E169" s="50">
        <f t="shared" si="6"/>
        <v>-0.29927458443120974</v>
      </c>
      <c r="F169" s="49">
        <f>VLOOKUP($A169,'Data shares'!$C:$FB,98)</f>
        <v>4124225</v>
      </c>
      <c r="G169" s="49">
        <f>VLOOKUP($A169,'Data shares'!$C:$FB,99)</f>
        <v>4002950</v>
      </c>
      <c r="H169" s="50">
        <f t="shared" si="7"/>
        <v>3.0296406400279792</v>
      </c>
      <c r="I169" s="49">
        <f>VLOOKUP($A169,'Data shares'!$C:$FB,66)</f>
        <v>1220625</v>
      </c>
      <c r="J169" s="49">
        <f>VLOOKUP($A169,'Data shares'!$C:$FB,67)</f>
        <v>1502200</v>
      </c>
      <c r="K169" s="50">
        <f t="shared" si="8"/>
        <v>-23.068100358422939</v>
      </c>
      <c r="L169" s="50">
        <f>VLOOKUP($A169,'Data shares'!$C:$FB,118)</f>
        <v>0.57999999999999996</v>
      </c>
      <c r="M169" s="50">
        <f>VLOOKUP($A169,'Data shares'!$C:$FB,119)</f>
        <v>0.56000000000000005</v>
      </c>
      <c r="N169" s="50">
        <f>VLOOKUP($A169,'Data shares'!$C:$FB,121)*100</f>
        <v>3.5700000000000003</v>
      </c>
      <c r="O169" s="50">
        <f>VLOOKUP($A169,'Data shares'!$C:$FB,124)</f>
        <v>0.24</v>
      </c>
      <c r="P169" s="50">
        <f>VLOOKUP($A169,'Data shares'!$C:$FB,125)</f>
        <v>0.22</v>
      </c>
      <c r="Q169" s="50">
        <f>VLOOKUP($A169,'Data shares'!$C:$FB,127)*100</f>
        <v>9.09</v>
      </c>
    </row>
    <row r="170" spans="1:17" x14ac:dyDescent="0.25">
      <c r="A170" s="97" t="str">
        <f>'Data Vlaue (Cr)'!C165</f>
        <v>PNB</v>
      </c>
      <c r="B170" s="140">
        <f>VLOOKUP($A170,'Data shares'!$C:$FB,7)</f>
        <v>108.68</v>
      </c>
      <c r="C170" s="140">
        <f>VLOOKUP($A170,'Data shares'!$C:$FB,3)</f>
        <v>109.2</v>
      </c>
      <c r="D170" s="140">
        <f>VLOOKUP($A170,'Data shares'!$C:$FB,4)</f>
        <v>109.73</v>
      </c>
      <c r="E170" s="50">
        <f t="shared" si="6"/>
        <v>-0.48300373644399996</v>
      </c>
      <c r="F170" s="49">
        <f>VLOOKUP($A170,'Data shares'!$C:$FB,98)</f>
        <v>404008000</v>
      </c>
      <c r="G170" s="49">
        <f>VLOOKUP($A170,'Data shares'!$C:$FB,99)</f>
        <v>386608000</v>
      </c>
      <c r="H170" s="50">
        <f t="shared" si="7"/>
        <v>4.5006828622273725</v>
      </c>
      <c r="I170" s="49">
        <f>VLOOKUP($A170,'Data shares'!$C:$FB,66)</f>
        <v>138048000</v>
      </c>
      <c r="J170" s="49">
        <f>VLOOKUP($A170,'Data shares'!$C:$FB,67)</f>
        <v>161392000</v>
      </c>
      <c r="K170" s="50">
        <f t="shared" si="8"/>
        <v>-16.910060268891979</v>
      </c>
      <c r="L170" s="50">
        <f>VLOOKUP($A170,'Data shares'!$C:$FB,118)</f>
        <v>0.82</v>
      </c>
      <c r="M170" s="50">
        <f>VLOOKUP($A170,'Data shares'!$C:$FB,119)</f>
        <v>0.83</v>
      </c>
      <c r="N170" s="50">
        <f>VLOOKUP($A170,'Data shares'!$C:$FB,121)*100</f>
        <v>-1.2</v>
      </c>
      <c r="O170" s="50">
        <f>VLOOKUP($A170,'Data shares'!$C:$FB,124)</f>
        <v>0.64</v>
      </c>
      <c r="P170" s="50">
        <f>VLOOKUP($A170,'Data shares'!$C:$FB,125)</f>
        <v>0.64</v>
      </c>
      <c r="Q170" s="50">
        <f>VLOOKUP($A170,'Data shares'!$C:$FB,127)*100</f>
        <v>0</v>
      </c>
    </row>
    <row r="171" spans="1:17" x14ac:dyDescent="0.25">
      <c r="A171" s="97" t="str">
        <f>'Data Vlaue (Cr)'!C166</f>
        <v>PNBHOUSING</v>
      </c>
      <c r="B171" s="140">
        <f>VLOOKUP($A171,'Data shares'!$C:$FB,7)</f>
        <v>1042.2</v>
      </c>
      <c r="C171" s="140">
        <f>VLOOKUP($A171,'Data shares'!$C:$FB,3)</f>
        <v>1047.8</v>
      </c>
      <c r="D171" s="140">
        <f>VLOOKUP($A171,'Data shares'!$C:$FB,4)</f>
        <v>1051.05</v>
      </c>
      <c r="E171" s="50">
        <f t="shared" si="6"/>
        <v>-0.30921459492888065</v>
      </c>
      <c r="F171" s="49">
        <f>VLOOKUP($A171,'Data shares'!$C:$FB,98)</f>
        <v>13653250</v>
      </c>
      <c r="G171" s="49">
        <f>VLOOKUP($A171,'Data shares'!$C:$FB,99)</f>
        <v>13455650</v>
      </c>
      <c r="H171" s="50">
        <f t="shared" si="7"/>
        <v>1.4685280904304141</v>
      </c>
      <c r="I171" s="49">
        <f>VLOOKUP($A171,'Data shares'!$C:$FB,66)</f>
        <v>2548000</v>
      </c>
      <c r="J171" s="49">
        <f>VLOOKUP($A171,'Data shares'!$C:$FB,67)</f>
        <v>4163900</v>
      </c>
      <c r="K171" s="50">
        <f t="shared" si="8"/>
        <v>-63.418367346938773</v>
      </c>
      <c r="L171" s="50">
        <f>VLOOKUP($A171,'Data shares'!$C:$FB,118)</f>
        <v>0.78</v>
      </c>
      <c r="M171" s="50">
        <f>VLOOKUP($A171,'Data shares'!$C:$FB,119)</f>
        <v>0.78</v>
      </c>
      <c r="N171" s="50">
        <f>VLOOKUP($A171,'Data shares'!$C:$FB,121)*100</f>
        <v>0</v>
      </c>
      <c r="O171" s="50">
        <f>VLOOKUP($A171,'Data shares'!$C:$FB,124)</f>
        <v>0.55000000000000004</v>
      </c>
      <c r="P171" s="50">
        <f>VLOOKUP($A171,'Data shares'!$C:$FB,125)</f>
        <v>0.81</v>
      </c>
      <c r="Q171" s="50">
        <f>VLOOKUP($A171,'Data shares'!$C:$FB,127)*100</f>
        <v>-32.1</v>
      </c>
    </row>
    <row r="172" spans="1:17" x14ac:dyDescent="0.25">
      <c r="A172" s="97" t="str">
        <f>'Data Vlaue (Cr)'!C167</f>
        <v>POLICYBZR</v>
      </c>
      <c r="B172" s="140">
        <f>VLOOKUP($A172,'Data shares'!$C:$FB,7)</f>
        <v>1670.8</v>
      </c>
      <c r="C172" s="140">
        <f>VLOOKUP($A172,'Data shares'!$C:$FB,3)</f>
        <v>1676.8</v>
      </c>
      <c r="D172" s="140">
        <f>VLOOKUP($A172,'Data shares'!$C:$FB,4)</f>
        <v>1671</v>
      </c>
      <c r="E172" s="50">
        <f t="shared" si="6"/>
        <v>0.34709754637941082</v>
      </c>
      <c r="F172" s="49">
        <f>VLOOKUP($A172,'Data shares'!$C:$FB,98)</f>
        <v>9772350</v>
      </c>
      <c r="G172" s="49">
        <f>VLOOKUP($A172,'Data shares'!$C:$FB,99)</f>
        <v>9568300</v>
      </c>
      <c r="H172" s="50">
        <f t="shared" si="7"/>
        <v>2.1325627331918939</v>
      </c>
      <c r="I172" s="49">
        <f>VLOOKUP($A172,'Data shares'!$C:$FB,66)</f>
        <v>2034550</v>
      </c>
      <c r="J172" s="49">
        <f>VLOOKUP($A172,'Data shares'!$C:$FB,67)</f>
        <v>1896300</v>
      </c>
      <c r="K172" s="50">
        <f t="shared" si="8"/>
        <v>6.7951143987613971</v>
      </c>
      <c r="L172" s="50">
        <f>VLOOKUP($A172,'Data shares'!$C:$FB,118)</f>
        <v>0.65</v>
      </c>
      <c r="M172" s="50">
        <f>VLOOKUP($A172,'Data shares'!$C:$FB,119)</f>
        <v>0.73</v>
      </c>
      <c r="N172" s="50">
        <f>VLOOKUP($A172,'Data shares'!$C:$FB,121)*100</f>
        <v>-10.96</v>
      </c>
      <c r="O172" s="50">
        <f>VLOOKUP($A172,'Data shares'!$C:$FB,124)</f>
        <v>0.41</v>
      </c>
      <c r="P172" s="50">
        <f>VLOOKUP($A172,'Data shares'!$C:$FB,125)</f>
        <v>0.71</v>
      </c>
      <c r="Q172" s="50">
        <f>VLOOKUP($A172,'Data shares'!$C:$FB,127)*100</f>
        <v>-42.25</v>
      </c>
    </row>
    <row r="173" spans="1:17" x14ac:dyDescent="0.25">
      <c r="A173" s="97" t="str">
        <f>'Data Vlaue (Cr)'!C168</f>
        <v>POLYCAB</v>
      </c>
      <c r="B173" s="140">
        <f>VLOOKUP($A173,'Data shares'!$C:$FB,7)</f>
        <v>8344.5</v>
      </c>
      <c r="C173" s="140">
        <f>VLOOKUP($A173,'Data shares'!$C:$FB,3)</f>
        <v>8391.5</v>
      </c>
      <c r="D173" s="140">
        <f>VLOOKUP($A173,'Data shares'!$C:$FB,4)</f>
        <v>8159.5</v>
      </c>
      <c r="E173" s="50">
        <f t="shared" ref="E173:E182" si="9">(C173-D173)/D173*100</f>
        <v>2.8433114774189594</v>
      </c>
      <c r="F173" s="49">
        <f>VLOOKUP($A173,'Data shares'!$C:$FB,98)</f>
        <v>3922625</v>
      </c>
      <c r="G173" s="49">
        <f>VLOOKUP($A173,'Data shares'!$C:$FB,99)</f>
        <v>3471125</v>
      </c>
      <c r="H173" s="50">
        <f t="shared" ref="H173:H182" si="10">(F173-G173)/G173*100</f>
        <v>13.00731031005798</v>
      </c>
      <c r="I173" s="49">
        <f>VLOOKUP($A173,'Data shares'!$C:$FB,66)</f>
        <v>4027500</v>
      </c>
      <c r="J173" s="49">
        <f>VLOOKUP($A173,'Data shares'!$C:$FB,67)</f>
        <v>1620750</v>
      </c>
      <c r="K173" s="50">
        <f t="shared" ref="K173:K182" si="11">(I173-J173)/I173*100</f>
        <v>59.757914338919925</v>
      </c>
      <c r="L173" s="50">
        <f>VLOOKUP($A173,'Data shares'!$C:$FB,118)</f>
        <v>1.4</v>
      </c>
      <c r="M173" s="50">
        <f>VLOOKUP($A173,'Data shares'!$C:$FB,119)</f>
        <v>1.45</v>
      </c>
      <c r="N173" s="50">
        <f>VLOOKUP($A173,'Data shares'!$C:$FB,121)*100</f>
        <v>-3.45</v>
      </c>
      <c r="O173" s="50">
        <f>VLOOKUP($A173,'Data shares'!$C:$FB,124)</f>
        <v>1.21</v>
      </c>
      <c r="P173" s="50">
        <f>VLOOKUP($A173,'Data shares'!$C:$FB,125)</f>
        <v>0.8</v>
      </c>
      <c r="Q173" s="50">
        <f>VLOOKUP($A173,'Data shares'!$C:$FB,127)*100</f>
        <v>51.249999999999993</v>
      </c>
    </row>
    <row r="174" spans="1:17" x14ac:dyDescent="0.25">
      <c r="A174" s="97" t="str">
        <f>'Data Vlaue (Cr)'!C169</f>
        <v>POWERGRID</v>
      </c>
      <c r="B174" s="140">
        <f>VLOOKUP($A174,'Data shares'!$C:$FB,7)</f>
        <v>319.05</v>
      </c>
      <c r="C174" s="140">
        <f>VLOOKUP($A174,'Data shares'!$C:$FB,3)</f>
        <v>320.10000000000002</v>
      </c>
      <c r="D174" s="140">
        <f>VLOOKUP($A174,'Data shares'!$C:$FB,4)</f>
        <v>319.14999999999998</v>
      </c>
      <c r="E174" s="50">
        <f t="shared" si="9"/>
        <v>0.29766567444776615</v>
      </c>
      <c r="F174" s="49">
        <f>VLOOKUP($A174,'Data shares'!$C:$FB,98)</f>
        <v>112037300</v>
      </c>
      <c r="G174" s="49">
        <f>VLOOKUP($A174,'Data shares'!$C:$FB,99)</f>
        <v>107581800</v>
      </c>
      <c r="H174" s="50">
        <f t="shared" si="10"/>
        <v>4.141499770407262</v>
      </c>
      <c r="I174" s="49">
        <f>VLOOKUP($A174,'Data shares'!$C:$FB,66)</f>
        <v>39217900</v>
      </c>
      <c r="J174" s="49">
        <f>VLOOKUP($A174,'Data shares'!$C:$FB,67)</f>
        <v>39366100</v>
      </c>
      <c r="K174" s="50">
        <f t="shared" si="11"/>
        <v>-0.37788866818468098</v>
      </c>
      <c r="L174" s="50">
        <f>VLOOKUP($A174,'Data shares'!$C:$FB,118)</f>
        <v>0.65</v>
      </c>
      <c r="M174" s="50">
        <f>VLOOKUP($A174,'Data shares'!$C:$FB,119)</f>
        <v>0.7</v>
      </c>
      <c r="N174" s="50">
        <f>VLOOKUP($A174,'Data shares'!$C:$FB,121)*100</f>
        <v>-7.1400000000000006</v>
      </c>
      <c r="O174" s="50">
        <f>VLOOKUP($A174,'Data shares'!$C:$FB,124)</f>
        <v>0.48</v>
      </c>
      <c r="P174" s="50">
        <f>VLOOKUP($A174,'Data shares'!$C:$FB,125)</f>
        <v>0.49</v>
      </c>
      <c r="Q174" s="50">
        <f>VLOOKUP($A174,'Data shares'!$C:$FB,127)*100</f>
        <v>-2.04</v>
      </c>
    </row>
    <row r="175" spans="1:17" x14ac:dyDescent="0.25">
      <c r="A175" s="97" t="str">
        <f>'Data Vlaue (Cr)'!C170</f>
        <v>POWERINDIA</v>
      </c>
      <c r="B175" s="140">
        <f>VLOOKUP($A175,'Data shares'!$C:$FB,7)</f>
        <v>33730</v>
      </c>
      <c r="C175" s="140">
        <f>VLOOKUP($A175,'Data shares'!$C:$FB,3)</f>
        <v>33890</v>
      </c>
      <c r="D175" s="140">
        <f>VLOOKUP($A175,'Data shares'!$C:$FB,4)</f>
        <v>33725</v>
      </c>
      <c r="E175" s="50">
        <f t="shared" si="9"/>
        <v>0.4892512972572276</v>
      </c>
      <c r="F175" s="49">
        <f>VLOOKUP($A175,'Data shares'!$C:$FB,98)</f>
        <v>825725</v>
      </c>
      <c r="G175" s="49">
        <f>VLOOKUP($A175,'Data shares'!$C:$FB,99)</f>
        <v>787400</v>
      </c>
      <c r="H175" s="50">
        <f t="shared" si="10"/>
        <v>4.867284734569469</v>
      </c>
      <c r="I175" s="49">
        <f>VLOOKUP($A175,'Data shares'!$C:$FB,66)</f>
        <v>537900</v>
      </c>
      <c r="J175" s="49">
        <f>VLOOKUP($A175,'Data shares'!$C:$FB,67)</f>
        <v>565575</v>
      </c>
      <c r="K175" s="50">
        <f t="shared" si="11"/>
        <v>-5.1450083658672616</v>
      </c>
      <c r="L175" s="50">
        <f>VLOOKUP($A175,'Data shares'!$C:$FB,118)</f>
        <v>0.84</v>
      </c>
      <c r="M175" s="50">
        <f>VLOOKUP($A175,'Data shares'!$C:$FB,119)</f>
        <v>0.87</v>
      </c>
      <c r="N175" s="50">
        <f>VLOOKUP($A175,'Data shares'!$C:$FB,121)*100</f>
        <v>-3.45</v>
      </c>
      <c r="O175" s="50">
        <f>VLOOKUP($A175,'Data shares'!$C:$FB,124)</f>
        <v>0.62</v>
      </c>
      <c r="P175" s="50">
        <f>VLOOKUP($A175,'Data shares'!$C:$FB,125)</f>
        <v>0.84</v>
      </c>
      <c r="Q175" s="50">
        <f>VLOOKUP($A175,'Data shares'!$C:$FB,127)*100</f>
        <v>-26.19</v>
      </c>
    </row>
    <row r="176" spans="1:17" x14ac:dyDescent="0.25">
      <c r="A176" s="97" t="str">
        <f>'Data Vlaue (Cr)'!C171</f>
        <v>PREMIERENE</v>
      </c>
      <c r="B176" s="140">
        <f>VLOOKUP($A176,'Data shares'!$C:$FB,7)</f>
        <v>1035.0999999999999</v>
      </c>
      <c r="C176" s="140">
        <f>VLOOKUP($A176,'Data shares'!$C:$FB,3)</f>
        <v>1028.8</v>
      </c>
      <c r="D176" s="140">
        <f>VLOOKUP($A176,'Data shares'!$C:$FB,4)</f>
        <v>1005.35</v>
      </c>
      <c r="E176" s="50">
        <f t="shared" si="9"/>
        <v>2.3325210125826756</v>
      </c>
      <c r="F176" s="49">
        <f>VLOOKUP($A176,'Data shares'!$C:$FB,98)</f>
        <v>13436825</v>
      </c>
      <c r="G176" s="49">
        <f>VLOOKUP($A176,'Data shares'!$C:$FB,99)</f>
        <v>13202150</v>
      </c>
      <c r="H176" s="50">
        <f t="shared" si="10"/>
        <v>1.7775513836761438</v>
      </c>
      <c r="I176" s="49">
        <f>VLOOKUP($A176,'Data shares'!$C:$FB,66)</f>
        <v>4417150</v>
      </c>
      <c r="J176" s="49">
        <f>VLOOKUP($A176,'Data shares'!$C:$FB,67)</f>
        <v>6991425</v>
      </c>
      <c r="K176" s="50">
        <f t="shared" si="11"/>
        <v>-58.279093985941167</v>
      </c>
      <c r="L176" s="50">
        <f>VLOOKUP($A176,'Data shares'!$C:$FB,118)</f>
        <v>1.06</v>
      </c>
      <c r="M176" s="50">
        <f>VLOOKUP($A176,'Data shares'!$C:$FB,119)</f>
        <v>0.89</v>
      </c>
      <c r="N176" s="50">
        <f>VLOOKUP($A176,'Data shares'!$C:$FB,121)*100</f>
        <v>19.100000000000001</v>
      </c>
      <c r="O176" s="50">
        <f>VLOOKUP($A176,'Data shares'!$C:$FB,124)</f>
        <v>0.52</v>
      </c>
      <c r="P176" s="50">
        <f>VLOOKUP($A176,'Data shares'!$C:$FB,125)</f>
        <v>0.75</v>
      </c>
      <c r="Q176" s="50">
        <f>VLOOKUP($A176,'Data shares'!$C:$FB,127)*100</f>
        <v>-30.669999999999998</v>
      </c>
    </row>
    <row r="177" spans="1:17" x14ac:dyDescent="0.25">
      <c r="A177" s="97" t="str">
        <f>'Data Vlaue (Cr)'!C172</f>
        <v>PRESTIGE</v>
      </c>
      <c r="B177" s="140">
        <f>VLOOKUP($A177,'Data shares'!$C:$FB,7)</f>
        <v>1454.4</v>
      </c>
      <c r="C177" s="140">
        <f>VLOOKUP($A177,'Data shares'!$C:$FB,3)</f>
        <v>1458.6</v>
      </c>
      <c r="D177" s="140">
        <f>VLOOKUP($A177,'Data shares'!$C:$FB,4)</f>
        <v>1423.2</v>
      </c>
      <c r="E177" s="50">
        <f t="shared" si="9"/>
        <v>2.4873524451939195</v>
      </c>
      <c r="F177" s="49">
        <f>VLOOKUP($A177,'Data shares'!$C:$FB,98)</f>
        <v>7383600</v>
      </c>
      <c r="G177" s="49">
        <f>VLOOKUP($A177,'Data shares'!$C:$FB,99)</f>
        <v>7176600</v>
      </c>
      <c r="H177" s="50">
        <f t="shared" si="10"/>
        <v>2.8843742162026587</v>
      </c>
      <c r="I177" s="49">
        <f>VLOOKUP($A177,'Data shares'!$C:$FB,66)</f>
        <v>2019150</v>
      </c>
      <c r="J177" s="49">
        <f>VLOOKUP($A177,'Data shares'!$C:$FB,67)</f>
        <v>1568700</v>
      </c>
      <c r="K177" s="50">
        <f t="shared" si="11"/>
        <v>22.308892355694226</v>
      </c>
      <c r="L177" s="50">
        <f>VLOOKUP($A177,'Data shares'!$C:$FB,118)</f>
        <v>0.87</v>
      </c>
      <c r="M177" s="50">
        <f>VLOOKUP($A177,'Data shares'!$C:$FB,119)</f>
        <v>1.1499999999999999</v>
      </c>
      <c r="N177" s="50">
        <f>VLOOKUP($A177,'Data shares'!$C:$FB,121)*100</f>
        <v>-24.349999999999998</v>
      </c>
      <c r="O177" s="50">
        <f>VLOOKUP($A177,'Data shares'!$C:$FB,124)</f>
        <v>0.27</v>
      </c>
      <c r="P177" s="50">
        <f>VLOOKUP($A177,'Data shares'!$C:$FB,125)</f>
        <v>1</v>
      </c>
      <c r="Q177" s="50">
        <f>VLOOKUP($A177,'Data shares'!$C:$FB,127)*100</f>
        <v>-73</v>
      </c>
    </row>
    <row r="178" spans="1:17" x14ac:dyDescent="0.25">
      <c r="A178" s="97" t="str">
        <f>'Data Vlaue (Cr)'!C173</f>
        <v>RBLBANK</v>
      </c>
      <c r="B178" s="140">
        <f>VLOOKUP($A178,'Data shares'!$C:$FB,7)</f>
        <v>330.2</v>
      </c>
      <c r="C178" s="140">
        <f>VLOOKUP($A178,'Data shares'!$C:$FB,3)</f>
        <v>332.3</v>
      </c>
      <c r="D178" s="140">
        <f>VLOOKUP($A178,'Data shares'!$C:$FB,4)</f>
        <v>338.65</v>
      </c>
      <c r="E178" s="50">
        <f t="shared" si="9"/>
        <v>-1.8750922781632855</v>
      </c>
      <c r="F178" s="49">
        <f>VLOOKUP($A178,'Data shares'!$C:$FB,98)</f>
        <v>99050475</v>
      </c>
      <c r="G178" s="49">
        <f>VLOOKUP($A178,'Data shares'!$C:$FB,99)</f>
        <v>93770450</v>
      </c>
      <c r="H178" s="50">
        <f t="shared" si="10"/>
        <v>5.630798401841945</v>
      </c>
      <c r="I178" s="49">
        <f>VLOOKUP($A178,'Data shares'!$C:$FB,66)</f>
        <v>69583300</v>
      </c>
      <c r="J178" s="49">
        <f>VLOOKUP($A178,'Data shares'!$C:$FB,67)</f>
        <v>67322700</v>
      </c>
      <c r="K178" s="50">
        <f t="shared" si="11"/>
        <v>3.2487680233619276</v>
      </c>
      <c r="L178" s="50">
        <f>VLOOKUP($A178,'Data shares'!$C:$FB,118)</f>
        <v>0.74</v>
      </c>
      <c r="M178" s="50">
        <f>VLOOKUP($A178,'Data shares'!$C:$FB,119)</f>
        <v>0.79</v>
      </c>
      <c r="N178" s="50">
        <f>VLOOKUP($A178,'Data shares'!$C:$FB,121)*100</f>
        <v>-6.3299999999999992</v>
      </c>
      <c r="O178" s="50">
        <f>VLOOKUP($A178,'Data shares'!$C:$FB,124)</f>
        <v>0.61</v>
      </c>
      <c r="P178" s="50">
        <f>VLOOKUP($A178,'Data shares'!$C:$FB,125)</f>
        <v>0.7</v>
      </c>
      <c r="Q178" s="50">
        <f>VLOOKUP($A178,'Data shares'!$C:$FB,127)*100</f>
        <v>-12.86</v>
      </c>
    </row>
    <row r="179" spans="1:17" x14ac:dyDescent="0.25">
      <c r="A179" s="97" t="str">
        <f>'Data Vlaue (Cr)'!C174</f>
        <v>RECLTD</v>
      </c>
      <c r="B179" s="140">
        <f>VLOOKUP($A179,'Data shares'!$C:$FB,7)</f>
        <v>353.5</v>
      </c>
      <c r="C179" s="140">
        <f>VLOOKUP($A179,'Data shares'!$C:$FB,3)</f>
        <v>355.6</v>
      </c>
      <c r="D179" s="140">
        <f>VLOOKUP($A179,'Data shares'!$C:$FB,4)</f>
        <v>355.35</v>
      </c>
      <c r="E179" s="50">
        <f t="shared" si="9"/>
        <v>7.0353172928099048E-2</v>
      </c>
      <c r="F179" s="49">
        <f>VLOOKUP($A179,'Data shares'!$C:$FB,98)</f>
        <v>108937850</v>
      </c>
      <c r="G179" s="49">
        <f>VLOOKUP($A179,'Data shares'!$C:$FB,99)</f>
        <v>105719075</v>
      </c>
      <c r="H179" s="50">
        <f t="shared" si="10"/>
        <v>3.0446492272089971</v>
      </c>
      <c r="I179" s="49">
        <f>VLOOKUP($A179,'Data shares'!$C:$FB,66)</f>
        <v>32894400</v>
      </c>
      <c r="J179" s="49">
        <f>VLOOKUP($A179,'Data shares'!$C:$FB,67)</f>
        <v>65878400</v>
      </c>
      <c r="K179" s="50">
        <f t="shared" si="11"/>
        <v>-100.27238678924073</v>
      </c>
      <c r="L179" s="50">
        <f>VLOOKUP($A179,'Data shares'!$C:$FB,118)</f>
        <v>0.59</v>
      </c>
      <c r="M179" s="50">
        <f>VLOOKUP($A179,'Data shares'!$C:$FB,119)</f>
        <v>0.62</v>
      </c>
      <c r="N179" s="50">
        <f>VLOOKUP($A179,'Data shares'!$C:$FB,121)*100</f>
        <v>-4.84</v>
      </c>
      <c r="O179" s="50">
        <f>VLOOKUP($A179,'Data shares'!$C:$FB,124)</f>
        <v>0.44</v>
      </c>
      <c r="P179" s="50">
        <f>VLOOKUP($A179,'Data shares'!$C:$FB,125)</f>
        <v>0.56000000000000005</v>
      </c>
      <c r="Q179" s="50">
        <f>VLOOKUP($A179,'Data shares'!$C:$FB,127)*100</f>
        <v>-21.43</v>
      </c>
    </row>
    <row r="180" spans="1:17" x14ac:dyDescent="0.25">
      <c r="A180" s="97" t="str">
        <f>'Data Vlaue (Cr)'!C175</f>
        <v>RELIANCE</v>
      </c>
      <c r="B180" s="140">
        <f>VLOOKUP($A180,'Data shares'!$C:$FB,7)</f>
        <v>1463.1</v>
      </c>
      <c r="C180" s="140">
        <f>VLOOKUP($A180,'Data shares'!$C:$FB,3)</f>
        <v>1467</v>
      </c>
      <c r="D180" s="140">
        <f>VLOOKUP($A180,'Data shares'!$C:$FB,4)</f>
        <v>1435.2</v>
      </c>
      <c r="E180" s="50">
        <f t="shared" si="9"/>
        <v>2.2157190635451474</v>
      </c>
      <c r="F180" s="49">
        <f>VLOOKUP($A180,'Data shares'!$C:$FB,98)</f>
        <v>177046000</v>
      </c>
      <c r="G180" s="49">
        <f>VLOOKUP($A180,'Data shares'!$C:$FB,99)</f>
        <v>175670000</v>
      </c>
      <c r="H180" s="50">
        <f t="shared" si="10"/>
        <v>0.78328684465190423</v>
      </c>
      <c r="I180" s="49">
        <f>VLOOKUP($A180,'Data shares'!$C:$FB,66)</f>
        <v>175452000</v>
      </c>
      <c r="J180" s="49">
        <f>VLOOKUP($A180,'Data shares'!$C:$FB,67)</f>
        <v>155304000</v>
      </c>
      <c r="K180" s="50">
        <f t="shared" si="11"/>
        <v>11.483482661924629</v>
      </c>
      <c r="L180" s="50">
        <f>VLOOKUP($A180,'Data shares'!$C:$FB,118)</f>
        <v>0.92</v>
      </c>
      <c r="M180" s="50">
        <f>VLOOKUP($A180,'Data shares'!$C:$FB,119)</f>
        <v>0.85</v>
      </c>
      <c r="N180" s="50">
        <f>VLOOKUP($A180,'Data shares'!$C:$FB,121)*100</f>
        <v>8.24</v>
      </c>
      <c r="O180" s="50">
        <f>VLOOKUP($A180,'Data shares'!$C:$FB,124)</f>
        <v>0.66</v>
      </c>
      <c r="P180" s="50">
        <f>VLOOKUP($A180,'Data shares'!$C:$FB,125)</f>
        <v>0.68</v>
      </c>
      <c r="Q180" s="50">
        <f>VLOOKUP($A180,'Data shares'!$C:$FB,127)*100</f>
        <v>-2.94</v>
      </c>
    </row>
    <row r="181" spans="1:17" x14ac:dyDescent="0.25">
      <c r="A181" s="97" t="str">
        <f>'Data Vlaue (Cr)'!C176</f>
        <v>RVNL</v>
      </c>
      <c r="B181" s="140">
        <f>VLOOKUP($A181,'Data shares'!$C:$FB,7)</f>
        <v>296.64999999999998</v>
      </c>
      <c r="C181" s="140">
        <f>VLOOKUP($A181,'Data shares'!$C:$FB,3)</f>
        <v>293.3</v>
      </c>
      <c r="D181" s="140">
        <f>VLOOKUP($A181,'Data shares'!$C:$FB,4)</f>
        <v>297.16000000000003</v>
      </c>
      <c r="E181" s="50">
        <f t="shared" si="9"/>
        <v>-1.2989635213353121</v>
      </c>
      <c r="F181" s="49">
        <f>VLOOKUP($A181,'Data shares'!$C:$FB,98)</f>
        <v>74632800</v>
      </c>
      <c r="G181" s="49">
        <f>VLOOKUP($A181,'Data shares'!$C:$FB,99)</f>
        <v>67609675</v>
      </c>
      <c r="H181" s="50">
        <f t="shared" si="10"/>
        <v>10.387751457169408</v>
      </c>
      <c r="I181" s="49">
        <f>VLOOKUP($A181,'Data shares'!$C:$FB,66)</f>
        <v>30019625</v>
      </c>
      <c r="J181" s="49">
        <f>VLOOKUP($A181,'Data shares'!$C:$FB,67)</f>
        <v>17316375</v>
      </c>
      <c r="K181" s="50">
        <f t="shared" si="11"/>
        <v>42.316484632969264</v>
      </c>
      <c r="L181" s="50">
        <f>VLOOKUP($A181,'Data shares'!$C:$FB,118)</f>
        <v>0.61</v>
      </c>
      <c r="M181" s="50">
        <f>VLOOKUP($A181,'Data shares'!$C:$FB,119)</f>
        <v>0.69</v>
      </c>
      <c r="N181" s="50">
        <f>VLOOKUP($A181,'Data shares'!$C:$FB,121)*100</f>
        <v>-11.59</v>
      </c>
      <c r="O181" s="50">
        <f>VLOOKUP($A181,'Data shares'!$C:$FB,124)</f>
        <v>0.37</v>
      </c>
      <c r="P181" s="50">
        <f>VLOOKUP($A181,'Data shares'!$C:$FB,125)</f>
        <v>0.48</v>
      </c>
      <c r="Q181" s="50">
        <f>VLOOKUP($A181,'Data shares'!$C:$FB,127)*100</f>
        <v>-22.919999999999998</v>
      </c>
    </row>
    <row r="182" spans="1:17" x14ac:dyDescent="0.25">
      <c r="A182" s="97" t="str">
        <f>'Data Vlaue (Cr)'!C177</f>
        <v>SAIL</v>
      </c>
      <c r="B182" s="140">
        <f>VLOOKUP($A182,'Data shares'!$C:$FB,7)</f>
        <v>186.15</v>
      </c>
      <c r="C182" s="140">
        <f>VLOOKUP($A182,'Data shares'!$C:$FB,3)</f>
        <v>187.43</v>
      </c>
      <c r="D182" s="140">
        <f>VLOOKUP($A182,'Data shares'!$C:$FB,4)</f>
        <v>185.83</v>
      </c>
      <c r="E182" s="50">
        <f t="shared" si="9"/>
        <v>0.86100199106710129</v>
      </c>
      <c r="F182" s="49">
        <f>VLOOKUP($A182,'Data shares'!$C:$FB,98)</f>
        <v>204722600</v>
      </c>
      <c r="G182" s="49">
        <f>VLOOKUP($A182,'Data shares'!$C:$FB,99)</f>
        <v>196915900</v>
      </c>
      <c r="H182" s="50">
        <f t="shared" si="10"/>
        <v>3.9644843306203303</v>
      </c>
      <c r="I182" s="49">
        <f>VLOOKUP($A182,'Data shares'!$C:$FB,66)</f>
        <v>31179800</v>
      </c>
      <c r="J182" s="49">
        <f>VLOOKUP($A182,'Data shares'!$C:$FB,67)</f>
        <v>56794800</v>
      </c>
      <c r="K182" s="50">
        <f t="shared" si="11"/>
        <v>-82.152547482665057</v>
      </c>
      <c r="L182" s="50">
        <f>VLOOKUP($A182,'Data shares'!$C:$FB,118)</f>
        <v>0.71</v>
      </c>
      <c r="M182" s="50">
        <f>VLOOKUP($A182,'Data shares'!$C:$FB,119)</f>
        <v>0.55000000000000004</v>
      </c>
      <c r="N182" s="50">
        <f>VLOOKUP($A182,'Data shares'!$C:$FB,121)*100</f>
        <v>29.09</v>
      </c>
      <c r="O182" s="50">
        <f>VLOOKUP($A182,'Data shares'!$C:$FB,124)</f>
        <v>0.71</v>
      </c>
      <c r="P182" s="50">
        <f>VLOOKUP($A182,'Data shares'!$C:$FB,125)</f>
        <v>0.52</v>
      </c>
      <c r="Q182" s="50">
        <f>VLOOKUP($A182,'Data shares'!$C:$FB,127)*100</f>
        <v>36.54</v>
      </c>
    </row>
    <row r="183" spans="1:17" x14ac:dyDescent="0.25">
      <c r="A183" s="97" t="str">
        <f>'Data Vlaue (Cr)'!C178</f>
        <v>SAMMAANCAP</v>
      </c>
      <c r="B183" s="140">
        <f>VLOOKUP($A183,'Data shares'!$C:$FB,7)</f>
        <v>146.88999999999999</v>
      </c>
      <c r="C183" s="140">
        <f>VLOOKUP($A183,'Data shares'!$C:$FB,3)</f>
        <v>148.02000000000001</v>
      </c>
      <c r="D183" s="140">
        <f>VLOOKUP($A183,'Data shares'!$C:$FB,4)</f>
        <v>145.55000000000001</v>
      </c>
      <c r="E183" s="50">
        <f>(C183-D183)/D183*100</f>
        <v>1.6970113363105455</v>
      </c>
      <c r="F183" s="49">
        <f>VLOOKUP($A183,'Data shares'!$C:$FB,98)</f>
        <v>142265500</v>
      </c>
      <c r="G183" s="49">
        <f>VLOOKUP($A183,'Data shares'!$C:$FB,99)</f>
        <v>143757600</v>
      </c>
      <c r="H183" s="50">
        <f>(F183-G183)/G183*100</f>
        <v>-1.0379277339076334</v>
      </c>
      <c r="I183" s="49">
        <f>VLOOKUP($A183,'Data shares'!$C:$FB,66)</f>
        <v>48572800</v>
      </c>
      <c r="J183" s="49">
        <f>VLOOKUP($A183,'Data shares'!$C:$FB,67)</f>
        <v>110217600</v>
      </c>
      <c r="K183" s="50">
        <f>(I183-J183)/I183*100</f>
        <v>-126.91218130311614</v>
      </c>
      <c r="L183" s="50">
        <f>VLOOKUP($A183,'Data shares'!$C:$FB,118)</f>
        <v>0.68</v>
      </c>
      <c r="M183" s="50">
        <f>VLOOKUP($A183,'Data shares'!$C:$FB,119)</f>
        <v>0.67</v>
      </c>
      <c r="N183" s="50">
        <f>VLOOKUP($A183,'Data shares'!$C:$FB,121)*100</f>
        <v>1.49</v>
      </c>
      <c r="O183" s="50">
        <f>VLOOKUP($A183,'Data shares'!$C:$FB,124)</f>
        <v>0.38</v>
      </c>
      <c r="P183" s="50">
        <f>VLOOKUP($A183,'Data shares'!$C:$FB,125)</f>
        <v>0.33</v>
      </c>
      <c r="Q183" s="50">
        <f>VLOOKUP($A183,'Data shares'!$C:$FB,127)*100</f>
        <v>15.15</v>
      </c>
    </row>
    <row r="184" spans="1:17" x14ac:dyDescent="0.25">
      <c r="A184" s="97" t="str">
        <f>'Data Vlaue (Cr)'!C179</f>
        <v>SBICARD</v>
      </c>
      <c r="B184" s="140">
        <f>VLOOKUP($A184,'Data shares'!$C:$FB,7)</f>
        <v>644.79999999999995</v>
      </c>
      <c r="C184" s="140">
        <f>VLOOKUP($A184,'Data shares'!$C:$FB,3)</f>
        <v>647.29999999999995</v>
      </c>
      <c r="D184" s="140">
        <f>VLOOKUP($A184,'Data shares'!$C:$FB,4)</f>
        <v>644.85</v>
      </c>
      <c r="E184" s="50">
        <f t="shared" ref="E184:E188" si="12">(C184-D184)/D184*100</f>
        <v>0.37993331782584039</v>
      </c>
      <c r="F184" s="49">
        <f>VLOOKUP($A184,'Data shares'!$C:$FB,98)</f>
        <v>40137600</v>
      </c>
      <c r="G184" s="49">
        <f>VLOOKUP($A184,'Data shares'!$C:$FB,99)</f>
        <v>39184000</v>
      </c>
      <c r="H184" s="50">
        <f t="shared" ref="H184:H188" si="13">(F184-G184)/G184*100</f>
        <v>2.4336463862801141</v>
      </c>
      <c r="I184" s="49">
        <f>VLOOKUP($A184,'Data shares'!$C:$FB,66)</f>
        <v>10723200</v>
      </c>
      <c r="J184" s="49">
        <f>VLOOKUP($A184,'Data shares'!$C:$FB,67)</f>
        <v>16426400</v>
      </c>
      <c r="K184" s="50">
        <f t="shared" ref="K184:K188" si="14">(I184-J184)/I184*100</f>
        <v>-53.185616233960012</v>
      </c>
      <c r="L184" s="50">
        <f>VLOOKUP($A184,'Data shares'!$C:$FB,118)</f>
        <v>0.6</v>
      </c>
      <c r="M184" s="50">
        <f>VLOOKUP($A184,'Data shares'!$C:$FB,119)</f>
        <v>0.62</v>
      </c>
      <c r="N184" s="50">
        <f>VLOOKUP($A184,'Data shares'!$C:$FB,121)*100</f>
        <v>-3.2300000000000004</v>
      </c>
      <c r="O184" s="50">
        <f>VLOOKUP($A184,'Data shares'!$C:$FB,124)</f>
        <v>0.5</v>
      </c>
      <c r="P184" s="50">
        <f>VLOOKUP($A184,'Data shares'!$C:$FB,125)</f>
        <v>0.68</v>
      </c>
      <c r="Q184" s="50">
        <f>VLOOKUP($A184,'Data shares'!$C:$FB,127)*100</f>
        <v>-26.47</v>
      </c>
    </row>
    <row r="185" spans="1:17" x14ac:dyDescent="0.25">
      <c r="A185" s="97" t="str">
        <f>'Data Vlaue (Cr)'!C180</f>
        <v>SBILIFE</v>
      </c>
      <c r="B185" s="140">
        <f>VLOOKUP($A185,'Data shares'!$C:$FB,7)</f>
        <v>1820.1</v>
      </c>
      <c r="C185" s="140">
        <f>VLOOKUP($A185,'Data shares'!$C:$FB,3)</f>
        <v>1827.4</v>
      </c>
      <c r="D185" s="140">
        <f>VLOOKUP($A185,'Data shares'!$C:$FB,4)</f>
        <v>1824</v>
      </c>
      <c r="E185" s="50">
        <f t="shared" si="12"/>
        <v>0.18640350877193482</v>
      </c>
      <c r="F185" s="49">
        <f>VLOOKUP($A185,'Data shares'!$C:$FB,98)</f>
        <v>15378750</v>
      </c>
      <c r="G185" s="49">
        <f>VLOOKUP($A185,'Data shares'!$C:$FB,99)</f>
        <v>14804625</v>
      </c>
      <c r="H185" s="50">
        <f t="shared" si="13"/>
        <v>3.8780110945059398</v>
      </c>
      <c r="I185" s="49">
        <f>VLOOKUP($A185,'Data shares'!$C:$FB,66)</f>
        <v>5196375</v>
      </c>
      <c r="J185" s="49">
        <f>VLOOKUP($A185,'Data shares'!$C:$FB,67)</f>
        <v>3672750</v>
      </c>
      <c r="K185" s="50">
        <f t="shared" si="14"/>
        <v>29.320920834235402</v>
      </c>
      <c r="L185" s="50">
        <f>VLOOKUP($A185,'Data shares'!$C:$FB,118)</f>
        <v>0.56999999999999995</v>
      </c>
      <c r="M185" s="50">
        <f>VLOOKUP($A185,'Data shares'!$C:$FB,119)</f>
        <v>0.69</v>
      </c>
      <c r="N185" s="50">
        <f>VLOOKUP($A185,'Data shares'!$C:$FB,121)*100</f>
        <v>-17.39</v>
      </c>
      <c r="O185" s="50">
        <f>VLOOKUP($A185,'Data shares'!$C:$FB,124)</f>
        <v>0.4</v>
      </c>
      <c r="P185" s="50">
        <f>VLOOKUP($A185,'Data shares'!$C:$FB,125)</f>
        <v>0.54</v>
      </c>
      <c r="Q185" s="50">
        <f>VLOOKUP($A185,'Data shares'!$C:$FB,127)*100</f>
        <v>-25.929999999999996</v>
      </c>
    </row>
    <row r="186" spans="1:17" x14ac:dyDescent="0.25">
      <c r="A186" s="97" t="str">
        <f>'Data Vlaue (Cr)'!C181</f>
        <v>SBIN</v>
      </c>
      <c r="B186" s="140">
        <f>VLOOKUP($A186,'Data shares'!$C:$FB,7)</f>
        <v>1068.4000000000001</v>
      </c>
      <c r="C186" s="140">
        <f>VLOOKUP($A186,'Data shares'!$C:$FB,3)</f>
        <v>1060</v>
      </c>
      <c r="D186" s="140">
        <f>VLOOKUP($A186,'Data shares'!$C:$FB,4)</f>
        <v>1064.0999999999999</v>
      </c>
      <c r="E186" s="50">
        <f t="shared" si="12"/>
        <v>-0.38530213325814394</v>
      </c>
      <c r="F186" s="49">
        <f>VLOOKUP($A186,'Data shares'!$C:$FB,98)</f>
        <v>149257500</v>
      </c>
      <c r="G186" s="49">
        <f>VLOOKUP($A186,'Data shares'!$C:$FB,99)</f>
        <v>138456000</v>
      </c>
      <c r="H186" s="50">
        <f t="shared" si="13"/>
        <v>7.8013953891488992</v>
      </c>
      <c r="I186" s="49">
        <f>VLOOKUP($A186,'Data shares'!$C:$FB,66)</f>
        <v>72697500</v>
      </c>
      <c r="J186" s="49">
        <f>VLOOKUP($A186,'Data shares'!$C:$FB,67)</f>
        <v>75183000</v>
      </c>
      <c r="K186" s="50">
        <f t="shared" si="14"/>
        <v>-3.41896213762509</v>
      </c>
      <c r="L186" s="50">
        <f>VLOOKUP($A186,'Data shares'!$C:$FB,118)</f>
        <v>0.73</v>
      </c>
      <c r="M186" s="50">
        <f>VLOOKUP($A186,'Data shares'!$C:$FB,119)</f>
        <v>0.75</v>
      </c>
      <c r="N186" s="50">
        <f>VLOOKUP($A186,'Data shares'!$C:$FB,121)*100</f>
        <v>-2.67</v>
      </c>
      <c r="O186" s="50">
        <f>VLOOKUP($A186,'Data shares'!$C:$FB,124)</f>
        <v>0.56999999999999995</v>
      </c>
      <c r="P186" s="50">
        <f>VLOOKUP($A186,'Data shares'!$C:$FB,125)</f>
        <v>0.71</v>
      </c>
      <c r="Q186" s="50">
        <f>VLOOKUP($A186,'Data shares'!$C:$FB,127)*100</f>
        <v>-19.72</v>
      </c>
    </row>
    <row r="187" spans="1:17" x14ac:dyDescent="0.25">
      <c r="A187" s="97" t="str">
        <f>'Data Vlaue (Cr)'!C182</f>
        <v>SHREECEM</v>
      </c>
      <c r="B187" s="140">
        <f>VLOOKUP($A187,'Data shares'!$C:$FB,7)</f>
        <v>24740</v>
      </c>
      <c r="C187" s="140">
        <f>VLOOKUP($A187,'Data shares'!$C:$FB,3)</f>
        <v>24655</v>
      </c>
      <c r="D187" s="140">
        <f>VLOOKUP($A187,'Data shares'!$C:$FB,4)</f>
        <v>24030</v>
      </c>
      <c r="E187" s="50">
        <f t="shared" si="12"/>
        <v>2.6009155222638367</v>
      </c>
      <c r="F187" s="49">
        <f>VLOOKUP($A187,'Data shares'!$C:$FB,98)</f>
        <v>481725</v>
      </c>
      <c r="G187" s="49">
        <f>VLOOKUP($A187,'Data shares'!$C:$FB,99)</f>
        <v>462750</v>
      </c>
      <c r="H187" s="50">
        <f t="shared" si="13"/>
        <v>4.1004862236628847</v>
      </c>
      <c r="I187" s="49">
        <f>VLOOKUP($A187,'Data shares'!$C:$FB,66)</f>
        <v>130350</v>
      </c>
      <c r="J187" s="49">
        <f>VLOOKUP($A187,'Data shares'!$C:$FB,67)</f>
        <v>139975</v>
      </c>
      <c r="K187" s="50">
        <f t="shared" si="14"/>
        <v>-7.3839662447257384</v>
      </c>
      <c r="L187" s="50">
        <f>VLOOKUP($A187,'Data shares'!$C:$FB,118)</f>
        <v>0.89</v>
      </c>
      <c r="M187" s="50">
        <f>VLOOKUP($A187,'Data shares'!$C:$FB,119)</f>
        <v>0.86</v>
      </c>
      <c r="N187" s="50">
        <f>VLOOKUP($A187,'Data shares'!$C:$FB,121)*100</f>
        <v>3.49</v>
      </c>
      <c r="O187" s="50">
        <f>VLOOKUP($A187,'Data shares'!$C:$FB,124)</f>
        <v>0.4</v>
      </c>
      <c r="P187" s="50">
        <f>VLOOKUP($A187,'Data shares'!$C:$FB,125)</f>
        <v>0.57999999999999996</v>
      </c>
      <c r="Q187" s="50">
        <f>VLOOKUP($A187,'Data shares'!$C:$FB,127)*100</f>
        <v>-31.03</v>
      </c>
    </row>
    <row r="188" spans="1:17" x14ac:dyDescent="0.25">
      <c r="A188" s="97" t="str">
        <f>'Data Vlaue (Cr)'!C183</f>
        <v>SHRIRAMFIN</v>
      </c>
      <c r="B188" s="140">
        <f>VLOOKUP($A188,'Data shares'!$C:$FB,7)</f>
        <v>960.45</v>
      </c>
      <c r="C188" s="140">
        <f>VLOOKUP($A188,'Data shares'!$C:$FB,3)</f>
        <v>962.95</v>
      </c>
      <c r="D188" s="140">
        <f>VLOOKUP($A188,'Data shares'!$C:$FB,4)</f>
        <v>939.95</v>
      </c>
      <c r="E188" s="50">
        <f t="shared" si="12"/>
        <v>2.4469386669503694</v>
      </c>
      <c r="F188" s="49">
        <f>VLOOKUP($A188,'Data shares'!$C:$FB,98)</f>
        <v>71866575</v>
      </c>
      <c r="G188" s="49">
        <f>VLOOKUP($A188,'Data shares'!$C:$FB,99)</f>
        <v>70616700</v>
      </c>
      <c r="H188" s="50">
        <f t="shared" si="13"/>
        <v>1.7699425206785364</v>
      </c>
      <c r="I188" s="49">
        <f>VLOOKUP($A188,'Data shares'!$C:$FB,66)</f>
        <v>29073000</v>
      </c>
      <c r="J188" s="49">
        <f>VLOOKUP($A188,'Data shares'!$C:$FB,67)</f>
        <v>35607000</v>
      </c>
      <c r="K188" s="50">
        <f t="shared" si="14"/>
        <v>-22.474460839954595</v>
      </c>
      <c r="L188" s="50">
        <f>VLOOKUP($A188,'Data shares'!$C:$FB,118)</f>
        <v>0.47</v>
      </c>
      <c r="M188" s="50">
        <f>VLOOKUP($A188,'Data shares'!$C:$FB,119)</f>
        <v>0.48</v>
      </c>
      <c r="N188" s="50">
        <f>VLOOKUP($A188,'Data shares'!$C:$FB,121)*100</f>
        <v>-2.08</v>
      </c>
      <c r="O188" s="50">
        <f>VLOOKUP($A188,'Data shares'!$C:$FB,124)</f>
        <v>0.38</v>
      </c>
      <c r="P188" s="50">
        <f>VLOOKUP($A188,'Data shares'!$C:$FB,125)</f>
        <v>0.54</v>
      </c>
      <c r="Q188" s="50">
        <f>VLOOKUP($A188,'Data shares'!$C:$FB,127)*100</f>
        <v>-29.630000000000003</v>
      </c>
    </row>
    <row r="189" spans="1:17" x14ac:dyDescent="0.25">
      <c r="A189" s="97" t="str">
        <f>'Data Vlaue (Cr)'!C184</f>
        <v>SIEMENS</v>
      </c>
      <c r="B189" s="140">
        <f>VLOOKUP($A189,'Data shares'!$C:$FB,7)</f>
        <v>3834.1</v>
      </c>
      <c r="C189" s="140">
        <f>VLOOKUP($A189,'Data shares'!$C:$FB,3)</f>
        <v>3835.4</v>
      </c>
      <c r="D189" s="140">
        <f>VLOOKUP($A189,'Data shares'!$C:$FB,4)</f>
        <v>3821.9</v>
      </c>
      <c r="E189" s="50">
        <f t="shared" ref="E189:E209" si="15">(C189-D189)/D189*100</f>
        <v>0.35322745231429392</v>
      </c>
      <c r="F189" s="49">
        <f>VLOOKUP($A189,'Data shares'!$C:$FB,98)</f>
        <v>4541075</v>
      </c>
      <c r="G189" s="49">
        <f>VLOOKUP($A189,'Data shares'!$C:$FB,99)</f>
        <v>4123000</v>
      </c>
      <c r="H189" s="50">
        <f t="shared" ref="H189:H209" si="16">(F189-G189)/G189*100</f>
        <v>10.14006791171477</v>
      </c>
      <c r="I189" s="49">
        <f>VLOOKUP($A189,'Data shares'!$C:$FB,66)</f>
        <v>5385275</v>
      </c>
      <c r="J189" s="49">
        <f>VLOOKUP($A189,'Data shares'!$C:$FB,67)</f>
        <v>2658075</v>
      </c>
      <c r="K189" s="50">
        <f t="shared" ref="K189:K209" si="17">(I189-J189)/I189*100</f>
        <v>50.641796379943457</v>
      </c>
      <c r="L189" s="50">
        <f>VLOOKUP($A189,'Data shares'!$C:$FB,118)</f>
        <v>0.56000000000000005</v>
      </c>
      <c r="M189" s="50">
        <f>VLOOKUP($A189,'Data shares'!$C:$FB,119)</f>
        <v>0.61</v>
      </c>
      <c r="N189" s="50">
        <f>VLOOKUP($A189,'Data shares'!$C:$FB,121)*100</f>
        <v>-8.2000000000000011</v>
      </c>
      <c r="O189" s="50">
        <f>VLOOKUP($A189,'Data shares'!$C:$FB,124)</f>
        <v>0.27</v>
      </c>
      <c r="P189" s="50">
        <f>VLOOKUP($A189,'Data shares'!$C:$FB,125)</f>
        <v>0.38</v>
      </c>
      <c r="Q189" s="50">
        <f>VLOOKUP($A189,'Data shares'!$C:$FB,127)*100</f>
        <v>-28.95</v>
      </c>
    </row>
    <row r="190" spans="1:17" x14ac:dyDescent="0.25">
      <c r="A190" s="97" t="str">
        <f>'Data Vlaue (Cr)'!C185</f>
        <v>SOLARINDS</v>
      </c>
      <c r="B190" s="140">
        <f>VLOOKUP($A190,'Data shares'!$C:$FB,7)</f>
        <v>15459</v>
      </c>
      <c r="C190" s="140">
        <f>VLOOKUP($A190,'Data shares'!$C:$FB,3)</f>
        <v>15520</v>
      </c>
      <c r="D190" s="140">
        <f>VLOOKUP($A190,'Data shares'!$C:$FB,4)</f>
        <v>15535</v>
      </c>
      <c r="E190" s="50">
        <f t="shared" si="15"/>
        <v>-9.6556163501770195E-2</v>
      </c>
      <c r="F190" s="49">
        <f>VLOOKUP($A190,'Data shares'!$C:$FB,98)</f>
        <v>944050</v>
      </c>
      <c r="G190" s="49">
        <f>VLOOKUP($A190,'Data shares'!$C:$FB,99)</f>
        <v>942050</v>
      </c>
      <c r="H190" s="50">
        <f t="shared" si="16"/>
        <v>0.21230295631866672</v>
      </c>
      <c r="I190" s="49">
        <f>VLOOKUP($A190,'Data shares'!$C:$FB,66)</f>
        <v>202250</v>
      </c>
      <c r="J190" s="49">
        <f>VLOOKUP($A190,'Data shares'!$C:$FB,67)</f>
        <v>286800</v>
      </c>
      <c r="K190" s="50">
        <f t="shared" si="17"/>
        <v>-41.804697156983934</v>
      </c>
      <c r="L190" s="50">
        <f>VLOOKUP($A190,'Data shares'!$C:$FB,118)</f>
        <v>0.69</v>
      </c>
      <c r="M190" s="50">
        <f>VLOOKUP($A190,'Data shares'!$C:$FB,119)</f>
        <v>0.73</v>
      </c>
      <c r="N190" s="50">
        <f>VLOOKUP($A190,'Data shares'!$C:$FB,121)*100</f>
        <v>-5.48</v>
      </c>
      <c r="O190" s="50">
        <f>VLOOKUP($A190,'Data shares'!$C:$FB,124)</f>
        <v>0.62</v>
      </c>
      <c r="P190" s="50">
        <f>VLOOKUP($A190,'Data shares'!$C:$FB,125)</f>
        <v>0.41</v>
      </c>
      <c r="Q190" s="50">
        <f>VLOOKUP($A190,'Data shares'!$C:$FB,127)*100</f>
        <v>51.22</v>
      </c>
    </row>
    <row r="191" spans="1:17" x14ac:dyDescent="0.25">
      <c r="A191" s="97" t="str">
        <f>'Data Vlaue (Cr)'!C186</f>
        <v>SONACOMS</v>
      </c>
      <c r="B191" s="140">
        <f>VLOOKUP($A191,'Data shares'!$C:$FB,7)</f>
        <v>575.45000000000005</v>
      </c>
      <c r="C191" s="140">
        <f>VLOOKUP($A191,'Data shares'!$C:$FB,3)</f>
        <v>577</v>
      </c>
      <c r="D191" s="140">
        <f>VLOOKUP($A191,'Data shares'!$C:$FB,4)</f>
        <v>609.25</v>
      </c>
      <c r="E191" s="50">
        <f t="shared" si="15"/>
        <v>-5.2933935166187931</v>
      </c>
      <c r="F191" s="49">
        <f>VLOOKUP($A191,'Data shares'!$C:$FB,98)</f>
        <v>23244375</v>
      </c>
      <c r="G191" s="49">
        <f>VLOOKUP($A191,'Data shares'!$C:$FB,99)</f>
        <v>19544875</v>
      </c>
      <c r="H191" s="50">
        <f t="shared" si="16"/>
        <v>18.92823566280163</v>
      </c>
      <c r="I191" s="49">
        <f>VLOOKUP($A191,'Data shares'!$C:$FB,66)</f>
        <v>32610725</v>
      </c>
      <c r="J191" s="49">
        <f>VLOOKUP($A191,'Data shares'!$C:$FB,67)</f>
        <v>14119350</v>
      </c>
      <c r="K191" s="50">
        <f t="shared" si="17"/>
        <v>56.703354494571954</v>
      </c>
      <c r="L191" s="50">
        <f>VLOOKUP($A191,'Data shares'!$C:$FB,118)</f>
        <v>0.56999999999999995</v>
      </c>
      <c r="M191" s="50">
        <f>VLOOKUP($A191,'Data shares'!$C:$FB,119)</f>
        <v>0.76</v>
      </c>
      <c r="N191" s="50">
        <f>VLOOKUP($A191,'Data shares'!$C:$FB,121)*100</f>
        <v>-25</v>
      </c>
      <c r="O191" s="50">
        <f>VLOOKUP($A191,'Data shares'!$C:$FB,124)</f>
        <v>0.6</v>
      </c>
      <c r="P191" s="50">
        <f>VLOOKUP($A191,'Data shares'!$C:$FB,125)</f>
        <v>0.51</v>
      </c>
      <c r="Q191" s="50">
        <f>VLOOKUP($A191,'Data shares'!$C:$FB,127)*100</f>
        <v>17.649999999999999</v>
      </c>
    </row>
    <row r="192" spans="1:17" x14ac:dyDescent="0.25">
      <c r="A192" s="97" t="str">
        <f>'Data Vlaue (Cr)'!C187</f>
        <v>SRF</v>
      </c>
      <c r="B192" s="140">
        <f>VLOOKUP($A192,'Data shares'!$C:$FB,7)</f>
        <v>2551.4</v>
      </c>
      <c r="C192" s="140">
        <f>VLOOKUP($A192,'Data shares'!$C:$FB,3)</f>
        <v>2564.6999999999998</v>
      </c>
      <c r="D192" s="140">
        <f>VLOOKUP($A192,'Data shares'!$C:$FB,4)</f>
        <v>2533.8000000000002</v>
      </c>
      <c r="E192" s="50">
        <f t="shared" si="15"/>
        <v>1.2195121951219368</v>
      </c>
      <c r="F192" s="49">
        <f>VLOOKUP($A192,'Data shares'!$C:$FB,98)</f>
        <v>5465800</v>
      </c>
      <c r="G192" s="49">
        <f>VLOOKUP($A192,'Data shares'!$C:$FB,99)</f>
        <v>5246800</v>
      </c>
      <c r="H192" s="50">
        <f t="shared" si="16"/>
        <v>4.1739727071738963</v>
      </c>
      <c r="I192" s="49">
        <f>VLOOKUP($A192,'Data shares'!$C:$FB,66)</f>
        <v>2217400</v>
      </c>
      <c r="J192" s="49">
        <f>VLOOKUP($A192,'Data shares'!$C:$FB,67)</f>
        <v>1643200</v>
      </c>
      <c r="K192" s="50">
        <f t="shared" si="17"/>
        <v>25.895192567872282</v>
      </c>
      <c r="L192" s="50">
        <f>VLOOKUP($A192,'Data shares'!$C:$FB,118)</f>
        <v>0.83</v>
      </c>
      <c r="M192" s="50">
        <f>VLOOKUP($A192,'Data shares'!$C:$FB,119)</f>
        <v>0.91</v>
      </c>
      <c r="N192" s="50">
        <f>VLOOKUP($A192,'Data shares'!$C:$FB,121)*100</f>
        <v>-8.7900000000000009</v>
      </c>
      <c r="O192" s="50">
        <f>VLOOKUP($A192,'Data shares'!$C:$FB,124)</f>
        <v>0.39</v>
      </c>
      <c r="P192" s="50">
        <f>VLOOKUP($A192,'Data shares'!$C:$FB,125)</f>
        <v>0.44</v>
      </c>
      <c r="Q192" s="50">
        <f>VLOOKUP($A192,'Data shares'!$C:$FB,127)*100</f>
        <v>-11.360000000000001</v>
      </c>
    </row>
    <row r="193" spans="1:17" x14ac:dyDescent="0.25">
      <c r="A193" s="97" t="str">
        <f>'Data Vlaue (Cr)'!C188</f>
        <v>SUNPHARMA</v>
      </c>
      <c r="B193" s="140">
        <f>VLOOKUP($A193,'Data shares'!$C:$FB,7)</f>
        <v>1823.5</v>
      </c>
      <c r="C193" s="140">
        <f>VLOOKUP($A193,'Data shares'!$C:$FB,3)</f>
        <v>1828.1</v>
      </c>
      <c r="D193" s="140">
        <f>VLOOKUP($A193,'Data shares'!$C:$FB,4)</f>
        <v>1815</v>
      </c>
      <c r="E193" s="50">
        <f t="shared" si="15"/>
        <v>0.721763085399444</v>
      </c>
      <c r="F193" s="49">
        <f>VLOOKUP($A193,'Data shares'!$C:$FB,98)</f>
        <v>44591750</v>
      </c>
      <c r="G193" s="49">
        <f>VLOOKUP($A193,'Data shares'!$C:$FB,99)</f>
        <v>42444850</v>
      </c>
      <c r="H193" s="50">
        <f t="shared" si="16"/>
        <v>5.0580930313100412</v>
      </c>
      <c r="I193" s="49">
        <f>VLOOKUP($A193,'Data shares'!$C:$FB,66)</f>
        <v>22885800</v>
      </c>
      <c r="J193" s="49">
        <f>VLOOKUP($A193,'Data shares'!$C:$FB,67)</f>
        <v>33560100</v>
      </c>
      <c r="K193" s="50">
        <f t="shared" si="17"/>
        <v>-46.641585612038902</v>
      </c>
      <c r="L193" s="50">
        <f>VLOOKUP($A193,'Data shares'!$C:$FB,118)</f>
        <v>0.72</v>
      </c>
      <c r="M193" s="50">
        <f>VLOOKUP($A193,'Data shares'!$C:$FB,119)</f>
        <v>0.76</v>
      </c>
      <c r="N193" s="50">
        <f>VLOOKUP($A193,'Data shares'!$C:$FB,121)*100</f>
        <v>-5.26</v>
      </c>
      <c r="O193" s="50">
        <f>VLOOKUP($A193,'Data shares'!$C:$FB,124)</f>
        <v>0.53</v>
      </c>
      <c r="P193" s="50">
        <f>VLOOKUP($A193,'Data shares'!$C:$FB,125)</f>
        <v>0.48</v>
      </c>
      <c r="Q193" s="50">
        <f>VLOOKUP($A193,'Data shares'!$C:$FB,127)*100</f>
        <v>10.42</v>
      </c>
    </row>
    <row r="194" spans="1:17" x14ac:dyDescent="0.25">
      <c r="A194" s="97" t="str">
        <f>'Data Vlaue (Cr)'!C189</f>
        <v>SUPREMEIND</v>
      </c>
      <c r="B194" s="140">
        <f>VLOOKUP($A194,'Data shares'!$C:$FB,7)</f>
        <v>3620.1</v>
      </c>
      <c r="C194" s="140">
        <f>VLOOKUP($A194,'Data shares'!$C:$FB,3)</f>
        <v>3638</v>
      </c>
      <c r="D194" s="140">
        <f>VLOOKUP($A194,'Data shares'!$C:$FB,4)</f>
        <v>3632.1</v>
      </c>
      <c r="E194" s="50">
        <f t="shared" si="15"/>
        <v>0.16244046144104213</v>
      </c>
      <c r="F194" s="49">
        <f>VLOOKUP($A194,'Data shares'!$C:$FB,98)</f>
        <v>3570525</v>
      </c>
      <c r="G194" s="49">
        <f>VLOOKUP($A194,'Data shares'!$C:$FB,99)</f>
        <v>3407075</v>
      </c>
      <c r="H194" s="50">
        <f t="shared" si="16"/>
        <v>4.797370178232061</v>
      </c>
      <c r="I194" s="49">
        <f>VLOOKUP($A194,'Data shares'!$C:$FB,66)</f>
        <v>1359575</v>
      </c>
      <c r="J194" s="49">
        <f>VLOOKUP($A194,'Data shares'!$C:$FB,67)</f>
        <v>1607550</v>
      </c>
      <c r="K194" s="50">
        <f t="shared" si="17"/>
        <v>-18.239155618483718</v>
      </c>
      <c r="L194" s="50">
        <f>VLOOKUP($A194,'Data shares'!$C:$FB,118)</f>
        <v>0.45</v>
      </c>
      <c r="M194" s="50">
        <f>VLOOKUP($A194,'Data shares'!$C:$FB,119)</f>
        <v>0.46</v>
      </c>
      <c r="N194" s="50">
        <f>VLOOKUP($A194,'Data shares'!$C:$FB,121)*100</f>
        <v>-2.17</v>
      </c>
      <c r="O194" s="50">
        <f>VLOOKUP($A194,'Data shares'!$C:$FB,124)</f>
        <v>0.41</v>
      </c>
      <c r="P194" s="50">
        <f>VLOOKUP($A194,'Data shares'!$C:$FB,125)</f>
        <v>0.62</v>
      </c>
      <c r="Q194" s="50">
        <f>VLOOKUP($A194,'Data shares'!$C:$FB,127)*100</f>
        <v>-33.869999999999997</v>
      </c>
    </row>
    <row r="195" spans="1:17" x14ac:dyDescent="0.25">
      <c r="A195" s="97" t="str">
        <f>'Data Vlaue (Cr)'!C190</f>
        <v>SUZLON</v>
      </c>
      <c r="B195" s="140">
        <f>VLOOKUP($A195,'Data shares'!$C:$FB,7)</f>
        <v>54.96</v>
      </c>
      <c r="C195" s="140">
        <f>VLOOKUP($A195,'Data shares'!$C:$FB,3)</f>
        <v>55.06</v>
      </c>
      <c r="D195" s="140">
        <f>VLOOKUP($A195,'Data shares'!$C:$FB,4)</f>
        <v>55.79</v>
      </c>
      <c r="E195" s="50">
        <f t="shared" si="15"/>
        <v>-1.3084782219035613</v>
      </c>
      <c r="F195" s="49">
        <f>VLOOKUP($A195,'Data shares'!$C:$FB,98)</f>
        <v>485416125</v>
      </c>
      <c r="G195" s="49">
        <f>VLOOKUP($A195,'Data shares'!$C:$FB,99)</f>
        <v>454689725</v>
      </c>
      <c r="H195" s="50">
        <f t="shared" si="16"/>
        <v>6.7576631515040289</v>
      </c>
      <c r="I195" s="49">
        <f>VLOOKUP($A195,'Data shares'!$C:$FB,66)</f>
        <v>245732700</v>
      </c>
      <c r="J195" s="49">
        <f>VLOOKUP($A195,'Data shares'!$C:$FB,67)</f>
        <v>204587725</v>
      </c>
      <c r="K195" s="50">
        <f t="shared" si="17"/>
        <v>16.743793154106068</v>
      </c>
      <c r="L195" s="50">
        <f>VLOOKUP($A195,'Data shares'!$C:$FB,118)</f>
        <v>0.43</v>
      </c>
      <c r="M195" s="50">
        <f>VLOOKUP($A195,'Data shares'!$C:$FB,119)</f>
        <v>0.45</v>
      </c>
      <c r="N195" s="50">
        <f>VLOOKUP($A195,'Data shares'!$C:$FB,121)*100</f>
        <v>-4.4400000000000004</v>
      </c>
      <c r="O195" s="50">
        <f>VLOOKUP($A195,'Data shares'!$C:$FB,124)</f>
        <v>0.45</v>
      </c>
      <c r="P195" s="50">
        <f>VLOOKUP($A195,'Data shares'!$C:$FB,125)</f>
        <v>0.63</v>
      </c>
      <c r="Q195" s="50">
        <f>VLOOKUP($A195,'Data shares'!$C:$FB,127)*100</f>
        <v>-28.57</v>
      </c>
    </row>
    <row r="196" spans="1:17" x14ac:dyDescent="0.25">
      <c r="A196" s="97" t="str">
        <f>'Data Vlaue (Cr)'!C191</f>
        <v>SWIGGY</v>
      </c>
      <c r="B196" s="140">
        <f>VLOOKUP($A196,'Data shares'!$C:$FB,7)</f>
        <v>278.8</v>
      </c>
      <c r="C196" s="140">
        <f>VLOOKUP($A196,'Data shares'!$C:$FB,3)</f>
        <v>277.8</v>
      </c>
      <c r="D196" s="140">
        <f>VLOOKUP($A196,'Data shares'!$C:$FB,4)</f>
        <v>271</v>
      </c>
      <c r="E196" s="50">
        <f t="shared" si="15"/>
        <v>2.5092250922509267</v>
      </c>
      <c r="F196" s="49">
        <f>VLOOKUP($A196,'Data shares'!$C:$FB,98)</f>
        <v>57223325</v>
      </c>
      <c r="G196" s="49">
        <f>VLOOKUP($A196,'Data shares'!$C:$FB,99)</f>
        <v>54716625</v>
      </c>
      <c r="H196" s="50">
        <f t="shared" si="16"/>
        <v>4.5812401623820911</v>
      </c>
      <c r="I196" s="49">
        <f>VLOOKUP($A196,'Data shares'!$C:$FB,66)</f>
        <v>17615000</v>
      </c>
      <c r="J196" s="49">
        <f>VLOOKUP($A196,'Data shares'!$C:$FB,67)</f>
        <v>17378400</v>
      </c>
      <c r="K196" s="50">
        <f t="shared" si="17"/>
        <v>1.3431734317343174</v>
      </c>
      <c r="L196" s="50">
        <f>VLOOKUP($A196,'Data shares'!$C:$FB,118)</f>
        <v>0.65</v>
      </c>
      <c r="M196" s="50">
        <f>VLOOKUP($A196,'Data shares'!$C:$FB,119)</f>
        <v>0.7</v>
      </c>
      <c r="N196" s="50">
        <f>VLOOKUP($A196,'Data shares'!$C:$FB,121)*100</f>
        <v>-7.1400000000000006</v>
      </c>
      <c r="O196" s="50">
        <f>VLOOKUP($A196,'Data shares'!$C:$FB,124)</f>
        <v>0.41</v>
      </c>
      <c r="P196" s="50">
        <f>VLOOKUP($A196,'Data shares'!$C:$FB,125)</f>
        <v>0.66</v>
      </c>
      <c r="Q196" s="50">
        <f>VLOOKUP($A196,'Data shares'!$C:$FB,127)*100</f>
        <v>-37.880000000000003</v>
      </c>
    </row>
    <row r="197" spans="1:17" x14ac:dyDescent="0.25">
      <c r="A197" s="97" t="str">
        <f>'Data Vlaue (Cr)'!C192</f>
        <v>TATACONSUM</v>
      </c>
      <c r="B197" s="140">
        <f>VLOOKUP($A197,'Data shares'!$C:$FB,7)</f>
        <v>1160.4000000000001</v>
      </c>
      <c r="C197" s="140">
        <f>VLOOKUP($A197,'Data shares'!$C:$FB,3)</f>
        <v>1163.4000000000001</v>
      </c>
      <c r="D197" s="140">
        <f>VLOOKUP($A197,'Data shares'!$C:$FB,4)</f>
        <v>1150.0999999999999</v>
      </c>
      <c r="E197" s="50">
        <f t="shared" si="15"/>
        <v>1.1564211807669058</v>
      </c>
      <c r="F197" s="49">
        <f>VLOOKUP($A197,'Data shares'!$C:$FB,98)</f>
        <v>13016850</v>
      </c>
      <c r="G197" s="49">
        <f>VLOOKUP($A197,'Data shares'!$C:$FB,99)</f>
        <v>12482800</v>
      </c>
      <c r="H197" s="50">
        <f t="shared" si="16"/>
        <v>4.2782869228057807</v>
      </c>
      <c r="I197" s="49">
        <f>VLOOKUP($A197,'Data shares'!$C:$FB,66)</f>
        <v>5360300</v>
      </c>
      <c r="J197" s="49">
        <f>VLOOKUP($A197,'Data shares'!$C:$FB,67)</f>
        <v>4222350</v>
      </c>
      <c r="K197" s="50">
        <f t="shared" si="17"/>
        <v>21.2292222450236</v>
      </c>
      <c r="L197" s="50">
        <f>VLOOKUP($A197,'Data shares'!$C:$FB,118)</f>
        <v>0.56000000000000005</v>
      </c>
      <c r="M197" s="50">
        <f>VLOOKUP($A197,'Data shares'!$C:$FB,119)</f>
        <v>0.62</v>
      </c>
      <c r="N197" s="50">
        <f>VLOOKUP($A197,'Data shares'!$C:$FB,121)*100</f>
        <v>-9.68</v>
      </c>
      <c r="O197" s="50">
        <f>VLOOKUP($A197,'Data shares'!$C:$FB,124)</f>
        <v>0.26</v>
      </c>
      <c r="P197" s="50">
        <f>VLOOKUP($A197,'Data shares'!$C:$FB,125)</f>
        <v>0.42</v>
      </c>
      <c r="Q197" s="50">
        <f>VLOOKUP($A197,'Data shares'!$C:$FB,127)*100</f>
        <v>-38.1</v>
      </c>
    </row>
    <row r="198" spans="1:17" x14ac:dyDescent="0.25">
      <c r="A198" s="97" t="str">
        <f>'Data Vlaue (Cr)'!C193</f>
        <v>TATAELXSI</v>
      </c>
      <c r="B198" s="140">
        <f>VLOOKUP($A198,'Data shares'!$C:$FB,7)</f>
        <v>4178.7</v>
      </c>
      <c r="C198" s="140">
        <f>VLOOKUP($A198,'Data shares'!$C:$FB,3)</f>
        <v>4171.1000000000004</v>
      </c>
      <c r="D198" s="140">
        <f>VLOOKUP($A198,'Data shares'!$C:$FB,4)</f>
        <v>4149.3999999999996</v>
      </c>
      <c r="E198" s="50">
        <f t="shared" si="15"/>
        <v>0.52296717597726727</v>
      </c>
      <c r="F198" s="49">
        <f>VLOOKUP($A198,'Data shares'!$C:$FB,98)</f>
        <v>4382800</v>
      </c>
      <c r="G198" s="49">
        <f>VLOOKUP($A198,'Data shares'!$C:$FB,99)</f>
        <v>4139975</v>
      </c>
      <c r="H198" s="50">
        <f t="shared" si="16"/>
        <v>5.8653735831738114</v>
      </c>
      <c r="I198" s="49">
        <f>VLOOKUP($A198,'Data shares'!$C:$FB,66)</f>
        <v>1332800</v>
      </c>
      <c r="J198" s="49">
        <f>VLOOKUP($A198,'Data shares'!$C:$FB,67)</f>
        <v>1539400</v>
      </c>
      <c r="K198" s="50">
        <f t="shared" si="17"/>
        <v>-15.501200480192075</v>
      </c>
      <c r="L198" s="50">
        <f>VLOOKUP($A198,'Data shares'!$C:$FB,118)</f>
        <v>0.45</v>
      </c>
      <c r="M198" s="50">
        <f>VLOOKUP($A198,'Data shares'!$C:$FB,119)</f>
        <v>0.45</v>
      </c>
      <c r="N198" s="50">
        <f>VLOOKUP($A198,'Data shares'!$C:$FB,121)*100</f>
        <v>0</v>
      </c>
      <c r="O198" s="50">
        <f>VLOOKUP($A198,'Data shares'!$C:$FB,124)</f>
        <v>0.33</v>
      </c>
      <c r="P198" s="50">
        <f>VLOOKUP($A198,'Data shares'!$C:$FB,125)</f>
        <v>0.46</v>
      </c>
      <c r="Q198" s="50">
        <f>VLOOKUP($A198,'Data shares'!$C:$FB,127)*100</f>
        <v>-28.26</v>
      </c>
    </row>
    <row r="199" spans="1:17" x14ac:dyDescent="0.25">
      <c r="A199" s="97" t="str">
        <f>'Data Vlaue (Cr)'!C194</f>
        <v>TATAPOWER</v>
      </c>
      <c r="B199" s="140">
        <f>VLOOKUP($A199,'Data shares'!$C:$FB,7)</f>
        <v>441.4</v>
      </c>
      <c r="C199" s="140">
        <f>VLOOKUP($A199,'Data shares'!$C:$FB,3)</f>
        <v>443.9</v>
      </c>
      <c r="D199" s="140">
        <f>VLOOKUP($A199,'Data shares'!$C:$FB,4)</f>
        <v>447.05</v>
      </c>
      <c r="E199" s="50">
        <f t="shared" si="15"/>
        <v>-0.70461917011520725</v>
      </c>
      <c r="F199" s="49">
        <f>VLOOKUP($A199,'Data shares'!$C:$FB,98)</f>
        <v>88412300</v>
      </c>
      <c r="G199" s="49">
        <f>VLOOKUP($A199,'Data shares'!$C:$FB,99)</f>
        <v>83530150</v>
      </c>
      <c r="H199" s="50">
        <f t="shared" si="16"/>
        <v>5.8447758084954957</v>
      </c>
      <c r="I199" s="49">
        <f>VLOOKUP($A199,'Data shares'!$C:$FB,66)</f>
        <v>37428850</v>
      </c>
      <c r="J199" s="49">
        <f>VLOOKUP($A199,'Data shares'!$C:$FB,67)</f>
        <v>46049100</v>
      </c>
      <c r="K199" s="50">
        <f t="shared" si="17"/>
        <v>-23.031030875915238</v>
      </c>
      <c r="L199" s="50">
        <f>VLOOKUP($A199,'Data shares'!$C:$FB,118)</f>
        <v>0.64</v>
      </c>
      <c r="M199" s="50">
        <f>VLOOKUP($A199,'Data shares'!$C:$FB,119)</f>
        <v>0.7</v>
      </c>
      <c r="N199" s="50">
        <f>VLOOKUP($A199,'Data shares'!$C:$FB,121)*100</f>
        <v>-8.57</v>
      </c>
      <c r="O199" s="50">
        <f>VLOOKUP($A199,'Data shares'!$C:$FB,124)</f>
        <v>0.32</v>
      </c>
      <c r="P199" s="50">
        <f>VLOOKUP($A199,'Data shares'!$C:$FB,125)</f>
        <v>0.57999999999999996</v>
      </c>
      <c r="Q199" s="50">
        <f>VLOOKUP($A199,'Data shares'!$C:$FB,127)*100</f>
        <v>-44.83</v>
      </c>
    </row>
    <row r="200" spans="1:17" x14ac:dyDescent="0.25">
      <c r="A200" s="97" t="str">
        <f>'Data Vlaue (Cr)'!C195</f>
        <v>TATASTEEL</v>
      </c>
      <c r="B200" s="140">
        <f>VLOOKUP($A200,'Data shares'!$C:$FB,7)</f>
        <v>212.24</v>
      </c>
      <c r="C200" s="140">
        <f>VLOOKUP($A200,'Data shares'!$C:$FB,3)</f>
        <v>212.87</v>
      </c>
      <c r="D200" s="140">
        <f>VLOOKUP($A200,'Data shares'!$C:$FB,4)</f>
        <v>212.06</v>
      </c>
      <c r="E200" s="50">
        <f t="shared" si="15"/>
        <v>0.38196736772611634</v>
      </c>
      <c r="F200" s="49">
        <f>VLOOKUP($A200,'Data shares'!$C:$FB,98)</f>
        <v>318406000</v>
      </c>
      <c r="G200" s="49">
        <f>VLOOKUP($A200,'Data shares'!$C:$FB,99)</f>
        <v>311283500</v>
      </c>
      <c r="H200" s="50">
        <f t="shared" si="16"/>
        <v>2.2881071434881708</v>
      </c>
      <c r="I200" s="49">
        <f>VLOOKUP($A200,'Data shares'!$C:$FB,66)</f>
        <v>110844250</v>
      </c>
      <c r="J200" s="49">
        <f>VLOOKUP($A200,'Data shares'!$C:$FB,67)</f>
        <v>165665500</v>
      </c>
      <c r="K200" s="50">
        <f t="shared" si="17"/>
        <v>-49.457910536631353</v>
      </c>
      <c r="L200" s="50">
        <f>VLOOKUP($A200,'Data shares'!$C:$FB,118)</f>
        <v>0.65</v>
      </c>
      <c r="M200" s="50">
        <f>VLOOKUP($A200,'Data shares'!$C:$FB,119)</f>
        <v>0.61</v>
      </c>
      <c r="N200" s="50">
        <f>VLOOKUP($A200,'Data shares'!$C:$FB,121)*100</f>
        <v>6.5600000000000005</v>
      </c>
      <c r="O200" s="50">
        <f>VLOOKUP($A200,'Data shares'!$C:$FB,124)</f>
        <v>0.55000000000000004</v>
      </c>
      <c r="P200" s="50">
        <f>VLOOKUP($A200,'Data shares'!$C:$FB,125)</f>
        <v>0.75</v>
      </c>
      <c r="Q200" s="50">
        <f>VLOOKUP($A200,'Data shares'!$C:$FB,127)*100</f>
        <v>-26.669999999999998</v>
      </c>
    </row>
    <row r="201" spans="1:17" x14ac:dyDescent="0.25">
      <c r="A201" s="97" t="str">
        <f>'Data Vlaue (Cr)'!C196</f>
        <v>TCS</v>
      </c>
      <c r="B201" s="140">
        <f>VLOOKUP($A201,'Data shares'!$C:$FB,7)</f>
        <v>2431.3000000000002</v>
      </c>
      <c r="C201" s="140">
        <f>VLOOKUP($A201,'Data shares'!$C:$FB,3)</f>
        <v>2421.8000000000002</v>
      </c>
      <c r="D201" s="140">
        <f>VLOOKUP($A201,'Data shares'!$C:$FB,4)</f>
        <v>2440.6</v>
      </c>
      <c r="E201" s="50">
        <f t="shared" si="15"/>
        <v>-0.77030238465949885</v>
      </c>
      <c r="F201" s="49">
        <f>VLOOKUP($A201,'Data shares'!$C:$FB,98)</f>
        <v>57707625</v>
      </c>
      <c r="G201" s="49">
        <f>VLOOKUP($A201,'Data shares'!$C:$FB,99)</f>
        <v>55866875</v>
      </c>
      <c r="H201" s="50">
        <f t="shared" si="16"/>
        <v>3.2948862810028303</v>
      </c>
      <c r="I201" s="49">
        <f>VLOOKUP($A201,'Data shares'!$C:$FB,66)</f>
        <v>16647750</v>
      </c>
      <c r="J201" s="49">
        <f>VLOOKUP($A201,'Data shares'!$C:$FB,67)</f>
        <v>18147150</v>
      </c>
      <c r="K201" s="50">
        <f t="shared" si="17"/>
        <v>-9.0066225165562912</v>
      </c>
      <c r="L201" s="50">
        <f>VLOOKUP($A201,'Data shares'!$C:$FB,118)</f>
        <v>0.73</v>
      </c>
      <c r="M201" s="50">
        <f>VLOOKUP($A201,'Data shares'!$C:$FB,119)</f>
        <v>0.81</v>
      </c>
      <c r="N201" s="50">
        <f>VLOOKUP($A201,'Data shares'!$C:$FB,121)*100</f>
        <v>-9.879999999999999</v>
      </c>
      <c r="O201" s="50">
        <f>VLOOKUP($A201,'Data shares'!$C:$FB,124)</f>
        <v>0.52</v>
      </c>
      <c r="P201" s="50">
        <f>VLOOKUP($A201,'Data shares'!$C:$FB,125)</f>
        <v>0.48</v>
      </c>
      <c r="Q201" s="50">
        <f>VLOOKUP($A201,'Data shares'!$C:$FB,127)*100</f>
        <v>8.33</v>
      </c>
    </row>
    <row r="202" spans="1:17" x14ac:dyDescent="0.25">
      <c r="A202" s="97" t="str">
        <f>'Data Vlaue (Cr)'!C197</f>
        <v>TECHM</v>
      </c>
      <c r="B202" s="140">
        <f>VLOOKUP($A202,'Data shares'!$C:$FB,7)</f>
        <v>1471.6</v>
      </c>
      <c r="C202" s="140">
        <f>VLOOKUP($A202,'Data shares'!$C:$FB,3)</f>
        <v>1467.3</v>
      </c>
      <c r="D202" s="140">
        <f>VLOOKUP($A202,'Data shares'!$C:$FB,4)</f>
        <v>1474.8</v>
      </c>
      <c r="E202" s="50">
        <f t="shared" si="15"/>
        <v>-0.50854353132628149</v>
      </c>
      <c r="F202" s="49">
        <f>VLOOKUP($A202,'Data shares'!$C:$FB,98)</f>
        <v>30587400</v>
      </c>
      <c r="G202" s="49">
        <f>VLOOKUP($A202,'Data shares'!$C:$FB,99)</f>
        <v>29618400</v>
      </c>
      <c r="H202" s="50">
        <f t="shared" si="16"/>
        <v>3.2716149420630418</v>
      </c>
      <c r="I202" s="49">
        <f>VLOOKUP($A202,'Data shares'!$C:$FB,66)</f>
        <v>9411600</v>
      </c>
      <c r="J202" s="49">
        <f>VLOOKUP($A202,'Data shares'!$C:$FB,67)</f>
        <v>19930800</v>
      </c>
      <c r="K202" s="50">
        <f t="shared" si="17"/>
        <v>-111.76845594797908</v>
      </c>
      <c r="L202" s="50">
        <f>VLOOKUP($A202,'Data shares'!$C:$FB,118)</f>
        <v>0.73</v>
      </c>
      <c r="M202" s="50">
        <f>VLOOKUP($A202,'Data shares'!$C:$FB,119)</f>
        <v>0.78</v>
      </c>
      <c r="N202" s="50">
        <f>VLOOKUP($A202,'Data shares'!$C:$FB,121)*100</f>
        <v>-6.41</v>
      </c>
      <c r="O202" s="50">
        <f>VLOOKUP($A202,'Data shares'!$C:$FB,124)</f>
        <v>0.63</v>
      </c>
      <c r="P202" s="50">
        <f>VLOOKUP($A202,'Data shares'!$C:$FB,125)</f>
        <v>0.45</v>
      </c>
      <c r="Q202" s="50">
        <f>VLOOKUP($A202,'Data shares'!$C:$FB,127)*100</f>
        <v>40</v>
      </c>
    </row>
    <row r="203" spans="1:17" x14ac:dyDescent="0.25">
      <c r="A203" s="97" t="str">
        <f>'Data Vlaue (Cr)'!C198</f>
        <v>TIINDIA</v>
      </c>
      <c r="B203" s="140">
        <f>VLOOKUP($A203,'Data shares'!$C:$FB,7)</f>
        <v>2906</v>
      </c>
      <c r="C203" s="140">
        <f>VLOOKUP($A203,'Data shares'!$C:$FB,3)</f>
        <v>2910.9</v>
      </c>
      <c r="D203" s="140">
        <f>VLOOKUP($A203,'Data shares'!$C:$FB,4)</f>
        <v>2965.4</v>
      </c>
      <c r="E203" s="50">
        <f t="shared" si="15"/>
        <v>-1.8378633573885479</v>
      </c>
      <c r="F203" s="49">
        <f>VLOOKUP($A203,'Data shares'!$C:$FB,98)</f>
        <v>2917000</v>
      </c>
      <c r="G203" s="49">
        <f>VLOOKUP($A203,'Data shares'!$C:$FB,99)</f>
        <v>2846400</v>
      </c>
      <c r="H203" s="50">
        <f t="shared" si="16"/>
        <v>2.4803260258572228</v>
      </c>
      <c r="I203" s="49">
        <f>VLOOKUP($A203,'Data shares'!$C:$FB,66)</f>
        <v>499200</v>
      </c>
      <c r="J203" s="49">
        <f>VLOOKUP($A203,'Data shares'!$C:$FB,67)</f>
        <v>395000</v>
      </c>
      <c r="K203" s="50">
        <f t="shared" si="17"/>
        <v>20.873397435897438</v>
      </c>
      <c r="L203" s="50">
        <f>VLOOKUP($A203,'Data shares'!$C:$FB,118)</f>
        <v>0.79</v>
      </c>
      <c r="M203" s="50">
        <f>VLOOKUP($A203,'Data shares'!$C:$FB,119)</f>
        <v>1.02</v>
      </c>
      <c r="N203" s="50">
        <f>VLOOKUP($A203,'Data shares'!$C:$FB,121)*100</f>
        <v>-22.55</v>
      </c>
      <c r="O203" s="50">
        <f>VLOOKUP($A203,'Data shares'!$C:$FB,124)</f>
        <v>0.31</v>
      </c>
      <c r="P203" s="50">
        <f>VLOOKUP($A203,'Data shares'!$C:$FB,125)</f>
        <v>0.69</v>
      </c>
      <c r="Q203" s="50">
        <f>VLOOKUP($A203,'Data shares'!$C:$FB,127)*100</f>
        <v>-55.069999999999993</v>
      </c>
    </row>
    <row r="204" spans="1:17" x14ac:dyDescent="0.25">
      <c r="A204" s="97" t="str">
        <f>'Data Vlaue (Cr)'!C199</f>
        <v>TITAN</v>
      </c>
      <c r="B204" s="140">
        <f>VLOOKUP($A204,'Data shares'!$C:$FB,7)</f>
        <v>4363</v>
      </c>
      <c r="C204" s="140">
        <f>VLOOKUP($A204,'Data shares'!$C:$FB,3)</f>
        <v>4382.3</v>
      </c>
      <c r="D204" s="140">
        <f>VLOOKUP($A204,'Data shares'!$C:$FB,4)</f>
        <v>4402.2</v>
      </c>
      <c r="E204" s="50">
        <f t="shared" si="15"/>
        <v>-0.45204670392075863</v>
      </c>
      <c r="F204" s="49">
        <f>VLOOKUP($A204,'Data shares'!$C:$FB,98)</f>
        <v>11642050</v>
      </c>
      <c r="G204" s="49">
        <f>VLOOKUP($A204,'Data shares'!$C:$FB,99)</f>
        <v>11190550</v>
      </c>
      <c r="H204" s="50">
        <f t="shared" si="16"/>
        <v>4.0346542395145901</v>
      </c>
      <c r="I204" s="49">
        <f>VLOOKUP($A204,'Data shares'!$C:$FB,66)</f>
        <v>4445350</v>
      </c>
      <c r="J204" s="49">
        <f>VLOOKUP($A204,'Data shares'!$C:$FB,67)</f>
        <v>3943275</v>
      </c>
      <c r="K204" s="50">
        <f t="shared" si="17"/>
        <v>11.294386268797732</v>
      </c>
      <c r="L204" s="50">
        <f>VLOOKUP($A204,'Data shares'!$C:$FB,118)</f>
        <v>0.84</v>
      </c>
      <c r="M204" s="50">
        <f>VLOOKUP($A204,'Data shares'!$C:$FB,119)</f>
        <v>0.78</v>
      </c>
      <c r="N204" s="50">
        <f>VLOOKUP($A204,'Data shares'!$C:$FB,121)*100</f>
        <v>7.6899999999999995</v>
      </c>
      <c r="O204" s="50">
        <f>VLOOKUP($A204,'Data shares'!$C:$FB,124)</f>
        <v>0.7</v>
      </c>
      <c r="P204" s="50">
        <f>VLOOKUP($A204,'Data shares'!$C:$FB,125)</f>
        <v>0.71</v>
      </c>
      <c r="Q204" s="50">
        <f>VLOOKUP($A204,'Data shares'!$C:$FB,127)*100</f>
        <v>-1.41</v>
      </c>
    </row>
    <row r="205" spans="1:17" x14ac:dyDescent="0.25">
      <c r="A205" s="97" t="str">
        <f>'Data Vlaue (Cr)'!C200</f>
        <v>TMPV</v>
      </c>
      <c r="B205" s="140">
        <f>VLOOKUP($A205,'Data shares'!$C:$FB,7)</f>
        <v>343.05</v>
      </c>
      <c r="C205" s="140">
        <f>VLOOKUP($A205,'Data shares'!$C:$FB,3)</f>
        <v>345.2</v>
      </c>
      <c r="D205" s="140">
        <f>VLOOKUP($A205,'Data shares'!$C:$FB,4)</f>
        <v>343.15</v>
      </c>
      <c r="E205" s="50">
        <f t="shared" si="15"/>
        <v>0.59740638204867014</v>
      </c>
      <c r="F205" s="49">
        <f>VLOOKUP($A205,'Data shares'!$C:$FB,98)</f>
        <v>107888000</v>
      </c>
      <c r="G205" s="49">
        <f>VLOOKUP($A205,'Data shares'!$C:$FB,99)</f>
        <v>100018400</v>
      </c>
      <c r="H205" s="50">
        <f t="shared" si="16"/>
        <v>7.8681522599841625</v>
      </c>
      <c r="I205" s="49">
        <f>VLOOKUP($A205,'Data shares'!$C:$FB,66)</f>
        <v>46144800</v>
      </c>
      <c r="J205" s="49">
        <f>VLOOKUP($A205,'Data shares'!$C:$FB,67)</f>
        <v>66866400</v>
      </c>
      <c r="K205" s="50">
        <f t="shared" si="17"/>
        <v>-44.905601497893585</v>
      </c>
      <c r="L205" s="50">
        <f>VLOOKUP($A205,'Data shares'!$C:$FB,118)</f>
        <v>0.69</v>
      </c>
      <c r="M205" s="50">
        <f>VLOOKUP($A205,'Data shares'!$C:$FB,119)</f>
        <v>0.86</v>
      </c>
      <c r="N205" s="50">
        <f>VLOOKUP($A205,'Data shares'!$C:$FB,121)*100</f>
        <v>-19.77</v>
      </c>
      <c r="O205" s="50">
        <f>VLOOKUP($A205,'Data shares'!$C:$FB,124)</f>
        <v>0.34</v>
      </c>
      <c r="P205" s="50">
        <f>VLOOKUP($A205,'Data shares'!$C:$FB,125)</f>
        <v>0.49</v>
      </c>
      <c r="Q205" s="50">
        <f>VLOOKUP($A205,'Data shares'!$C:$FB,127)*100</f>
        <v>-30.61</v>
      </c>
    </row>
    <row r="206" spans="1:17" x14ac:dyDescent="0.25">
      <c r="A206" s="97" t="str">
        <f>'Data Vlaue (Cr)'!C201</f>
        <v>TORNTPHARM</v>
      </c>
      <c r="B206" s="140">
        <f>VLOOKUP($A206,'Data shares'!$C:$FB,7)</f>
        <v>4251.8</v>
      </c>
      <c r="C206" s="140">
        <f>VLOOKUP($A206,'Data shares'!$C:$FB,3)</f>
        <v>4276.8999999999996</v>
      </c>
      <c r="D206" s="140">
        <f>VLOOKUP($A206,'Data shares'!$C:$FB,4)</f>
        <v>4203.5</v>
      </c>
      <c r="E206" s="50">
        <f t="shared" si="15"/>
        <v>1.746163911026517</v>
      </c>
      <c r="F206" s="49">
        <f>VLOOKUP($A206,'Data shares'!$C:$FB,98)</f>
        <v>3146250</v>
      </c>
      <c r="G206" s="49">
        <f>VLOOKUP($A206,'Data shares'!$C:$FB,99)</f>
        <v>3060625</v>
      </c>
      <c r="H206" s="50">
        <f t="shared" si="16"/>
        <v>2.7976312027772106</v>
      </c>
      <c r="I206" s="49">
        <f>VLOOKUP($A206,'Data shares'!$C:$FB,66)</f>
        <v>824875</v>
      </c>
      <c r="J206" s="49">
        <f>VLOOKUP($A206,'Data shares'!$C:$FB,67)</f>
        <v>564375</v>
      </c>
      <c r="K206" s="50">
        <f t="shared" si="17"/>
        <v>31.580542506440366</v>
      </c>
      <c r="L206" s="50">
        <f>VLOOKUP($A206,'Data shares'!$C:$FB,118)</f>
        <v>0.56000000000000005</v>
      </c>
      <c r="M206" s="50">
        <f>VLOOKUP($A206,'Data shares'!$C:$FB,119)</f>
        <v>0.79</v>
      </c>
      <c r="N206" s="50">
        <f>VLOOKUP($A206,'Data shares'!$C:$FB,121)*100</f>
        <v>-29.110000000000003</v>
      </c>
      <c r="O206" s="50">
        <f>VLOOKUP($A206,'Data shares'!$C:$FB,124)</f>
        <v>0.23</v>
      </c>
      <c r="P206" s="50">
        <f>VLOOKUP($A206,'Data shares'!$C:$FB,125)</f>
        <v>0.62</v>
      </c>
      <c r="Q206" s="50">
        <f>VLOOKUP($A206,'Data shares'!$C:$FB,127)*100</f>
        <v>-62.9</v>
      </c>
    </row>
    <row r="207" spans="1:17" x14ac:dyDescent="0.25">
      <c r="A207" s="97" t="str">
        <f>'Data Vlaue (Cr)'!C202</f>
        <v>TRENT</v>
      </c>
      <c r="B207" s="140">
        <f>VLOOKUP($A207,'Data shares'!$C:$FB,7)</f>
        <v>4158.5</v>
      </c>
      <c r="C207" s="140">
        <f>VLOOKUP($A207,'Data shares'!$C:$FB,3)</f>
        <v>4181.8</v>
      </c>
      <c r="D207" s="140">
        <f>VLOOKUP($A207,'Data shares'!$C:$FB,4)</f>
        <v>4166.3999999999996</v>
      </c>
      <c r="E207" s="50">
        <f t="shared" si="15"/>
        <v>0.3696236559139916</v>
      </c>
      <c r="F207" s="49">
        <f>VLOOKUP($A207,'Data shares'!$C:$FB,98)</f>
        <v>11758400</v>
      </c>
      <c r="G207" s="49">
        <f>VLOOKUP($A207,'Data shares'!$C:$FB,99)</f>
        <v>11514200</v>
      </c>
      <c r="H207" s="50">
        <f t="shared" si="16"/>
        <v>2.1208594604922615</v>
      </c>
      <c r="I207" s="49">
        <f>VLOOKUP($A207,'Data shares'!$C:$FB,66)</f>
        <v>4910900</v>
      </c>
      <c r="J207" s="49">
        <f>VLOOKUP($A207,'Data shares'!$C:$FB,67)</f>
        <v>4860300</v>
      </c>
      <c r="K207" s="50">
        <f t="shared" si="17"/>
        <v>1.0303610336190923</v>
      </c>
      <c r="L207" s="50">
        <f>VLOOKUP($A207,'Data shares'!$C:$FB,118)</f>
        <v>0.4</v>
      </c>
      <c r="M207" s="50">
        <f>VLOOKUP($A207,'Data shares'!$C:$FB,119)</f>
        <v>0.42</v>
      </c>
      <c r="N207" s="50">
        <f>VLOOKUP($A207,'Data shares'!$C:$FB,121)*100</f>
        <v>-4.7600000000000007</v>
      </c>
      <c r="O207" s="50">
        <f>VLOOKUP($A207,'Data shares'!$C:$FB,124)</f>
        <v>0.34</v>
      </c>
      <c r="P207" s="50">
        <f>VLOOKUP($A207,'Data shares'!$C:$FB,125)</f>
        <v>0.48</v>
      </c>
      <c r="Q207" s="50">
        <f>VLOOKUP($A207,'Data shares'!$C:$FB,127)*100</f>
        <v>-29.17</v>
      </c>
    </row>
    <row r="208" spans="1:17" x14ac:dyDescent="0.25">
      <c r="A208" s="97" t="str">
        <f>'Data Vlaue (Cr)'!C203</f>
        <v>TVSMOTOR</v>
      </c>
      <c r="B208" s="140">
        <f>VLOOKUP($A208,'Data shares'!$C:$FB,7)</f>
        <v>3495.5</v>
      </c>
      <c r="C208" s="140">
        <f>VLOOKUP($A208,'Data shares'!$C:$FB,3)</f>
        <v>3507.7</v>
      </c>
      <c r="D208" s="140">
        <f>VLOOKUP($A208,'Data shares'!$C:$FB,4)</f>
        <v>3514.4</v>
      </c>
      <c r="E208" s="50">
        <f t="shared" si="15"/>
        <v>-0.19064420669247303</v>
      </c>
      <c r="F208" s="49">
        <f>VLOOKUP($A208,'Data shares'!$C:$FB,98)</f>
        <v>11095525</v>
      </c>
      <c r="G208" s="49">
        <f>VLOOKUP($A208,'Data shares'!$C:$FB,99)</f>
        <v>10660650</v>
      </c>
      <c r="H208" s="50">
        <f t="shared" si="16"/>
        <v>4.0792540792540795</v>
      </c>
      <c r="I208" s="49">
        <f>VLOOKUP($A208,'Data shares'!$C:$FB,66)</f>
        <v>4699450</v>
      </c>
      <c r="J208" s="49">
        <f>VLOOKUP($A208,'Data shares'!$C:$FB,67)</f>
        <v>4776800</v>
      </c>
      <c r="K208" s="50">
        <f t="shared" si="17"/>
        <v>-1.6459372905339986</v>
      </c>
      <c r="L208" s="50">
        <f>VLOOKUP($A208,'Data shares'!$C:$FB,118)</f>
        <v>0.61</v>
      </c>
      <c r="M208" s="50">
        <f>VLOOKUP($A208,'Data shares'!$C:$FB,119)</f>
        <v>0.69</v>
      </c>
      <c r="N208" s="50">
        <f>VLOOKUP($A208,'Data shares'!$C:$FB,121)*100</f>
        <v>-11.59</v>
      </c>
      <c r="O208" s="50">
        <f>VLOOKUP($A208,'Data shares'!$C:$FB,124)</f>
        <v>0.36</v>
      </c>
      <c r="P208" s="50">
        <f>VLOOKUP($A208,'Data shares'!$C:$FB,125)</f>
        <v>0.72</v>
      </c>
      <c r="Q208" s="50">
        <f>VLOOKUP($A208,'Data shares'!$C:$FB,127)*100</f>
        <v>-50</v>
      </c>
    </row>
    <row r="209" spans="1:17" x14ac:dyDescent="0.25">
      <c r="A209" s="97" t="str">
        <f>'Data Vlaue (Cr)'!C204</f>
        <v>ULTRACEMCO</v>
      </c>
      <c r="B209" s="140">
        <f>VLOOKUP($A209,'Data shares'!$C:$FB,7)</f>
        <v>11758</v>
      </c>
      <c r="C209" s="140">
        <f>VLOOKUP($A209,'Data shares'!$C:$FB,3)</f>
        <v>11820</v>
      </c>
      <c r="D209" s="140">
        <f>VLOOKUP($A209,'Data shares'!$C:$FB,4)</f>
        <v>11655</v>
      </c>
      <c r="E209" s="50">
        <f t="shared" si="15"/>
        <v>1.4157014157014158</v>
      </c>
      <c r="F209" s="49">
        <f>VLOOKUP($A209,'Data shares'!$C:$FB,98)</f>
        <v>4445350</v>
      </c>
      <c r="G209" s="49">
        <f>VLOOKUP($A209,'Data shares'!$C:$FB,99)</f>
        <v>4450550</v>
      </c>
      <c r="H209" s="50">
        <f t="shared" si="16"/>
        <v>-0.11683949174821089</v>
      </c>
      <c r="I209" s="49">
        <f>VLOOKUP($A209,'Data shares'!$C:$FB,66)</f>
        <v>3030600</v>
      </c>
      <c r="J209" s="49">
        <f>VLOOKUP($A209,'Data shares'!$C:$FB,67)</f>
        <v>3118700</v>
      </c>
      <c r="K209" s="50">
        <f t="shared" si="17"/>
        <v>-2.9070151125189732</v>
      </c>
      <c r="L209" s="50">
        <f>VLOOKUP($A209,'Data shares'!$C:$FB,118)</f>
        <v>0.43</v>
      </c>
      <c r="M209" s="50">
        <f>VLOOKUP($A209,'Data shares'!$C:$FB,119)</f>
        <v>0.42</v>
      </c>
      <c r="N209" s="50">
        <f>VLOOKUP($A209,'Data shares'!$C:$FB,121)*100</f>
        <v>2.3800000000000003</v>
      </c>
      <c r="O209" s="50">
        <f>VLOOKUP($A209,'Data shares'!$C:$FB,124)</f>
        <v>0.42</v>
      </c>
      <c r="P209" s="50">
        <f>VLOOKUP($A209,'Data shares'!$C:$FB,125)</f>
        <v>0.55000000000000004</v>
      </c>
      <c r="Q209" s="50">
        <f>VLOOKUP($A209,'Data shares'!$C:$FB,127)*100</f>
        <v>-23.64</v>
      </c>
    </row>
    <row r="210" spans="1:17" x14ac:dyDescent="0.25">
      <c r="A210" s="97" t="str">
        <f>'Data Vlaue (Cr)'!C205</f>
        <v>UNIONBANK</v>
      </c>
      <c r="B210" s="140">
        <f>VLOOKUP($A210,'Data shares'!$C:$FB,7)</f>
        <v>163.77000000000001</v>
      </c>
      <c r="C210" s="140">
        <f>VLOOKUP($A210,'Data shares'!$C:$FB,3)</f>
        <v>164.7</v>
      </c>
      <c r="D210" s="140">
        <f>VLOOKUP($A210,'Data shares'!$C:$FB,4)</f>
        <v>166.97</v>
      </c>
      <c r="E210" s="50">
        <f t="shared" ref="E210:E217" si="18">(C210-D210)/D210*100</f>
        <v>-1.3595256632928132</v>
      </c>
      <c r="F210" s="49">
        <f>VLOOKUP($A210,'Data shares'!$C:$FB,98)</f>
        <v>235117950</v>
      </c>
      <c r="G210" s="49">
        <f>VLOOKUP($A210,'Data shares'!$C:$FB,99)</f>
        <v>222449175</v>
      </c>
      <c r="H210" s="50">
        <f t="shared" ref="H210:H217" si="19">(F210-G210)/G210*100</f>
        <v>5.6951323824869204</v>
      </c>
      <c r="I210" s="49">
        <f>VLOOKUP($A210,'Data shares'!$C:$FB,66)</f>
        <v>74614350</v>
      </c>
      <c r="J210" s="49">
        <f>VLOOKUP($A210,'Data shares'!$C:$FB,67)</f>
        <v>109377150</v>
      </c>
      <c r="K210" s="50">
        <f t="shared" ref="K210:K217" si="20">(I210-J210)/I210*100</f>
        <v>-46.589965603131297</v>
      </c>
      <c r="L210" s="50">
        <f>VLOOKUP($A210,'Data shares'!$C:$FB,118)</f>
        <v>0.51</v>
      </c>
      <c r="M210" s="50">
        <f>VLOOKUP($A210,'Data shares'!$C:$FB,119)</f>
        <v>0.56999999999999995</v>
      </c>
      <c r="N210" s="50">
        <f>VLOOKUP($A210,'Data shares'!$C:$FB,121)*100</f>
        <v>-10.530000000000001</v>
      </c>
      <c r="O210" s="50">
        <f>VLOOKUP($A210,'Data shares'!$C:$FB,124)</f>
        <v>0.32</v>
      </c>
      <c r="P210" s="50">
        <f>VLOOKUP($A210,'Data shares'!$C:$FB,125)</f>
        <v>0.53</v>
      </c>
      <c r="Q210" s="50">
        <f>VLOOKUP($A210,'Data shares'!$C:$FB,127)*100</f>
        <v>-39.619999999999997</v>
      </c>
    </row>
    <row r="211" spans="1:17" x14ac:dyDescent="0.25">
      <c r="A211" s="97" t="str">
        <f>'Data Vlaue (Cr)'!C206</f>
        <v>UNITDSPR</v>
      </c>
      <c r="B211" s="140">
        <f>VLOOKUP($A211,'Data shares'!$C:$FB,7)</f>
        <v>1321.7</v>
      </c>
      <c r="C211" s="140">
        <f>VLOOKUP($A211,'Data shares'!$C:$FB,3)</f>
        <v>1328.9</v>
      </c>
      <c r="D211" s="140">
        <f>VLOOKUP($A211,'Data shares'!$C:$FB,4)</f>
        <v>1333.6</v>
      </c>
      <c r="E211" s="50">
        <f t="shared" si="18"/>
        <v>-0.35242951409716694</v>
      </c>
      <c r="F211" s="49">
        <f>VLOOKUP($A211,'Data shares'!$C:$FB,98)</f>
        <v>16213600</v>
      </c>
      <c r="G211" s="49">
        <f>VLOOKUP($A211,'Data shares'!$C:$FB,99)</f>
        <v>15658000</v>
      </c>
      <c r="H211" s="50">
        <f t="shared" si="19"/>
        <v>3.5483458934729852</v>
      </c>
      <c r="I211" s="49">
        <f>VLOOKUP($A211,'Data shares'!$C:$FB,66)</f>
        <v>2379200</v>
      </c>
      <c r="J211" s="49">
        <f>VLOOKUP($A211,'Data shares'!$C:$FB,67)</f>
        <v>3382400</v>
      </c>
      <c r="K211" s="50">
        <f t="shared" si="20"/>
        <v>-42.16543375924681</v>
      </c>
      <c r="L211" s="50">
        <f>VLOOKUP($A211,'Data shares'!$C:$FB,118)</f>
        <v>0.68</v>
      </c>
      <c r="M211" s="50">
        <f>VLOOKUP($A211,'Data shares'!$C:$FB,119)</f>
        <v>0.72</v>
      </c>
      <c r="N211" s="50">
        <f>VLOOKUP($A211,'Data shares'!$C:$FB,121)*100</f>
        <v>-5.56</v>
      </c>
      <c r="O211" s="50">
        <f>VLOOKUP($A211,'Data shares'!$C:$FB,124)</f>
        <v>0.28999999999999998</v>
      </c>
      <c r="P211" s="50">
        <f>VLOOKUP($A211,'Data shares'!$C:$FB,125)</f>
        <v>0.4</v>
      </c>
      <c r="Q211" s="50">
        <f>VLOOKUP($A211,'Data shares'!$C:$FB,127)*100</f>
        <v>-27.500000000000004</v>
      </c>
    </row>
    <row r="212" spans="1:17" x14ac:dyDescent="0.25">
      <c r="A212" s="97" t="str">
        <f>'Data Vlaue (Cr)'!C207</f>
        <v>UNOMINDA</v>
      </c>
      <c r="B212" s="140">
        <f>VLOOKUP($A212,'Data shares'!$C:$FB,7)</f>
        <v>1109.8</v>
      </c>
      <c r="C212" s="140">
        <f>VLOOKUP($A212,'Data shares'!$C:$FB,3)</f>
        <v>1116.0999999999999</v>
      </c>
      <c r="D212" s="140">
        <f>VLOOKUP($A212,'Data shares'!$C:$FB,4)</f>
        <v>1119.9000000000001</v>
      </c>
      <c r="E212" s="50">
        <f t="shared" si="18"/>
        <v>-0.3393160103580839</v>
      </c>
      <c r="F212" s="49">
        <f>VLOOKUP($A212,'Data shares'!$C:$FB,98)</f>
        <v>5808000</v>
      </c>
      <c r="G212" s="49">
        <f>VLOOKUP($A212,'Data shares'!$C:$FB,99)</f>
        <v>5552250</v>
      </c>
      <c r="H212" s="50">
        <f t="shared" si="19"/>
        <v>4.606240713224369</v>
      </c>
      <c r="I212" s="49">
        <f>VLOOKUP($A212,'Data shares'!$C:$FB,66)</f>
        <v>1488850</v>
      </c>
      <c r="J212" s="49">
        <f>VLOOKUP($A212,'Data shares'!$C:$FB,67)</f>
        <v>980100</v>
      </c>
      <c r="K212" s="50">
        <f t="shared" si="20"/>
        <v>34.170668636867383</v>
      </c>
      <c r="L212" s="50">
        <f>VLOOKUP($A212,'Data shares'!$C:$FB,118)</f>
        <v>0.46</v>
      </c>
      <c r="M212" s="50">
        <f>VLOOKUP($A212,'Data shares'!$C:$FB,119)</f>
        <v>0.47</v>
      </c>
      <c r="N212" s="50">
        <f>VLOOKUP($A212,'Data shares'!$C:$FB,121)*100</f>
        <v>-2.13</v>
      </c>
      <c r="O212" s="50">
        <f>VLOOKUP($A212,'Data shares'!$C:$FB,124)</f>
        <v>0.31</v>
      </c>
      <c r="P212" s="50">
        <f>VLOOKUP($A212,'Data shares'!$C:$FB,125)</f>
        <v>0.28000000000000003</v>
      </c>
      <c r="Q212" s="50">
        <f>VLOOKUP($A212,'Data shares'!$C:$FB,127)*100</f>
        <v>10.71</v>
      </c>
    </row>
    <row r="213" spans="1:17" x14ac:dyDescent="0.25">
      <c r="A213" s="97" t="str">
        <f>'Data Vlaue (Cr)'!C208</f>
        <v>UPL</v>
      </c>
      <c r="B213" s="140">
        <f>VLOOKUP($A213,'Data shares'!$C:$FB,7)</f>
        <v>643.35</v>
      </c>
      <c r="C213" s="140">
        <f>VLOOKUP($A213,'Data shares'!$C:$FB,3)</f>
        <v>647.54999999999995</v>
      </c>
      <c r="D213" s="140">
        <f>VLOOKUP($A213,'Data shares'!$C:$FB,4)</f>
        <v>646</v>
      </c>
      <c r="E213" s="50">
        <f t="shared" si="18"/>
        <v>0.23993808049534901</v>
      </c>
      <c r="F213" s="49">
        <f>VLOOKUP($A213,'Data shares'!$C:$FB,98)</f>
        <v>36414270</v>
      </c>
      <c r="G213" s="49">
        <f>VLOOKUP($A213,'Data shares'!$C:$FB,99)</f>
        <v>35988800</v>
      </c>
      <c r="H213" s="50">
        <f t="shared" si="19"/>
        <v>1.1822289156626506</v>
      </c>
      <c r="I213" s="49">
        <f>VLOOKUP($A213,'Data shares'!$C:$FB,66)</f>
        <v>5997230</v>
      </c>
      <c r="J213" s="49">
        <f>VLOOKUP($A213,'Data shares'!$C:$FB,67)</f>
        <v>5212685</v>
      </c>
      <c r="K213" s="50">
        <f t="shared" si="20"/>
        <v>13.081789426118393</v>
      </c>
      <c r="L213" s="50">
        <f>VLOOKUP($A213,'Data shares'!$C:$FB,118)</f>
        <v>0.74</v>
      </c>
      <c r="M213" s="50">
        <f>VLOOKUP($A213,'Data shares'!$C:$FB,119)</f>
        <v>0.79</v>
      </c>
      <c r="N213" s="50">
        <f>VLOOKUP($A213,'Data shares'!$C:$FB,121)*100</f>
        <v>-6.3299999999999992</v>
      </c>
      <c r="O213" s="50">
        <f>VLOOKUP($A213,'Data shares'!$C:$FB,124)</f>
        <v>0.44</v>
      </c>
      <c r="P213" s="50">
        <f>VLOOKUP($A213,'Data shares'!$C:$FB,125)</f>
        <v>0.49</v>
      </c>
      <c r="Q213" s="50">
        <f>VLOOKUP($A213,'Data shares'!$C:$FB,127)*100</f>
        <v>-10.199999999999999</v>
      </c>
    </row>
    <row r="214" spans="1:17" x14ac:dyDescent="0.25">
      <c r="A214" s="97" t="str">
        <f>'Data Vlaue (Cr)'!C209</f>
        <v>VBL</v>
      </c>
      <c r="B214" s="140">
        <f>VLOOKUP($A214,'Data shares'!$C:$FB,7)</f>
        <v>506.75</v>
      </c>
      <c r="C214" s="140">
        <f>VLOOKUP($A214,'Data shares'!$C:$FB,3)</f>
        <v>509.65</v>
      </c>
      <c r="D214" s="140">
        <f>VLOOKUP($A214,'Data shares'!$C:$FB,4)</f>
        <v>516.79999999999995</v>
      </c>
      <c r="E214" s="50">
        <f t="shared" si="18"/>
        <v>-1.3835139318885405</v>
      </c>
      <c r="F214" s="49">
        <f>VLOOKUP($A214,'Data shares'!$C:$FB,98)</f>
        <v>66073725</v>
      </c>
      <c r="G214" s="49">
        <f>VLOOKUP($A214,'Data shares'!$C:$FB,99)</f>
        <v>65160450</v>
      </c>
      <c r="H214" s="50">
        <f t="shared" si="19"/>
        <v>1.4015787183790167</v>
      </c>
      <c r="I214" s="49">
        <f>VLOOKUP($A214,'Data shares'!$C:$FB,66)</f>
        <v>19651500</v>
      </c>
      <c r="J214" s="49">
        <f>VLOOKUP($A214,'Data shares'!$C:$FB,67)</f>
        <v>22150125</v>
      </c>
      <c r="K214" s="50">
        <f t="shared" si="20"/>
        <v>-12.71467826883444</v>
      </c>
      <c r="L214" s="50">
        <f>VLOOKUP($A214,'Data shares'!$C:$FB,118)</f>
        <v>0.56999999999999995</v>
      </c>
      <c r="M214" s="50">
        <f>VLOOKUP($A214,'Data shares'!$C:$FB,119)</f>
        <v>0.54</v>
      </c>
      <c r="N214" s="50">
        <f>VLOOKUP($A214,'Data shares'!$C:$FB,121)*100</f>
        <v>5.56</v>
      </c>
      <c r="O214" s="50">
        <f>VLOOKUP($A214,'Data shares'!$C:$FB,124)</f>
        <v>0.44</v>
      </c>
      <c r="P214" s="50">
        <f>VLOOKUP($A214,'Data shares'!$C:$FB,125)</f>
        <v>0.68</v>
      </c>
      <c r="Q214" s="50">
        <f>VLOOKUP($A214,'Data shares'!$C:$FB,127)*100</f>
        <v>-35.29</v>
      </c>
    </row>
    <row r="215" spans="1:17" x14ac:dyDescent="0.25">
      <c r="A215" s="97" t="str">
        <f>'Data Vlaue (Cr)'!C210</f>
        <v>VEDL</v>
      </c>
      <c r="B215" s="140">
        <f>VLOOKUP($A215,'Data shares'!$C:$FB,7)</f>
        <v>294.64999999999998</v>
      </c>
      <c r="C215" s="140">
        <f>VLOOKUP($A215,'Data shares'!$C:$FB,3)</f>
        <v>296</v>
      </c>
      <c r="D215" s="140">
        <f>VLOOKUP($A215,'Data shares'!$C:$FB,4)</f>
        <v>273.2</v>
      </c>
      <c r="E215" s="50">
        <f t="shared" si="18"/>
        <v>8.3455344070278237</v>
      </c>
      <c r="F215" s="49">
        <f>VLOOKUP($A215,'Data shares'!$C:$FB,98)</f>
        <v>59457300</v>
      </c>
      <c r="G215" s="49">
        <f>VLOOKUP($A215,'Data shares'!$C:$FB,99)</f>
        <v>37503800</v>
      </c>
      <c r="H215" s="50">
        <f t="shared" si="19"/>
        <v>58.536734944192325</v>
      </c>
      <c r="I215" s="49">
        <f>VLOOKUP($A215,'Data shares'!$C:$FB,66)</f>
        <v>230727950</v>
      </c>
      <c r="J215" s="49">
        <f>VLOOKUP($A215,'Data shares'!$C:$FB,67)</f>
        <v>105206600</v>
      </c>
      <c r="K215" s="50">
        <f t="shared" si="20"/>
        <v>54.402316667746589</v>
      </c>
      <c r="L215" s="50">
        <f>VLOOKUP($A215,'Data shares'!$C:$FB,118)</f>
        <v>0.5</v>
      </c>
      <c r="M215" s="50">
        <f>VLOOKUP($A215,'Data shares'!$C:$FB,119)</f>
        <v>0.43</v>
      </c>
      <c r="N215" s="50">
        <f>VLOOKUP($A215,'Data shares'!$C:$FB,121)*100</f>
        <v>16.28</v>
      </c>
      <c r="O215" s="50">
        <f>VLOOKUP($A215,'Data shares'!$C:$FB,124)</f>
        <v>0.3</v>
      </c>
      <c r="P215" s="50">
        <f>VLOOKUP($A215,'Data shares'!$C:$FB,125)</f>
        <v>0.56999999999999995</v>
      </c>
      <c r="Q215" s="50">
        <f>VLOOKUP($A215,'Data shares'!$C:$FB,127)*100</f>
        <v>-47.370000000000005</v>
      </c>
    </row>
    <row r="216" spans="1:17" x14ac:dyDescent="0.25">
      <c r="A216" s="97" t="str">
        <f>'Data Vlaue (Cr)'!C211</f>
        <v>VMM</v>
      </c>
      <c r="B216" s="140">
        <f>VLOOKUP($A216,'Data shares'!$C:$FB,7)</f>
        <v>125.29</v>
      </c>
      <c r="C216" s="140">
        <f>VLOOKUP($A216,'Data shares'!$C:$FB,3)</f>
        <v>126.2</v>
      </c>
      <c r="D216" s="140">
        <f>VLOOKUP($A216,'Data shares'!$C:$FB,4)</f>
        <v>123.03</v>
      </c>
      <c r="E216" s="50">
        <f t="shared" si="18"/>
        <v>2.5766073315451532</v>
      </c>
      <c r="F216" s="49">
        <f>VLOOKUP($A216,'Data shares'!$C:$FB,98)</f>
        <v>32756900</v>
      </c>
      <c r="G216" s="49">
        <f>VLOOKUP($A216,'Data shares'!$C:$FB,99)</f>
        <v>31141850</v>
      </c>
      <c r="H216" s="50">
        <f t="shared" si="19"/>
        <v>5.1861080828531376</v>
      </c>
      <c r="I216" s="49">
        <f>VLOOKUP($A216,'Data shares'!$C:$FB,66)</f>
        <v>9539950</v>
      </c>
      <c r="J216" s="49">
        <f>VLOOKUP($A216,'Data shares'!$C:$FB,67)</f>
        <v>6309850</v>
      </c>
      <c r="K216" s="50">
        <f t="shared" si="20"/>
        <v>33.858668022369088</v>
      </c>
      <c r="L216" s="50">
        <f>VLOOKUP($A216,'Data shares'!$C:$FB,118)</f>
        <v>0.48</v>
      </c>
      <c r="M216" s="50">
        <f>VLOOKUP($A216,'Data shares'!$C:$FB,119)</f>
        <v>0.56999999999999995</v>
      </c>
      <c r="N216" s="50">
        <f>VLOOKUP($A216,'Data shares'!$C:$FB,121)*100</f>
        <v>-15.790000000000001</v>
      </c>
      <c r="O216" s="50">
        <f>VLOOKUP($A216,'Data shares'!$C:$FB,124)</f>
        <v>0.18</v>
      </c>
      <c r="P216" s="50">
        <f>VLOOKUP($A216,'Data shares'!$C:$FB,125)</f>
        <v>0.32</v>
      </c>
      <c r="Q216" s="50">
        <f>VLOOKUP($A216,'Data shares'!$C:$FB,127)*100</f>
        <v>-43.75</v>
      </c>
    </row>
    <row r="217" spans="1:17" x14ac:dyDescent="0.25">
      <c r="A217" s="97" t="str">
        <f>'Data Vlaue (Cr)'!C212</f>
        <v>VOLTAS</v>
      </c>
      <c r="B217" s="140">
        <f>VLOOKUP($A217,'Data shares'!$C:$FB,7)</f>
        <v>1454.2</v>
      </c>
      <c r="C217" s="140">
        <f>VLOOKUP($A217,'Data shares'!$C:$FB,3)</f>
        <v>1455.3</v>
      </c>
      <c r="D217" s="140">
        <f>VLOOKUP($A217,'Data shares'!$C:$FB,4)</f>
        <v>1434</v>
      </c>
      <c r="E217" s="50">
        <f t="shared" si="18"/>
        <v>1.4853556485355617</v>
      </c>
      <c r="F217" s="49">
        <f>VLOOKUP($A217,'Data shares'!$C:$FB,98)</f>
        <v>14211750</v>
      </c>
      <c r="G217" s="49">
        <f>VLOOKUP($A217,'Data shares'!$C:$FB,99)</f>
        <v>14127375</v>
      </c>
      <c r="H217" s="50">
        <f t="shared" si="19"/>
        <v>0.59724471106628096</v>
      </c>
      <c r="I217" s="49">
        <f>VLOOKUP($A217,'Data shares'!$C:$FB,66)</f>
        <v>5925375</v>
      </c>
      <c r="J217" s="49">
        <f>VLOOKUP($A217,'Data shares'!$C:$FB,67)</f>
        <v>6603750</v>
      </c>
      <c r="K217" s="50">
        <f t="shared" si="20"/>
        <v>-11.448642490981584</v>
      </c>
      <c r="L217" s="50">
        <f>VLOOKUP($A217,'Data shares'!$C:$FB,118)</f>
        <v>0.71</v>
      </c>
      <c r="M217" s="50">
        <f>VLOOKUP($A217,'Data shares'!$C:$FB,119)</f>
        <v>0.73</v>
      </c>
      <c r="N217" s="50">
        <f>VLOOKUP($A217,'Data shares'!$C:$FB,121)*100</f>
        <v>-2.74</v>
      </c>
      <c r="O217" s="50">
        <f>VLOOKUP($A217,'Data shares'!$C:$FB,124)</f>
        <v>0.37</v>
      </c>
      <c r="P217" s="50">
        <f>VLOOKUP($A217,'Data shares'!$C:$FB,125)</f>
        <v>0.55000000000000004</v>
      </c>
      <c r="Q217" s="50">
        <f>VLOOKUP($A217,'Data shares'!$C:$FB,127)*100</f>
        <v>-32.729999999999997</v>
      </c>
    </row>
    <row r="218" spans="1:17" x14ac:dyDescent="0.25">
      <c r="A218" s="97" t="str">
        <f>'Data Vlaue (Cr)'!C213</f>
        <v>WAAREEENER</v>
      </c>
      <c r="B218" s="140">
        <f>VLOOKUP($A218,'Data shares'!$C:$FB,7)</f>
        <v>3136.3</v>
      </c>
      <c r="C218" s="140">
        <f>VLOOKUP($A218,'Data shares'!$C:$FB,3)</f>
        <v>3145</v>
      </c>
      <c r="D218" s="140">
        <f>VLOOKUP($A218,'Data shares'!$C:$FB,4)</f>
        <v>3133.4</v>
      </c>
      <c r="E218" s="50">
        <f t="shared" ref="E218:E221" si="21">(C218-D218)/D218*100</f>
        <v>0.37020488925767248</v>
      </c>
      <c r="F218" s="49">
        <f>VLOOKUP($A218,'Data shares'!$C:$FB,98)</f>
        <v>12562025</v>
      </c>
      <c r="G218" s="49">
        <f>VLOOKUP($A218,'Data shares'!$C:$FB,99)</f>
        <v>11897375</v>
      </c>
      <c r="H218" s="50">
        <f t="shared" ref="H218:H221" si="22">(F218-G218)/G218*100</f>
        <v>5.5865264396558061</v>
      </c>
      <c r="I218" s="49">
        <f>VLOOKUP($A218,'Data shares'!$C:$FB,66)</f>
        <v>11039175</v>
      </c>
      <c r="J218" s="49">
        <f>VLOOKUP($A218,'Data shares'!$C:$FB,67)</f>
        <v>32529875</v>
      </c>
      <c r="K218" s="50">
        <f t="shared" ref="K218:K221" si="23">(I218-J218)/I218*100</f>
        <v>-194.67668553130102</v>
      </c>
      <c r="L218" s="50">
        <f>VLOOKUP($A218,'Data shares'!$C:$FB,118)</f>
        <v>0.5</v>
      </c>
      <c r="M218" s="50">
        <f>VLOOKUP($A218,'Data shares'!$C:$FB,119)</f>
        <v>0.5</v>
      </c>
      <c r="N218" s="50">
        <f>VLOOKUP($A218,'Data shares'!$C:$FB,121)*100</f>
        <v>0</v>
      </c>
      <c r="O218" s="50">
        <f>VLOOKUP($A218,'Data shares'!$C:$FB,124)</f>
        <v>0.27</v>
      </c>
      <c r="P218" s="50">
        <f>VLOOKUP($A218,'Data shares'!$C:$FB,125)</f>
        <v>0.55000000000000004</v>
      </c>
      <c r="Q218" s="50">
        <f>VLOOKUP($A218,'Data shares'!$C:$FB,127)*100</f>
        <v>-50.91</v>
      </c>
    </row>
    <row r="219" spans="1:17" x14ac:dyDescent="0.25">
      <c r="A219" s="97" t="str">
        <f>'Data Vlaue (Cr)'!C214</f>
        <v>WIPRO</v>
      </c>
      <c r="B219" s="140">
        <f>VLOOKUP($A219,'Data shares'!$C:$FB,7)</f>
        <v>200.75</v>
      </c>
      <c r="C219" s="140">
        <f>VLOOKUP($A219,'Data shares'!$C:$FB,3)</f>
        <v>195.91</v>
      </c>
      <c r="D219" s="140">
        <f>VLOOKUP($A219,'Data shares'!$C:$FB,4)</f>
        <v>196.75</v>
      </c>
      <c r="E219" s="50">
        <f t="shared" si="21"/>
        <v>-0.42693773824650749</v>
      </c>
      <c r="F219" s="49">
        <f>VLOOKUP($A219,'Data shares'!$C:$FB,98)</f>
        <v>494934000</v>
      </c>
      <c r="G219" s="49">
        <f>VLOOKUP($A219,'Data shares'!$C:$FB,99)</f>
        <v>479250000</v>
      </c>
      <c r="H219" s="50">
        <f t="shared" si="22"/>
        <v>3.2726134585289515</v>
      </c>
      <c r="I219" s="49">
        <f>VLOOKUP($A219,'Data shares'!$C:$FB,66)</f>
        <v>113676000</v>
      </c>
      <c r="J219" s="49">
        <f>VLOOKUP($A219,'Data shares'!$C:$FB,67)</f>
        <v>148971000</v>
      </c>
      <c r="K219" s="50">
        <f t="shared" si="23"/>
        <v>-31.048770188958091</v>
      </c>
      <c r="L219" s="50">
        <f>VLOOKUP($A219,'Data shares'!$C:$FB,118)</f>
        <v>0.53</v>
      </c>
      <c r="M219" s="50">
        <f>VLOOKUP($A219,'Data shares'!$C:$FB,119)</f>
        <v>0.55000000000000004</v>
      </c>
      <c r="N219" s="50">
        <f>VLOOKUP($A219,'Data shares'!$C:$FB,121)*100</f>
        <v>-3.64</v>
      </c>
      <c r="O219" s="50">
        <f>VLOOKUP($A219,'Data shares'!$C:$FB,124)</f>
        <v>0.46</v>
      </c>
      <c r="P219" s="50">
        <f>VLOOKUP($A219,'Data shares'!$C:$FB,125)</f>
        <v>0.41</v>
      </c>
      <c r="Q219" s="50">
        <f>VLOOKUP($A219,'Data shares'!$C:$FB,127)*100</f>
        <v>12.2</v>
      </c>
    </row>
    <row r="220" spans="1:17" x14ac:dyDescent="0.25">
      <c r="A220" s="97" t="str">
        <f>'Data Vlaue (Cr)'!C215</f>
        <v>YESBANK</v>
      </c>
      <c r="B220" s="140">
        <f>VLOOKUP($A220,'Data shares'!$C:$FB,7)</f>
        <v>19.96</v>
      </c>
      <c r="C220" s="140">
        <f>VLOOKUP($A220,'Data shares'!$C:$FB,3)</f>
        <v>20.07</v>
      </c>
      <c r="D220" s="140">
        <f>VLOOKUP($A220,'Data shares'!$C:$FB,4)</f>
        <v>20.05</v>
      </c>
      <c r="E220" s="50">
        <f t="shared" si="21"/>
        <v>9.9750623441394376E-2</v>
      </c>
      <c r="F220" s="49">
        <f>VLOOKUP($A220,'Data shares'!$C:$FB,98)</f>
        <v>1761752800</v>
      </c>
      <c r="G220" s="49">
        <f>VLOOKUP($A220,'Data shares'!$C:$FB,99)</f>
        <v>1751863000</v>
      </c>
      <c r="H220" s="50">
        <f t="shared" si="22"/>
        <v>0.56453044558849641</v>
      </c>
      <c r="I220" s="49">
        <f>VLOOKUP($A220,'Data shares'!$C:$FB,66)</f>
        <v>509075900</v>
      </c>
      <c r="J220" s="49">
        <f>VLOOKUP($A220,'Data shares'!$C:$FB,67)</f>
        <v>633196000</v>
      </c>
      <c r="K220" s="50">
        <f t="shared" si="23"/>
        <v>-24.381452746044353</v>
      </c>
      <c r="L220" s="50">
        <f>VLOOKUP($A220,'Data shares'!$C:$FB,118)</f>
        <v>0.49</v>
      </c>
      <c r="M220" s="50">
        <f>VLOOKUP($A220,'Data shares'!$C:$FB,119)</f>
        <v>0.47</v>
      </c>
      <c r="N220" s="50">
        <f>VLOOKUP($A220,'Data shares'!$C:$FB,121)*100</f>
        <v>4.26</v>
      </c>
      <c r="O220" s="50">
        <f>VLOOKUP($A220,'Data shares'!$C:$FB,124)</f>
        <v>0.37</v>
      </c>
      <c r="P220" s="50">
        <f>VLOOKUP($A220,'Data shares'!$C:$FB,125)</f>
        <v>0.31</v>
      </c>
      <c r="Q220" s="50">
        <f>VLOOKUP($A220,'Data shares'!$C:$FB,127)*100</f>
        <v>19.350000000000001</v>
      </c>
    </row>
    <row r="221" spans="1:17" x14ac:dyDescent="0.25">
      <c r="A221" s="97" t="str">
        <f>'Data Vlaue (Cr)'!C216</f>
        <v>ZYDUSLIFE</v>
      </c>
      <c r="B221" s="140">
        <f>VLOOKUP($A221,'Data shares'!$C:$FB,7)</f>
        <v>902.35</v>
      </c>
      <c r="C221" s="140">
        <f>VLOOKUP($A221,'Data shares'!$C:$FB,3)</f>
        <v>906.7</v>
      </c>
      <c r="D221" s="140">
        <f>VLOOKUP($A221,'Data shares'!$C:$FB,4)</f>
        <v>897.6</v>
      </c>
      <c r="E221" s="50">
        <f t="shared" si="21"/>
        <v>1.0138146167557958</v>
      </c>
      <c r="F221" s="49">
        <f>VLOOKUP($A221,'Data shares'!$C:$FB,98)</f>
        <v>14681700</v>
      </c>
      <c r="G221" s="49">
        <f>VLOOKUP($A221,'Data shares'!$C:$FB,99)</f>
        <v>14350500</v>
      </c>
      <c r="H221" s="50">
        <f t="shared" si="22"/>
        <v>2.3079335214800878</v>
      </c>
      <c r="I221" s="49">
        <f>VLOOKUP($A221,'Data shares'!$C:$FB,66)</f>
        <v>2919600</v>
      </c>
      <c r="J221" s="49">
        <f>VLOOKUP($A221,'Data shares'!$C:$FB,67)</f>
        <v>3986100</v>
      </c>
      <c r="K221" s="50">
        <f t="shared" si="23"/>
        <v>-36.528976572133168</v>
      </c>
      <c r="L221" s="50">
        <f>VLOOKUP($A221,'Data shares'!$C:$FB,118)</f>
        <v>0.71</v>
      </c>
      <c r="M221" s="50">
        <f>VLOOKUP($A221,'Data shares'!$C:$FB,119)</f>
        <v>0.78</v>
      </c>
      <c r="N221" s="50">
        <f>VLOOKUP($A221,'Data shares'!$C:$FB,121)*100</f>
        <v>-8.9700000000000006</v>
      </c>
      <c r="O221" s="50">
        <f>VLOOKUP($A221,'Data shares'!$C:$FB,124)</f>
        <v>0.31</v>
      </c>
      <c r="P221" s="50">
        <f>VLOOKUP($A221,'Data shares'!$C:$FB,125)</f>
        <v>0.48</v>
      </c>
      <c r="Q221" s="50">
        <f>VLOOKUP($A221,'Data shares'!$C:$FB,127)*100</f>
        <v>-35.42</v>
      </c>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7"/>
      <c r="B230" s="140"/>
      <c r="C230" s="140"/>
      <c r="D230" s="140"/>
      <c r="E230" s="50"/>
      <c r="F230" s="49"/>
      <c r="G230" s="49"/>
      <c r="H230" s="50"/>
      <c r="I230" s="49"/>
      <c r="J230" s="49"/>
      <c r="K230" s="50"/>
      <c r="L230" s="50"/>
      <c r="M230" s="50"/>
      <c r="N230" s="50"/>
      <c r="O230" s="50"/>
      <c r="P230" s="50"/>
      <c r="Q230" s="50"/>
    </row>
    <row r="231" spans="1:17" x14ac:dyDescent="0.25">
      <c r="A231" s="97"/>
      <c r="B231" s="140"/>
      <c r="C231" s="140"/>
      <c r="D231" s="140"/>
      <c r="E231" s="50"/>
      <c r="F231" s="49"/>
      <c r="G231" s="49"/>
      <c r="H231" s="50"/>
      <c r="I231" s="49"/>
      <c r="J231" s="49"/>
      <c r="K231" s="50"/>
      <c r="L231" s="50"/>
      <c r="M231" s="50"/>
      <c r="N231" s="50"/>
      <c r="O231" s="50"/>
      <c r="P231" s="50"/>
      <c r="Q231" s="50"/>
    </row>
    <row r="232" spans="1:17" x14ac:dyDescent="0.25">
      <c r="A232" s="97"/>
      <c r="B232" s="140"/>
      <c r="C232" s="140"/>
      <c r="D232" s="140"/>
      <c r="E232" s="50"/>
      <c r="F232" s="49"/>
      <c r="G232" s="49"/>
      <c r="H232" s="50"/>
      <c r="I232" s="49"/>
      <c r="J232" s="49"/>
      <c r="K232" s="50"/>
      <c r="L232" s="50"/>
      <c r="M232" s="50"/>
      <c r="N232" s="50"/>
      <c r="O232" s="50"/>
      <c r="P232" s="50"/>
      <c r="Q232" s="50"/>
    </row>
    <row r="233" spans="1:17" x14ac:dyDescent="0.25">
      <c r="A233" s="97"/>
      <c r="B233" s="140"/>
      <c r="C233" s="140"/>
      <c r="D233" s="140"/>
      <c r="E233" s="50"/>
      <c r="F233" s="49"/>
      <c r="G233" s="49"/>
      <c r="H233" s="50"/>
      <c r="I233" s="49"/>
      <c r="J233" s="49"/>
      <c r="K233" s="50"/>
      <c r="L233" s="50"/>
      <c r="M233" s="50"/>
      <c r="N233" s="50"/>
      <c r="O233" s="50"/>
      <c r="P233" s="50"/>
      <c r="Q233" s="50"/>
    </row>
    <row r="234" spans="1:17" x14ac:dyDescent="0.25">
      <c r="A234" s="97"/>
      <c r="B234" s="140"/>
      <c r="C234" s="140"/>
      <c r="D234" s="140"/>
      <c r="E234" s="50"/>
      <c r="F234" s="49"/>
      <c r="G234" s="49"/>
      <c r="H234" s="50"/>
      <c r="I234" s="49"/>
      <c r="J234" s="49"/>
      <c r="K234" s="50"/>
      <c r="L234" s="50"/>
      <c r="M234" s="50"/>
      <c r="N234" s="50"/>
      <c r="O234" s="50"/>
      <c r="P234" s="50"/>
      <c r="Q234" s="50"/>
    </row>
    <row r="235" spans="1:17" x14ac:dyDescent="0.25">
      <c r="A235" s="98"/>
      <c r="B235" s="17"/>
      <c r="C235" s="17"/>
      <c r="D235" s="17"/>
      <c r="E235" s="17"/>
      <c r="F235" s="17"/>
      <c r="G235" s="17"/>
      <c r="H235" s="17"/>
      <c r="I235" s="17"/>
      <c r="J235" s="17"/>
      <c r="K235" s="17"/>
      <c r="L235" s="17"/>
      <c r="M235" s="17"/>
      <c r="N235" s="17"/>
      <c r="O235" s="17"/>
      <c r="P235" s="17"/>
      <c r="Q235" s="17"/>
    </row>
    <row r="236" spans="1:17" s="64" customFormat="1" x14ac:dyDescent="0.25">
      <c r="A236" s="264" t="s">
        <v>391</v>
      </c>
      <c r="B236" s="264"/>
      <c r="C236" s="264"/>
      <c r="D236" s="264"/>
      <c r="E236" s="264"/>
      <c r="F236" s="113">
        <f>SUM(F7:F221)</f>
        <v>25289794154</v>
      </c>
      <c r="G236" s="113">
        <f>SUM(G7:G223)</f>
        <v>23920776245</v>
      </c>
      <c r="H236" s="114">
        <f>(F236-G236)/G236*100</f>
        <v>5.7231332920734825</v>
      </c>
      <c r="I236" s="113">
        <f>SUM(I7:I222)</f>
        <v>24677364980</v>
      </c>
      <c r="J236" s="113">
        <f>SUM(J7:J223)</f>
        <v>12635274683</v>
      </c>
      <c r="K236" s="114">
        <f>(I236-J236)/J236*100</f>
        <v>95.305330506205038</v>
      </c>
      <c r="L236" s="113"/>
      <c r="M236" s="113"/>
      <c r="N236" s="113"/>
      <c r="O236" s="113"/>
      <c r="P236" s="264"/>
      <c r="Q236" s="264"/>
    </row>
    <row r="237" spans="1:17" s="64" customFormat="1" x14ac:dyDescent="0.25">
      <c r="A237" s="264" t="s">
        <v>398</v>
      </c>
      <c r="B237" s="264"/>
      <c r="C237" s="264"/>
      <c r="D237" s="264"/>
      <c r="E237" s="264"/>
      <c r="F237" s="113">
        <f>F236/10000000</f>
        <v>2528.9794154000001</v>
      </c>
      <c r="G237" s="113">
        <f>G236/10000000</f>
        <v>2392.0776245000002</v>
      </c>
      <c r="H237" s="114">
        <f>(F237-G237)/G237*100</f>
        <v>5.7231332920734781</v>
      </c>
      <c r="I237" s="113">
        <f>I236/10000000</f>
        <v>2467.7364980000002</v>
      </c>
      <c r="J237" s="113">
        <f>J236/10000000</f>
        <v>1263.5274683</v>
      </c>
      <c r="K237" s="114">
        <f>(I237-J237)/J237*100</f>
        <v>95.305330506205038</v>
      </c>
      <c r="L237" s="113"/>
      <c r="M237" s="113"/>
      <c r="N237" s="113"/>
      <c r="O237" s="113"/>
      <c r="P237" s="264"/>
      <c r="Q237" s="264"/>
    </row>
  </sheetData>
  <mergeCells count="15">
    <mergeCell ref="A237:E237"/>
    <mergeCell ref="P236:Q236"/>
    <mergeCell ref="P237:Q237"/>
    <mergeCell ref="A236:E236"/>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T13" sqref="T13"/>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(Value)'!H154</f>
        <v>1356178</v>
      </c>
      <c r="C3" s="159">
        <f>'OI(Volume)'!G150</f>
        <v>3.7900000000000003E-2</v>
      </c>
      <c r="D3" s="153">
        <f>'Snapshot (Value)'!P150</f>
        <v>0.44</v>
      </c>
      <c r="E3" s="153">
        <f>'Snapshot (Value)'!R150</f>
        <v>0.25</v>
      </c>
      <c r="F3" s="153">
        <f>IV!E150</f>
        <v>17.559999999999999</v>
      </c>
      <c r="G3" s="153">
        <f>IV!B150</f>
        <v>18.62</v>
      </c>
      <c r="H3" s="153">
        <f>'Snapshot (Value)'!C154</f>
        <v>24119.3</v>
      </c>
      <c r="I3" s="153">
        <f>'Snapshot (Value)'!D154</f>
        <v>24206</v>
      </c>
      <c r="J3" s="153">
        <f>'Snapshot (Value)'!E154</f>
        <v>24098.2</v>
      </c>
      <c r="K3" s="153">
        <f>(I3-H3)</f>
        <v>86.700000000000728</v>
      </c>
      <c r="L3" s="232">
        <f>'Data Vlaue (Cr)'!V145</f>
        <v>24449.7</v>
      </c>
    </row>
    <row r="4" spans="1:12" x14ac:dyDescent="0.25">
      <c r="A4" t="s">
        <v>464</v>
      </c>
      <c r="B4" s="154">
        <f>'Snapshot (Value)'!H38</f>
        <v>150293</v>
      </c>
      <c r="C4" s="159">
        <f>'OI(Volume)'!G34</f>
        <v>4.7600000000000003E-2</v>
      </c>
      <c r="D4" s="153">
        <f>'Snapshot (Value)'!P38</f>
        <v>0.87</v>
      </c>
      <c r="E4" s="153">
        <f>'Snapshot (Value)'!R38</f>
        <v>0.75</v>
      </c>
      <c r="F4" s="153">
        <f>IV!E34</f>
        <v>21.17</v>
      </c>
      <c r="G4" s="153">
        <f>IV!B34</f>
        <v>20.84</v>
      </c>
      <c r="H4" s="153">
        <f>'Snapshot (Value)'!C38</f>
        <v>54878.5</v>
      </c>
      <c r="I4" s="153">
        <f>'Snapshot (Value)'!D38</f>
        <v>55153.8</v>
      </c>
      <c r="J4" s="153">
        <f>'Snapshot (Value)'!E38</f>
        <v>55195.199999999997</v>
      </c>
      <c r="K4" s="153">
        <f>(I4-H4)</f>
        <v>275.30000000000291</v>
      </c>
      <c r="L4" s="232">
        <f>'Data Vlaue (Cr)'!V29</f>
        <v>55675.6</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8" t="s">
        <v>393</v>
      </c>
      <c r="B1" s="330" t="s">
        <v>631</v>
      </c>
      <c r="C1" s="331"/>
      <c r="D1" s="332"/>
      <c r="E1" s="333" t="s">
        <v>632</v>
      </c>
      <c r="F1" s="334"/>
      <c r="G1" s="335"/>
      <c r="H1" s="336" t="s">
        <v>633</v>
      </c>
      <c r="I1" s="337"/>
      <c r="J1" s="338"/>
      <c r="K1" s="339" t="s">
        <v>634</v>
      </c>
      <c r="L1" s="340"/>
      <c r="M1" s="341"/>
    </row>
    <row r="2" spans="1:13" ht="26.25" thickBot="1" x14ac:dyDescent="0.25">
      <c r="A2" s="329"/>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8" t="s">
        <v>640</v>
      </c>
      <c r="B6" s="330" t="s">
        <v>631</v>
      </c>
      <c r="C6" s="331"/>
      <c r="D6" s="332"/>
      <c r="E6" s="333" t="s">
        <v>632</v>
      </c>
      <c r="F6" s="334"/>
      <c r="G6" s="335"/>
      <c r="H6" s="336" t="s">
        <v>633</v>
      </c>
      <c r="I6" s="337"/>
      <c r="J6" s="338"/>
      <c r="K6" s="339" t="s">
        <v>634</v>
      </c>
      <c r="L6" s="340"/>
      <c r="M6" s="341"/>
    </row>
    <row r="7" spans="1:13" ht="26.25" thickBot="1" x14ac:dyDescent="0.25">
      <c r="A7" s="329"/>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8" t="s">
        <v>641</v>
      </c>
      <c r="B11" s="330" t="s">
        <v>631</v>
      </c>
      <c r="C11" s="331"/>
      <c r="D11" s="332"/>
      <c r="E11" s="333" t="s">
        <v>632</v>
      </c>
      <c r="F11" s="334"/>
      <c r="G11" s="335"/>
      <c r="H11" s="336" t="s">
        <v>633</v>
      </c>
      <c r="I11" s="337"/>
      <c r="J11" s="338"/>
      <c r="K11" s="339" t="s">
        <v>634</v>
      </c>
      <c r="L11" s="340"/>
      <c r="M11" s="341"/>
    </row>
    <row r="12" spans="1:13" ht="26.25" thickBot="1" x14ac:dyDescent="0.25">
      <c r="A12" s="329"/>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8" t="s">
        <v>395</v>
      </c>
      <c r="B16" s="330" t="s">
        <v>631</v>
      </c>
      <c r="C16" s="331"/>
      <c r="D16" s="332"/>
      <c r="E16" s="333" t="s">
        <v>632</v>
      </c>
      <c r="F16" s="334"/>
      <c r="G16" s="335"/>
      <c r="H16" s="336" t="s">
        <v>633</v>
      </c>
      <c r="I16" s="337"/>
      <c r="J16" s="338"/>
      <c r="K16" s="339" t="s">
        <v>634</v>
      </c>
      <c r="L16" s="340"/>
      <c r="M16" s="341"/>
    </row>
    <row r="17" spans="1:13" ht="26.25" thickBot="1" x14ac:dyDescent="0.25">
      <c r="A17" s="329"/>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8" t="s">
        <v>642</v>
      </c>
      <c r="B21" s="330" t="s">
        <v>631</v>
      </c>
      <c r="C21" s="331"/>
      <c r="D21" s="332"/>
      <c r="E21" s="333" t="s">
        <v>632</v>
      </c>
      <c r="F21" s="334"/>
      <c r="G21" s="335"/>
      <c r="H21" s="336" t="s">
        <v>633</v>
      </c>
      <c r="I21" s="337"/>
      <c r="J21" s="338"/>
      <c r="K21" s="339" t="s">
        <v>634</v>
      </c>
      <c r="L21" s="340"/>
      <c r="M21" s="341"/>
    </row>
    <row r="22" spans="1:13" ht="26.25" thickBot="1" x14ac:dyDescent="0.25">
      <c r="A22" s="329"/>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8" t="s">
        <v>643</v>
      </c>
      <c r="B26" s="330" t="s">
        <v>631</v>
      </c>
      <c r="C26" s="331"/>
      <c r="D26" s="332"/>
      <c r="E26" s="333" t="s">
        <v>632</v>
      </c>
      <c r="F26" s="334"/>
      <c r="G26" s="335"/>
      <c r="H26" s="336" t="s">
        <v>633</v>
      </c>
      <c r="I26" s="337"/>
      <c r="J26" s="338"/>
      <c r="K26" s="339" t="s">
        <v>634</v>
      </c>
      <c r="L26" s="340"/>
      <c r="M26" s="341"/>
    </row>
    <row r="27" spans="1:13" ht="26.25" thickBot="1" x14ac:dyDescent="0.25">
      <c r="A27" s="329"/>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4100.8</v>
      </c>
      <c r="C3" s="200"/>
      <c r="D3" s="200"/>
    </row>
    <row r="4" spans="1:4" x14ac:dyDescent="0.25">
      <c r="A4" s="217" t="s">
        <v>320</v>
      </c>
      <c r="B4" s="220">
        <f>VLOOKUP($B$1,'Snapshot (Value)'!$A:$S,6,0)</f>
        <v>19.5</v>
      </c>
      <c r="C4" s="200"/>
      <c r="D4" s="200"/>
    </row>
    <row r="5" spans="1:4" x14ac:dyDescent="0.25">
      <c r="A5" s="221"/>
      <c r="B5" s="222" t="s">
        <v>648</v>
      </c>
      <c r="C5" s="222" t="s">
        <v>649</v>
      </c>
      <c r="D5" s="222" t="s">
        <v>650</v>
      </c>
    </row>
    <row r="6" spans="1:4" x14ac:dyDescent="0.25">
      <c r="A6" s="217" t="s">
        <v>651</v>
      </c>
      <c r="B6" s="219">
        <f>VLOOKUP($B$1,'Snapshot (Value)'!$A:$S,4,0)</f>
        <v>4120.3</v>
      </c>
      <c r="C6" s="219">
        <f>VLOOKUP($B$1,'Snapshot (Value)'!$A:$S,5,0)</f>
        <v>4037.7</v>
      </c>
      <c r="D6" s="219">
        <f>+(B6/C6-1)*100</f>
        <v>2.0457190975060158</v>
      </c>
    </row>
    <row r="7" spans="1:4" x14ac:dyDescent="0.25">
      <c r="A7" s="217" t="s">
        <v>316</v>
      </c>
      <c r="B7" s="219">
        <f>VLOOKUP($B$1,'Snapshot (Volume)'!$A:$S,12,0)</f>
        <v>0.83</v>
      </c>
      <c r="C7" s="219">
        <f>VLOOKUP($B$1,'Snapshot (Volume)'!$A:$S,13,0)</f>
        <v>0.98</v>
      </c>
      <c r="D7" s="219">
        <f>+(B7/C7-1)*100</f>
        <v>-15.306122448979597</v>
      </c>
    </row>
    <row r="8" spans="1:4" x14ac:dyDescent="0.25">
      <c r="A8" s="217" t="s">
        <v>652</v>
      </c>
      <c r="B8" s="219">
        <f>VLOOKUP($B$1,'Snapshot (Volume)'!$A:$S,15,0)</f>
        <v>0.37</v>
      </c>
      <c r="C8" s="219">
        <f>VLOOKUP($B$1,'Snapshot (Volume)'!$A:$S,16,0)</f>
        <v>0.65</v>
      </c>
      <c r="D8" s="219">
        <f>+(B8/C8-1)*100</f>
        <v>-43.07692307692308</v>
      </c>
    </row>
    <row r="9" spans="1:4" x14ac:dyDescent="0.25">
      <c r="A9" s="215" t="s">
        <v>653</v>
      </c>
      <c r="B9" s="222" t="s">
        <v>654</v>
      </c>
      <c r="C9" s="222" t="s">
        <v>369</v>
      </c>
      <c r="D9" s="222" t="s">
        <v>650</v>
      </c>
    </row>
    <row r="10" spans="1:4" x14ac:dyDescent="0.25">
      <c r="A10" s="217" t="s">
        <v>655</v>
      </c>
      <c r="B10" s="219">
        <f>VLOOKUP($B$1,'OI(Value)'!$A:$O,5,0)</f>
        <v>5843</v>
      </c>
      <c r="C10" s="219">
        <f>VLOOKUP($B$1,'OI(Value)'!$A:$O,6,0)</f>
        <v>-95</v>
      </c>
      <c r="D10" s="219">
        <f>VLOOKUP($B$1,'OI(Value)'!$A:$O,7,0)*100</f>
        <v>-1.6</v>
      </c>
    </row>
    <row r="11" spans="1:4" x14ac:dyDescent="0.25">
      <c r="A11" s="217" t="s">
        <v>656</v>
      </c>
      <c r="B11" s="219">
        <f>VLOOKUP($B$1,'OI(Value)'!$A:$O,8,0)</f>
        <v>2042</v>
      </c>
      <c r="C11" s="219">
        <f>VLOOKUP($B$1,'OI(Value)'!$A:$O,9,0)</f>
        <v>478</v>
      </c>
      <c r="D11" s="219">
        <f>VLOOKUP($B$1,'OI(Value)'!$A:$O,10,0)*100</f>
        <v>30.54</v>
      </c>
    </row>
    <row r="12" spans="1:4" x14ac:dyDescent="0.25">
      <c r="A12" s="217" t="s">
        <v>657</v>
      </c>
      <c r="B12" s="219">
        <f>VLOOKUP($B$1,'OI(Value)'!$A:$O,11,0)</f>
        <v>1696</v>
      </c>
      <c r="C12" s="219">
        <f>VLOOKUP($B$1,'OI(Value)'!$A:$O,12,0)</f>
        <v>167</v>
      </c>
      <c r="D12" s="219">
        <f>VLOOKUP($B$1,'OI(Value)'!$A:$O,13,0)*100</f>
        <v>10.94</v>
      </c>
    </row>
    <row r="13" spans="1:4" x14ac:dyDescent="0.25">
      <c r="A13" s="215" t="s">
        <v>658</v>
      </c>
      <c r="B13" s="223">
        <f>VLOOKUP($B$1,'OI(Value)'!$A:$O,2,0)</f>
        <v>9580</v>
      </c>
      <c r="C13" s="223">
        <f>VLOOKUP($B$1,'OI(Value)'!$A:$O,3,0)</f>
        <v>550</v>
      </c>
      <c r="D13" s="223">
        <f>VLOOKUP($B$1,'OI(Value)'!$A:$O,4,0)*100</f>
        <v>6.09</v>
      </c>
    </row>
    <row r="14" spans="1:4" x14ac:dyDescent="0.25">
      <c r="A14" s="215" t="s">
        <v>659</v>
      </c>
      <c r="B14" s="222" t="s">
        <v>660</v>
      </c>
      <c r="C14" s="222" t="s">
        <v>369</v>
      </c>
      <c r="D14" s="222" t="s">
        <v>650</v>
      </c>
    </row>
    <row r="15" spans="1:4" x14ac:dyDescent="0.25">
      <c r="A15" s="217" t="s">
        <v>655</v>
      </c>
      <c r="B15" s="219">
        <f>VLOOKUP($B$1,'OI(Volume)'!$A:$O,5,0)/10^5</f>
        <v>141.80074999999999</v>
      </c>
      <c r="C15" s="219">
        <f>VLOOKUP($B$1,'OI(Volume)'!$A:$O,6,0)/10^5</f>
        <v>-2.3047499999999999</v>
      </c>
      <c r="D15" s="219">
        <f>(VLOOKUP($B$1,'OI(Volume)'!$A:$O,7,0))*100</f>
        <v>-1.6</v>
      </c>
    </row>
    <row r="16" spans="1:4" x14ac:dyDescent="0.25">
      <c r="A16" s="217" t="s">
        <v>656</v>
      </c>
      <c r="B16" s="219">
        <f>VLOOKUP($B$1,'OI(Volume)'!$A:$O,8,0)/10^5</f>
        <v>49.554749999999999</v>
      </c>
      <c r="C16" s="219">
        <f>VLOOKUP($B$1,'OI(Volume)'!$A:$O,9,0)/10^5</f>
        <v>11.59375</v>
      </c>
      <c r="D16" s="219">
        <f>(VLOOKUP($B$1,'OI(Volume)'!$A:$O,10,0))*100</f>
        <v>30.54</v>
      </c>
    </row>
    <row r="17" spans="1:4" x14ac:dyDescent="0.25">
      <c r="A17" s="217" t="s">
        <v>657</v>
      </c>
      <c r="B17" s="219">
        <f>VLOOKUP($B$1,'OI(Volume)'!$A:$O,11,0)/10^5</f>
        <v>41.158250000000002</v>
      </c>
      <c r="C17" s="219">
        <f>VLOOKUP($B$1,'OI(Volume)'!$A:$O,12,0)/10^5</f>
        <v>4.0599999999999996</v>
      </c>
      <c r="D17" s="219">
        <f>(VLOOKUP($B$1,'OI(Volume)'!$A:$O,13,0))*100</f>
        <v>10.94</v>
      </c>
    </row>
    <row r="18" spans="1:4" x14ac:dyDescent="0.25">
      <c r="A18" s="215" t="s">
        <v>661</v>
      </c>
      <c r="B18" s="223">
        <f>VLOOKUP($B$1,'OI(Volume)'!$A:$O,2,0)/10^5</f>
        <v>232.51374999999999</v>
      </c>
      <c r="C18" s="223">
        <f>VLOOKUP($B$1,'OI(Volume)'!$A:$O,3,0)/10^5</f>
        <v>13.349</v>
      </c>
      <c r="D18" s="223">
        <f>(VLOOKUP($B$1,'OI(Volume)'!$A:$O,4,0))*100</f>
        <v>6.09</v>
      </c>
    </row>
    <row r="20" spans="1:4" x14ac:dyDescent="0.25">
      <c r="A20" s="17" t="s">
        <v>417</v>
      </c>
      <c r="B20" s="224">
        <f>VLOOKUP($B$1,'Open Interest Position'!$A:$F,2,0)/10^5</f>
        <v>1360.99497</v>
      </c>
    </row>
    <row r="21" spans="1:4" x14ac:dyDescent="0.25">
      <c r="A21" s="17" t="s">
        <v>412</v>
      </c>
      <c r="B21" s="224">
        <f>VLOOKUP($B$1,'Open Interest Position'!$A:$F,3,0)/10^5</f>
        <v>229.1695</v>
      </c>
    </row>
    <row r="22" spans="1:4" x14ac:dyDescent="0.25">
      <c r="A22" s="17" t="s">
        <v>418</v>
      </c>
      <c r="B22" s="224">
        <f>VLOOKUP($B$1,'Open Interest Position'!$A:$F,4,0)/10^5</f>
        <v>145.63002310480701</v>
      </c>
    </row>
    <row r="23" spans="1:4" x14ac:dyDescent="0.25">
      <c r="A23" s="17" t="s">
        <v>419</v>
      </c>
      <c r="B23" s="225">
        <f>VLOOKUP($B$1,'Open Interest Position'!$A:$F,6,0)</f>
        <v>0.16838379645150342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6" t="s">
        <v>329</v>
      </c>
      <c r="B3" s="267"/>
      <c r="C3" s="267"/>
      <c r="D3" s="267"/>
      <c r="E3" s="267"/>
      <c r="F3" s="267"/>
      <c r="G3" s="267"/>
      <c r="H3" s="267"/>
      <c r="I3" s="268"/>
      <c r="J3" s="268"/>
      <c r="K3" s="268"/>
      <c r="L3" s="268"/>
      <c r="M3" s="268"/>
      <c r="N3" s="268"/>
      <c r="O3" s="268"/>
      <c r="P3" s="269"/>
    </row>
    <row r="4" spans="1:36" x14ac:dyDescent="0.25">
      <c r="A4" s="270" t="s">
        <v>330</v>
      </c>
      <c r="B4" s="270"/>
      <c r="C4" s="77" t="s">
        <v>308</v>
      </c>
      <c r="D4" s="272" t="s">
        <v>326</v>
      </c>
      <c r="E4" s="272"/>
      <c r="F4" s="272"/>
      <c r="G4" s="272"/>
      <c r="H4" s="272" t="s">
        <v>457</v>
      </c>
      <c r="I4" s="272"/>
      <c r="J4" s="272"/>
      <c r="K4" s="270" t="s">
        <v>309</v>
      </c>
      <c r="L4" s="270"/>
      <c r="M4" s="270"/>
      <c r="N4" s="270" t="s">
        <v>331</v>
      </c>
      <c r="O4" s="270"/>
      <c r="P4" s="270"/>
    </row>
    <row r="5" spans="1:36" x14ac:dyDescent="0.25">
      <c r="A5" s="271"/>
      <c r="B5" s="271"/>
      <c r="C5" s="65" t="s">
        <v>312</v>
      </c>
      <c r="D5" s="273" t="s">
        <v>314</v>
      </c>
      <c r="E5" s="273"/>
      <c r="F5" s="273"/>
      <c r="G5" s="273"/>
      <c r="H5" s="273" t="s">
        <v>315</v>
      </c>
      <c r="I5" s="273"/>
      <c r="J5" s="273"/>
      <c r="K5" s="271" t="s">
        <v>314</v>
      </c>
      <c r="L5" s="271"/>
      <c r="M5" s="271"/>
      <c r="N5" s="271" t="s">
        <v>315</v>
      </c>
      <c r="O5" s="271"/>
      <c r="P5" s="271"/>
    </row>
    <row r="6" spans="1:36" x14ac:dyDescent="0.25">
      <c r="A6" s="78" t="s">
        <v>332</v>
      </c>
      <c r="B6" s="78" t="s">
        <v>318</v>
      </c>
      <c r="C6" s="65" t="s">
        <v>328</v>
      </c>
      <c r="D6" s="66">
        <f>'Snapshot (Volume)'!B6</f>
        <v>46146</v>
      </c>
      <c r="E6" s="66" t="s">
        <v>368</v>
      </c>
      <c r="F6" s="71" t="s">
        <v>333</v>
      </c>
      <c r="G6" s="71" t="s">
        <v>328</v>
      </c>
      <c r="H6" s="66">
        <f>D6</f>
        <v>46146</v>
      </c>
      <c r="I6" s="71" t="s">
        <v>322</v>
      </c>
      <c r="J6" s="71" t="s">
        <v>328</v>
      </c>
      <c r="K6" s="66">
        <f>D6</f>
        <v>46146</v>
      </c>
      <c r="L6" s="78" t="s">
        <v>333</v>
      </c>
      <c r="M6" s="78" t="s">
        <v>328</v>
      </c>
      <c r="N6" s="66">
        <f>D6</f>
        <v>46146</v>
      </c>
      <c r="O6" s="78" t="s">
        <v>322</v>
      </c>
      <c r="P6" s="78" t="s">
        <v>328</v>
      </c>
    </row>
    <row r="7" spans="1:36" x14ac:dyDescent="0.25">
      <c r="A7" s="79" t="str">
        <f>'Data shares'!B2</f>
        <v>Finance</v>
      </c>
      <c r="B7" s="79" t="str">
        <f>'Data shares'!C2</f>
        <v>360ONE</v>
      </c>
      <c r="C7" s="79">
        <f>VLOOKUP($B7,'Data shares'!$C:$FB,7)</f>
        <v>1066.5</v>
      </c>
      <c r="D7" s="165">
        <f>VLOOKUP($B7,'Data shares'!$C:$FB,98)</f>
        <v>5843500</v>
      </c>
      <c r="E7" s="165">
        <f>VLOOKUP(B7,'Snapshot (Volume)'!$A$7:$G$168,7,0)</f>
        <v>5575000</v>
      </c>
      <c r="F7" s="165">
        <f>D7-E7</f>
        <v>268500</v>
      </c>
      <c r="G7" s="166">
        <f>F7/E7</f>
        <v>4.8161434977578473E-2</v>
      </c>
      <c r="H7" s="165">
        <f>VLOOKUP($B7,'Data shares'!$C:$FB,66)</f>
        <v>3766500</v>
      </c>
      <c r="I7" s="165">
        <f>VLOOKUP($B7,'Data shares'!$C:$FB,67)</f>
        <v>2241000</v>
      </c>
      <c r="J7" s="81">
        <f>(H7-I7)/I7*100</f>
        <v>68.07228915662651</v>
      </c>
      <c r="K7" s="81">
        <f>VLOOKUP($B7,'Data Vlaue (Cr)'!$C:$FB,99)</f>
        <v>626</v>
      </c>
      <c r="L7" s="81">
        <f>VLOOKUP(B7,'OI(Value)'!$A$7:$C$232,3,0)</f>
        <v>29</v>
      </c>
      <c r="M7" s="81">
        <f t="shared" ref="M7:M36" si="0">L7/K7*100</f>
        <v>4.6325878594249197</v>
      </c>
      <c r="N7" s="81">
        <f>VLOOKUP($B7,'Data Vlaue (Cr)'!$C:$FB,67)</f>
        <v>404</v>
      </c>
      <c r="O7" s="81">
        <f>VLOOKUP($B7,'Data Vlaue (Cr)'!$C:$FB,68)</f>
        <v>240</v>
      </c>
      <c r="P7" s="81">
        <f t="shared" ref="P7:P23" si="1">(N7-O7)/N7*100</f>
        <v>40.594059405940598</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7236.5</v>
      </c>
      <c r="D8" s="165">
        <f>VLOOKUP($B8,'Data shares'!$C:$FB,98)</f>
        <v>3547375</v>
      </c>
      <c r="E8" s="165">
        <f>VLOOKUP(B8,'Snapshot (Volume)'!$A$7:$G$168,7,0)</f>
        <v>3200750</v>
      </c>
      <c r="F8" s="165">
        <f t="shared" ref="F8:F23" si="2">D8-E8</f>
        <v>346625</v>
      </c>
      <c r="G8" s="166">
        <f t="shared" ref="G8:G23" si="3">F8/E8</f>
        <v>0.10829493087557604</v>
      </c>
      <c r="H8" s="165">
        <f>VLOOKUP($B8,'Data shares'!$C:$FB,66)</f>
        <v>2645750</v>
      </c>
      <c r="I8" s="165">
        <f>VLOOKUP($B8,'Data shares'!$C:$FB,67)</f>
        <v>1725875</v>
      </c>
      <c r="J8" s="81">
        <f t="shared" ref="J8:J22" si="4">(H8-I8)/I8*100</f>
        <v>53.29905120591004</v>
      </c>
      <c r="K8" s="81">
        <f>VLOOKUP($B8,'Data Vlaue (Cr)'!$C:$FB,99)</f>
        <v>2577</v>
      </c>
      <c r="L8" s="81">
        <f>VLOOKUP(B8,'OI(Value)'!$A$7:$C$232,3,0)</f>
        <v>252</v>
      </c>
      <c r="M8" s="81">
        <f t="shared" si="0"/>
        <v>9.7788125727590227</v>
      </c>
      <c r="N8" s="81">
        <f>VLOOKUP($B8,'Data Vlaue (Cr)'!$C:$FB,67)</f>
        <v>1922</v>
      </c>
      <c r="O8" s="81">
        <f>VLOOKUP($B8,'Data Vlaue (Cr)'!$C:$FB,68)</f>
        <v>1254</v>
      </c>
      <c r="P8" s="81">
        <f t="shared" si="1"/>
        <v>34.755463059313215</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345.85</v>
      </c>
      <c r="D9" s="165">
        <f>VLOOKUP($B9,'Data shares'!$C:$FB,98)</f>
        <v>71833200</v>
      </c>
      <c r="E9" s="165">
        <f>VLOOKUP(B9,'Snapshot (Volume)'!$A$7:$G$168,7,0)</f>
        <v>58357500</v>
      </c>
      <c r="F9" s="165">
        <f t="shared" si="2"/>
        <v>13475700</v>
      </c>
      <c r="G9" s="166">
        <f t="shared" si="3"/>
        <v>0.23091633466135458</v>
      </c>
      <c r="H9" s="165">
        <f>VLOOKUP($B9,'Data shares'!$C:$FB,66)</f>
        <v>170797600</v>
      </c>
      <c r="I9" s="165">
        <f>VLOOKUP($B9,'Data shares'!$C:$FB,67)</f>
        <v>26449200</v>
      </c>
      <c r="J9" s="81">
        <f t="shared" si="4"/>
        <v>545.75714955461785</v>
      </c>
      <c r="K9" s="81">
        <f>VLOOKUP($B9,'Data Vlaue (Cr)'!$C:$FB,99)</f>
        <v>2489</v>
      </c>
      <c r="L9" s="81">
        <f>VLOOKUP(B9,'OI(Value)'!$A$7:$C$232,3,0)</f>
        <v>467</v>
      </c>
      <c r="M9" s="81">
        <f t="shared" si="0"/>
        <v>18.762555243069507</v>
      </c>
      <c r="N9" s="81">
        <f>VLOOKUP($B9,'Data Vlaue (Cr)'!$C:$FB,67)</f>
        <v>5918</v>
      </c>
      <c r="O9" s="81">
        <f>VLOOKUP($B9,'Data Vlaue (Cr)'!$C:$FB,68)</f>
        <v>916</v>
      </c>
      <c r="P9" s="81">
        <f t="shared" si="1"/>
        <v>84.521797904697536</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1398.4</v>
      </c>
      <c r="D10" s="82">
        <f>VLOOKUP($B10,'Data shares'!$C:$FB,98)</f>
        <v>28958175</v>
      </c>
      <c r="E10" s="165">
        <f>VLOOKUP(B10,'Snapshot (Volume)'!$A$7:$G$168,7,0)</f>
        <v>27729000</v>
      </c>
      <c r="F10" s="165">
        <f t="shared" si="2"/>
        <v>1229175</v>
      </c>
      <c r="G10" s="166">
        <f t="shared" si="3"/>
        <v>4.4328140214216161E-2</v>
      </c>
      <c r="H10" s="165">
        <f>VLOOKUP($B10,'Data shares'!$C:$FB,66)</f>
        <v>26626725</v>
      </c>
      <c r="I10" s="165">
        <f>VLOOKUP($B10,'Data shares'!$C:$FB,67)</f>
        <v>26780625</v>
      </c>
      <c r="J10" s="81">
        <f t="shared" si="4"/>
        <v>-0.5746691871455577</v>
      </c>
      <c r="K10" s="5">
        <f>VLOOKUP($B10,'Data Vlaue (Cr)'!$C:$FB,99)</f>
        <v>4074</v>
      </c>
      <c r="L10" s="81">
        <f>VLOOKUP(B10,'OI(Value)'!$A$7:$C$232,3,0)</f>
        <v>173</v>
      </c>
      <c r="M10" s="33">
        <f t="shared" si="0"/>
        <v>4.2464408443789887</v>
      </c>
      <c r="N10" s="5">
        <f>VLOOKUP($B10,'Data Vlaue (Cr)'!$C:$FB,67)</f>
        <v>3746</v>
      </c>
      <c r="O10" s="5">
        <f>VLOOKUP($B10,'Data Vlaue (Cr)'!$C:$FB,68)</f>
        <v>3768</v>
      </c>
      <c r="P10" s="5">
        <f t="shared" si="1"/>
        <v>-0.58729311265349704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2485.6999999999998</v>
      </c>
      <c r="D11" s="82">
        <f>VLOOKUP($B11,'Data shares'!$C:$FB,98)</f>
        <v>32587449</v>
      </c>
      <c r="E11" s="165">
        <f>VLOOKUP(B11,'Snapshot (Volume)'!$A$7:$G$168,7,0)</f>
        <v>30991155</v>
      </c>
      <c r="F11" s="165">
        <f t="shared" si="2"/>
        <v>1596294</v>
      </c>
      <c r="G11" s="166">
        <f t="shared" si="3"/>
        <v>5.1508051248815995E-2</v>
      </c>
      <c r="H11" s="165">
        <f>VLOOKUP($B11,'Data shares'!$C:$FB,66)</f>
        <v>48180825</v>
      </c>
      <c r="I11" s="165">
        <f>VLOOKUP($B11,'Data shares'!$C:$FB,67)</f>
        <v>25979793</v>
      </c>
      <c r="J11" s="81">
        <f t="shared" si="4"/>
        <v>85.454999583714937</v>
      </c>
      <c r="K11" s="5">
        <f>VLOOKUP($B11,'Data Vlaue (Cr)'!$C:$FB,99)</f>
        <v>8117</v>
      </c>
      <c r="L11" s="81">
        <f>VLOOKUP(B11,'OI(Value)'!$A$7:$C$232,3,0)</f>
        <v>398</v>
      </c>
      <c r="M11" s="33">
        <f t="shared" si="0"/>
        <v>4.9032893926327459</v>
      </c>
      <c r="N11" s="5">
        <f>VLOOKUP($B11,'Data Vlaue (Cr)'!$C:$FB,67)</f>
        <v>12000</v>
      </c>
      <c r="O11" s="5">
        <f>VLOOKUP($B11,'Data Vlaue (Cr)'!$C:$FB,68)</f>
        <v>6471</v>
      </c>
      <c r="P11" s="5">
        <f t="shared" si="1"/>
        <v>46.075000000000003</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1290.7</v>
      </c>
      <c r="D12" s="82">
        <f>VLOOKUP($B12,'Data shares'!$C:$FB,98)</f>
        <v>32397000</v>
      </c>
      <c r="E12" s="165">
        <f>VLOOKUP(B12,'Snapshot (Volume)'!$A$7:$G$168,7,0)</f>
        <v>29958600</v>
      </c>
      <c r="F12" s="165">
        <f t="shared" si="2"/>
        <v>2438400</v>
      </c>
      <c r="G12" s="166">
        <f t="shared" si="3"/>
        <v>8.1392321403536874E-2</v>
      </c>
      <c r="H12" s="165">
        <f>VLOOKUP($B12,'Data shares'!$C:$FB,66)</f>
        <v>30997800</v>
      </c>
      <c r="I12" s="165">
        <f>VLOOKUP($B12,'Data shares'!$C:$FB,67)</f>
        <v>11588400</v>
      </c>
      <c r="J12" s="81">
        <f t="shared" si="4"/>
        <v>167.48990369680027</v>
      </c>
      <c r="K12" s="5">
        <f>VLOOKUP($B12,'Data Vlaue (Cr)'!$C:$FB,99)</f>
        <v>4205</v>
      </c>
      <c r="L12" s="81">
        <f>VLOOKUP(B12,'OI(Value)'!$A$7:$C$232,3,0)</f>
        <v>317</v>
      </c>
      <c r="M12" s="33">
        <f t="shared" si="0"/>
        <v>7.5386444708680136</v>
      </c>
      <c r="N12" s="5">
        <f>VLOOKUP($B12,'Data Vlaue (Cr)'!$C:$FB,67)</f>
        <v>4024</v>
      </c>
      <c r="O12" s="5">
        <f>VLOOKUP($B12,'Data Vlaue (Cr)'!$C:$FB,68)</f>
        <v>1504</v>
      </c>
      <c r="P12" s="5">
        <f t="shared" si="1"/>
        <v>62.624254473161031</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1742.6</v>
      </c>
      <c r="D13" s="82">
        <f>VLOOKUP($B13,'Data shares'!$C:$FB,98)</f>
        <v>36706100</v>
      </c>
      <c r="E13" s="165">
        <f>VLOOKUP(B13,'Snapshot (Volume)'!$A$7:$G$168,7,0)</f>
        <v>31612675</v>
      </c>
      <c r="F13" s="165">
        <f t="shared" si="2"/>
        <v>5093425</v>
      </c>
      <c r="G13" s="166">
        <f t="shared" si="3"/>
        <v>0.16111970910402235</v>
      </c>
      <c r="H13" s="165">
        <f>VLOOKUP($B13,'Data shares'!$C:$FB,66)</f>
        <v>74839100</v>
      </c>
      <c r="I13" s="165">
        <f>VLOOKUP($B13,'Data shares'!$C:$FB,67)</f>
        <v>53708725</v>
      </c>
      <c r="J13" s="81">
        <f t="shared" si="4"/>
        <v>39.342536990032812</v>
      </c>
      <c r="K13" s="5">
        <f>VLOOKUP($B13,'Data Vlaue (Cr)'!$C:$FB,99)</f>
        <v>6416</v>
      </c>
      <c r="L13" s="81">
        <f>VLOOKUP(B13,'OI(Value)'!$A$7:$C$232,3,0)</f>
        <v>890</v>
      </c>
      <c r="M13" s="33">
        <f t="shared" si="0"/>
        <v>13.871571072319203</v>
      </c>
      <c r="N13" s="5">
        <f>VLOOKUP($B13,'Data Vlaue (Cr)'!$C:$FB,67)</f>
        <v>13082</v>
      </c>
      <c r="O13" s="5">
        <f>VLOOKUP($B13,'Data Vlaue (Cr)'!$C:$FB,68)</f>
        <v>9388</v>
      </c>
      <c r="P13" s="5">
        <f t="shared" si="1"/>
        <v>28.237272588289251</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Power</v>
      </c>
      <c r="B14" s="79" t="str">
        <f>'Data shares'!C9</f>
        <v>ADANIPOWER</v>
      </c>
      <c r="C14" s="4">
        <f>VLOOKUP($B14,'Data shares'!$C:$FB,7)</f>
        <v>227.3</v>
      </c>
      <c r="D14" s="82">
        <f>VLOOKUP($B14,'Data shares'!$C:$FB,98)</f>
        <v>127679300</v>
      </c>
      <c r="E14" s="165">
        <f>VLOOKUP(B14,'Snapshot (Volume)'!$A$7:$G$168,7,0)</f>
        <v>127043850</v>
      </c>
      <c r="F14" s="165">
        <f t="shared" si="2"/>
        <v>635450</v>
      </c>
      <c r="G14" s="166">
        <f t="shared" si="3"/>
        <v>5.0018163020091096E-3</v>
      </c>
      <c r="H14" s="165">
        <f>VLOOKUP($B14,'Data shares'!$C:$FB,66)</f>
        <v>159217500</v>
      </c>
      <c r="I14" s="165">
        <f>VLOOKUP($B14,'Data shares'!$C:$FB,67)</f>
        <v>165515200</v>
      </c>
      <c r="J14" s="81">
        <f t="shared" si="4"/>
        <v>-3.8049073438572409</v>
      </c>
      <c r="K14" s="5">
        <f>VLOOKUP($B14,'Data Vlaue (Cr)'!$C:$FB,99)</f>
        <v>2911</v>
      </c>
      <c r="L14" s="81">
        <f>VLOOKUP(B14,'OI(Value)'!$A$7:$C$232,3,0)</f>
        <v>14</v>
      </c>
      <c r="M14" s="33">
        <f t="shared" si="0"/>
        <v>0.48093438680865686</v>
      </c>
      <c r="N14" s="5">
        <f>VLOOKUP($B14,'Data Vlaue (Cr)'!$C:$FB,67)</f>
        <v>3630</v>
      </c>
      <c r="O14" s="5">
        <f>VLOOKUP($B14,'Data Vlaue (Cr)'!$C:$FB,68)</f>
        <v>3774</v>
      </c>
      <c r="P14" s="5">
        <f t="shared" si="1"/>
        <v>-3.9669421487603307</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5360.5</v>
      </c>
      <c r="D15" s="82">
        <f>VLOOKUP($B15,'Data shares'!$C:$FB,98)</f>
        <v>1383375</v>
      </c>
      <c r="E15" s="165">
        <f>VLOOKUP(B15,'Snapshot (Volume)'!$A$7:$G$168,7,0)</f>
        <v>1293875</v>
      </c>
      <c r="F15" s="165">
        <f t="shared" si="2"/>
        <v>89500</v>
      </c>
      <c r="G15" s="166">
        <f t="shared" si="3"/>
        <v>6.917206067046662E-2</v>
      </c>
      <c r="H15" s="165">
        <f>VLOOKUP($B15,'Data shares'!$C:$FB,66)</f>
        <v>369625</v>
      </c>
      <c r="I15" s="165">
        <f>VLOOKUP($B15,'Data shares'!$C:$FB,67)</f>
        <v>452625</v>
      </c>
      <c r="J15" s="81">
        <f t="shared" si="4"/>
        <v>-18.337475835404586</v>
      </c>
      <c r="K15" s="5">
        <f>VLOOKUP($B15,'Data Vlaue (Cr)'!$C:$FB,99)</f>
        <v>740</v>
      </c>
      <c r="L15" s="81">
        <f>VLOOKUP(B15,'OI(Value)'!$A$7:$C$232,3,0)</f>
        <v>48</v>
      </c>
      <c r="M15" s="33">
        <f t="shared" si="0"/>
        <v>6.4864864864864868</v>
      </c>
      <c r="N15" s="5">
        <f>VLOOKUP($B15,'Data Vlaue (Cr)'!$C:$FB,67)</f>
        <v>198</v>
      </c>
      <c r="O15" s="5">
        <f>VLOOKUP($B15,'Data Vlaue (Cr)'!$C:$FB,68)</f>
        <v>242</v>
      </c>
      <c r="P15" s="5">
        <f t="shared" si="1"/>
        <v>-22.222222222222221</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8007</v>
      </c>
      <c r="D16" s="82">
        <f>VLOOKUP($B16,'Data shares'!$C:$FB,98)</f>
        <v>1842200</v>
      </c>
      <c r="E16" s="165">
        <f>VLOOKUP(B16,'Snapshot (Volume)'!$A$7:$G$168,7,0)</f>
        <v>1757100</v>
      </c>
      <c r="F16" s="165">
        <f t="shared" si="2"/>
        <v>85100</v>
      </c>
      <c r="G16" s="166">
        <f t="shared" si="3"/>
        <v>4.8432075579079165E-2</v>
      </c>
      <c r="H16" s="165">
        <f>VLOOKUP($B16,'Data shares'!$C:$FB,66)</f>
        <v>626700</v>
      </c>
      <c r="I16" s="165">
        <f>VLOOKUP($B16,'Data shares'!$C:$FB,67)</f>
        <v>967000</v>
      </c>
      <c r="J16" s="81">
        <f t="shared" si="4"/>
        <v>-35.191313340227509</v>
      </c>
      <c r="K16" s="5">
        <f>VLOOKUP($B16,'Data Vlaue (Cr)'!$C:$FB,99)</f>
        <v>1483</v>
      </c>
      <c r="L16" s="81">
        <f>VLOOKUP(B16,'OI(Value)'!$A$7:$C$232,3,0)</f>
        <v>69</v>
      </c>
      <c r="M16" s="33">
        <f t="shared" si="0"/>
        <v>4.6527309507754548</v>
      </c>
      <c r="N16" s="5">
        <f>VLOOKUP($B16,'Data Vlaue (Cr)'!$C:$FB,67)</f>
        <v>505</v>
      </c>
      <c r="O16" s="5">
        <f>VLOOKUP($B16,'Data Vlaue (Cr)'!$C:$FB,68)</f>
        <v>779</v>
      </c>
      <c r="P16" s="5">
        <f t="shared" si="1"/>
        <v>-54.257425742574263</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445.3</v>
      </c>
      <c r="D17" s="82">
        <f>VLOOKUP($B17,'Data shares'!$C:$FB,98)</f>
        <v>100213200</v>
      </c>
      <c r="E17" s="165">
        <f>VLOOKUP(B17,'Snapshot (Volume)'!$A$7:$G$168,7,0)</f>
        <v>83014800</v>
      </c>
      <c r="F17" s="165">
        <f t="shared" si="2"/>
        <v>17198400</v>
      </c>
      <c r="G17" s="166">
        <f t="shared" si="3"/>
        <v>0.20717269691669438</v>
      </c>
      <c r="H17" s="165">
        <f>VLOOKUP($B17,'Data shares'!$C:$FB,66)</f>
        <v>147821100</v>
      </c>
      <c r="I17" s="165">
        <f>VLOOKUP($B17,'Data shares'!$C:$FB,67)</f>
        <v>15729000</v>
      </c>
      <c r="J17" s="81">
        <f t="shared" si="4"/>
        <v>839.79973297730305</v>
      </c>
      <c r="K17" s="5">
        <f>VLOOKUP($B17,'Data Vlaue (Cr)'!$C:$FB,99)</f>
        <v>4483</v>
      </c>
      <c r="L17" s="81">
        <f>VLOOKUP(B17,'OI(Value)'!$A$7:$C$232,3,0)</f>
        <v>769</v>
      </c>
      <c r="M17" s="33">
        <f t="shared" si="0"/>
        <v>17.153691724291768</v>
      </c>
      <c r="N17" s="5">
        <f>VLOOKUP($B17,'Data Vlaue (Cr)'!$C:$FB,67)</f>
        <v>6613</v>
      </c>
      <c r="O17" s="5">
        <f>VLOOKUP($B17,'Data Vlaue (Cr)'!$C:$FB,68)</f>
        <v>704</v>
      </c>
      <c r="P17" s="5">
        <f t="shared" si="1"/>
        <v>89.354302132163923</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307.7</v>
      </c>
      <c r="D18" s="82">
        <f>VLOOKUP($B18,'Data shares'!$C:$FB,98)</f>
        <v>42785000</v>
      </c>
      <c r="E18" s="165">
        <f>VLOOKUP(B18,'Snapshot (Volume)'!$A$7:$G$168,7,0)</f>
        <v>39015000</v>
      </c>
      <c r="F18" s="165">
        <f t="shared" si="2"/>
        <v>3770000</v>
      </c>
      <c r="G18" s="166">
        <f t="shared" si="3"/>
        <v>9.6629501473792137E-2</v>
      </c>
      <c r="H18" s="165">
        <f>VLOOKUP($B18,'Data shares'!$C:$FB,66)</f>
        <v>27632500</v>
      </c>
      <c r="I18" s="165">
        <f>VLOOKUP($B18,'Data shares'!$C:$FB,67)</f>
        <v>21422500</v>
      </c>
      <c r="J18" s="81">
        <f t="shared" si="4"/>
        <v>28.988213327109346</v>
      </c>
      <c r="K18" s="5">
        <f>VLOOKUP($B18,'Data Vlaue (Cr)'!$C:$FB,99)</f>
        <v>1324</v>
      </c>
      <c r="L18" s="81">
        <f>VLOOKUP(B18,'OI(Value)'!$A$7:$C$232,3,0)</f>
        <v>117</v>
      </c>
      <c r="M18" s="33">
        <f t="shared" si="0"/>
        <v>8.8368580060422968</v>
      </c>
      <c r="N18" s="5">
        <f>VLOOKUP($B18,'Data Vlaue (Cr)'!$C:$FB,67)</f>
        <v>855</v>
      </c>
      <c r="O18" s="5">
        <f>VLOOKUP($B18,'Data Vlaue (Cr)'!$C:$FB,68)</f>
        <v>663</v>
      </c>
      <c r="P18" s="5">
        <f t="shared" si="1"/>
        <v>22.456140350877192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1873</v>
      </c>
      <c r="D19" s="82">
        <f>VLOOKUP($B19,'Data shares'!$C:$FB,98)</f>
        <v>8285550</v>
      </c>
      <c r="E19" s="165">
        <f>VLOOKUP(B19,'Snapshot (Volume)'!$A$7:$G$168,7,0)</f>
        <v>6604500</v>
      </c>
      <c r="F19" s="165">
        <f t="shared" si="2"/>
        <v>1681050</v>
      </c>
      <c r="G19" s="166">
        <f t="shared" si="3"/>
        <v>0.25453100158982511</v>
      </c>
      <c r="H19" s="165">
        <f>VLOOKUP($B19,'Data shares'!$C:$FB,66)</f>
        <v>11059650</v>
      </c>
      <c r="I19" s="165">
        <f>VLOOKUP($B19,'Data shares'!$C:$FB,67)</f>
        <v>2900800</v>
      </c>
      <c r="J19" s="81">
        <f t="shared" si="4"/>
        <v>281.26206563706563</v>
      </c>
      <c r="K19" s="5">
        <f>VLOOKUP($B19,'Data Vlaue (Cr)'!$C:$FB,99)</f>
        <v>1561</v>
      </c>
      <c r="L19" s="81">
        <f>VLOOKUP(B19,'OI(Value)'!$A$7:$C$232,3,0)</f>
        <v>317</v>
      </c>
      <c r="M19" s="33">
        <f t="shared" si="0"/>
        <v>20.307495195387574</v>
      </c>
      <c r="N19" s="5">
        <f>VLOOKUP($B19,'Data Vlaue (Cr)'!$C:$FB,67)</f>
        <v>2084</v>
      </c>
      <c r="O19" s="5">
        <f>VLOOKUP($B19,'Data Vlaue (Cr)'!$C:$FB,68)</f>
        <v>547</v>
      </c>
      <c r="P19" s="5">
        <f t="shared" si="1"/>
        <v>73.752399232245679</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7737.5</v>
      </c>
      <c r="D20" s="82">
        <f>VLOOKUP($B20,'Data shares'!$C:$FB,98)</f>
        <v>3083250</v>
      </c>
      <c r="E20" s="165">
        <f>VLOOKUP(B20,'Snapshot (Volume)'!$A$7:$G$168,7,0)</f>
        <v>2936125</v>
      </c>
      <c r="F20" s="165">
        <f t="shared" si="2"/>
        <v>147125</v>
      </c>
      <c r="G20" s="166">
        <f t="shared" si="3"/>
        <v>5.0108561454297755E-2</v>
      </c>
      <c r="H20" s="165">
        <f>VLOOKUP($B20,'Data shares'!$C:$FB,66)</f>
        <v>1458250</v>
      </c>
      <c r="I20" s="165">
        <f>VLOOKUP($B20,'Data shares'!$C:$FB,67)</f>
        <v>1407250</v>
      </c>
      <c r="J20" s="81">
        <f t="shared" si="4"/>
        <v>3.6240895363297212</v>
      </c>
      <c r="K20" s="5">
        <f>VLOOKUP($B20,'Data Vlaue (Cr)'!$C:$FB,99)</f>
        <v>2399</v>
      </c>
      <c r="L20" s="81">
        <f>VLOOKUP(B20,'OI(Value)'!$A$7:$C$232,3,0)</f>
        <v>114</v>
      </c>
      <c r="M20" s="33">
        <f t="shared" si="0"/>
        <v>4.7519799916631928</v>
      </c>
      <c r="N20" s="5">
        <f>VLOOKUP($B20,'Data Vlaue (Cr)'!$C:$FB,67)</f>
        <v>1135</v>
      </c>
      <c r="O20" s="5">
        <f>VLOOKUP($B20,'Data Vlaue (Cr)'!$C:$FB,68)</f>
        <v>1095</v>
      </c>
      <c r="P20" s="5">
        <f t="shared" si="1"/>
        <v>3.5242290748898681</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160.77000000000001</v>
      </c>
      <c r="D21" s="82">
        <f>VLOOKUP($B21,'Data shares'!$C:$FB,98)</f>
        <v>265995000</v>
      </c>
      <c r="E21" s="165">
        <f>VLOOKUP(B21,'Snapshot (Volume)'!$A$7:$G$168,7,0)</f>
        <v>250865000</v>
      </c>
      <c r="F21" s="165">
        <f t="shared" si="2"/>
        <v>15130000</v>
      </c>
      <c r="G21" s="166">
        <f t="shared" si="3"/>
        <v>6.031132282303231E-2</v>
      </c>
      <c r="H21" s="165">
        <f>VLOOKUP($B21,'Data shares'!$C:$FB,66)</f>
        <v>129125000</v>
      </c>
      <c r="I21" s="165">
        <f>VLOOKUP($B21,'Data shares'!$C:$FB,67)</f>
        <v>132270000</v>
      </c>
      <c r="J21" s="81">
        <f t="shared" si="4"/>
        <v>-2.3777122552355032</v>
      </c>
      <c r="K21" s="5">
        <f>VLOOKUP($B21,'Data Vlaue (Cr)'!$C:$FB,99)</f>
        <v>4272</v>
      </c>
      <c r="L21" s="81">
        <f>VLOOKUP(B21,'OI(Value)'!$A$7:$C$232,3,0)</f>
        <v>243</v>
      </c>
      <c r="M21" s="33">
        <f t="shared" si="0"/>
        <v>5.6882022471910112</v>
      </c>
      <c r="N21" s="5">
        <f>VLOOKUP($B21,'Data Vlaue (Cr)'!$C:$FB,67)</f>
        <v>2074</v>
      </c>
      <c r="O21" s="5">
        <f>VLOOKUP($B21,'Data Vlaue (Cr)'!$C:$FB,68)</f>
        <v>2125</v>
      </c>
      <c r="P21" s="5">
        <f t="shared" si="1"/>
        <v>-2.459016393442623</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2448.1</v>
      </c>
      <c r="D22" s="82">
        <f>VLOOKUP($B22,'Data shares'!$C:$FB,98)</f>
        <v>21128750</v>
      </c>
      <c r="E22" s="165">
        <f>VLOOKUP(B22,'Snapshot (Volume)'!$A$7:$G$168,7,0)</f>
        <v>19292250</v>
      </c>
      <c r="F22" s="165">
        <f t="shared" si="2"/>
        <v>1836500</v>
      </c>
      <c r="G22" s="166">
        <f t="shared" si="3"/>
        <v>9.5193665850276665E-2</v>
      </c>
      <c r="H22" s="165">
        <f>VLOOKUP($B22,'Data shares'!$C:$FB,66)</f>
        <v>11245000</v>
      </c>
      <c r="I22" s="165">
        <f>VLOOKUP($B22,'Data shares'!$C:$FB,67)</f>
        <v>9414500</v>
      </c>
      <c r="J22" s="81">
        <f t="shared" si="4"/>
        <v>19.4434117584577</v>
      </c>
      <c r="K22" s="5">
        <f>VLOOKUP($B22,'Data Vlaue (Cr)'!$C:$FB,99)</f>
        <v>5202</v>
      </c>
      <c r="L22" s="81">
        <f>VLOOKUP(B22,'OI(Value)'!$A$7:$C$232,3,0)</f>
        <v>452</v>
      </c>
      <c r="M22" s="33">
        <f t="shared" si="0"/>
        <v>8.6889657823913868</v>
      </c>
      <c r="N22" s="5">
        <f>VLOOKUP($B22,'Data Vlaue (Cr)'!$C:$FB,67)</f>
        <v>2768</v>
      </c>
      <c r="O22" s="5">
        <f>VLOOKUP($B22,'Data Vlaue (Cr)'!$C:$FB,68)</f>
        <v>2318</v>
      </c>
      <c r="P22" s="5">
        <f t="shared" si="1"/>
        <v>16.257225433526013</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1559.6</v>
      </c>
      <c r="D23" s="82">
        <f>VLOOKUP($B23,'Data shares'!$C:$FB,98)</f>
        <v>11419325</v>
      </c>
      <c r="E23" s="165">
        <f>VLOOKUP(B23,'Snapshot (Volume)'!$A$7:$G$168,7,0)</f>
        <v>11221275</v>
      </c>
      <c r="F23" s="165">
        <f t="shared" si="2"/>
        <v>198050</v>
      </c>
      <c r="G23" s="166">
        <f t="shared" si="3"/>
        <v>1.7649509525432715E-2</v>
      </c>
      <c r="H23" s="165">
        <f>VLOOKUP($B23,'Data shares'!$C:$FB,66)</f>
        <v>3496050</v>
      </c>
      <c r="I23" s="165">
        <f>VLOOKUP($B23,'Data shares'!$C:$FB,67)</f>
        <v>3307775</v>
      </c>
      <c r="J23" s="81">
        <f>(H23-I23)/I23*100</f>
        <v>5.6918925864062695</v>
      </c>
      <c r="K23" s="5">
        <f>VLOOKUP($B23,'Data Vlaue (Cr)'!$C:$FB,99)</f>
        <v>1779</v>
      </c>
      <c r="L23" s="81">
        <f>VLOOKUP(B23,'OI(Value)'!$A$7:$C$232,3,0)</f>
        <v>31</v>
      </c>
      <c r="M23" s="33">
        <f t="shared" si="0"/>
        <v>1.7425519955030917</v>
      </c>
      <c r="N23" s="5">
        <f>VLOOKUP($B23,'Data Vlaue (Cr)'!$C:$FB,67)</f>
        <v>545</v>
      </c>
      <c r="O23" s="5">
        <f>VLOOKUP($B23,'Data Vlaue (Cr)'!$C:$FB,68)</f>
        <v>515</v>
      </c>
      <c r="P23" s="5">
        <f t="shared" si="1"/>
        <v>5.5045871559633035</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Banking</v>
      </c>
      <c r="B24" s="79" t="str">
        <f>'Data shares'!C19</f>
        <v>AUBANK</v>
      </c>
      <c r="C24" s="79">
        <f>VLOOKUP($B24,'Data shares'!$C:$FB,7)</f>
        <v>1015</v>
      </c>
      <c r="D24" s="80">
        <f>VLOOKUP($B24,'Data shares'!$C:$FB,98)</f>
        <v>38596000</v>
      </c>
      <c r="E24" s="165">
        <f>VLOOKUP(B24,'Snapshot (Volume)'!$A$7:$G$168,7,0)</f>
        <v>38620000</v>
      </c>
      <c r="F24" s="165">
        <f t="shared" ref="F24:F36" si="5">D24-E24</f>
        <v>-24000</v>
      </c>
      <c r="G24" s="166">
        <f t="shared" ref="G24:G36" si="6">F24/E24</f>
        <v>-6.2143966856551013E-4</v>
      </c>
      <c r="H24" s="165">
        <f>VLOOKUP($B24,'Data shares'!$C:$FB,66)</f>
        <v>12369000</v>
      </c>
      <c r="I24" s="165">
        <f>VLOOKUP($B24,'Data shares'!$C:$FB,67)</f>
        <v>17603000</v>
      </c>
      <c r="J24" s="81">
        <f t="shared" ref="J24:J36" si="7">(H24-I24)/I24*100</f>
        <v>-29.733568141794013</v>
      </c>
      <c r="K24" s="81">
        <f>VLOOKUP($B24,'Data Vlaue (Cr)'!$C:$FB,99)</f>
        <v>3941</v>
      </c>
      <c r="L24" s="81">
        <f>VLOOKUP(B24,'OI(Value)'!$A$7:$C$232,3,0)</f>
        <v>-2</v>
      </c>
      <c r="M24" s="81">
        <f t="shared" si="0"/>
        <v>-5.0748540979446845E-2</v>
      </c>
      <c r="N24" s="81">
        <f>VLOOKUP($B24,'Data Vlaue (Cr)'!$C:$FB,67)</f>
        <v>1263</v>
      </c>
      <c r="O24" s="81">
        <f>VLOOKUP($B24,'Data Vlaue (Cr)'!$C:$FB,68)</f>
        <v>1797</v>
      </c>
      <c r="P24" s="81">
        <f t="shared" ref="P24:P36" si="8">(N24-O24)/N24*100</f>
        <v>-42.280285035629454</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Pharma</v>
      </c>
      <c r="B25" s="79" t="str">
        <f>'Data shares'!C20</f>
        <v>AUROPHARMA</v>
      </c>
      <c r="C25" s="4">
        <f>VLOOKUP($B25,'Data shares'!$C:$FB,7)</f>
        <v>1376</v>
      </c>
      <c r="D25" s="82">
        <f>VLOOKUP($B25,'Data shares'!$C:$FB,98)</f>
        <v>23969550</v>
      </c>
      <c r="E25" s="165">
        <f>VLOOKUP(B25,'Snapshot (Volume)'!$A$7:$G$168,7,0)</f>
        <v>23411300</v>
      </c>
      <c r="F25" s="165">
        <f t="shared" si="5"/>
        <v>558250</v>
      </c>
      <c r="G25" s="166">
        <f t="shared" si="6"/>
        <v>2.3845322557910067E-2</v>
      </c>
      <c r="H25" s="165">
        <f>VLOOKUP($B25,'Data shares'!$C:$FB,66)</f>
        <v>4068900</v>
      </c>
      <c r="I25" s="165">
        <f>VLOOKUP($B25,'Data shares'!$C:$FB,67)</f>
        <v>2663650</v>
      </c>
      <c r="J25" s="81">
        <f t="shared" si="7"/>
        <v>52.756555853809616</v>
      </c>
      <c r="K25" s="5">
        <f>VLOOKUP($B25,'Data Vlaue (Cr)'!$C:$FB,99)</f>
        <v>3307</v>
      </c>
      <c r="L25" s="81">
        <f>VLOOKUP(B25,'OI(Value)'!$A$7:$C$232,3,0)</f>
        <v>77</v>
      </c>
      <c r="M25" s="33">
        <f t="shared" si="0"/>
        <v>2.3283943150892048</v>
      </c>
      <c r="N25" s="5">
        <f>VLOOKUP($B25,'Data Vlaue (Cr)'!$C:$FB,67)</f>
        <v>561</v>
      </c>
      <c r="O25" s="5">
        <f>VLOOKUP($B25,'Data Vlaue (Cr)'!$C:$FB,68)</f>
        <v>368</v>
      </c>
      <c r="P25" s="5">
        <f t="shared" si="8"/>
        <v>34.402852049910877</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Banking</v>
      </c>
      <c r="B26" s="79" t="str">
        <f>'Data shares'!C21</f>
        <v>AXISBANK</v>
      </c>
      <c r="C26" s="4">
        <f>VLOOKUP($B26,'Data shares'!$C:$FB,7)</f>
        <v>1275.0999999999999</v>
      </c>
      <c r="D26" s="82">
        <f>VLOOKUP($B26,'Data shares'!$C:$FB,98)</f>
        <v>91692500</v>
      </c>
      <c r="E26" s="165">
        <f>VLOOKUP(B26,'Snapshot (Volume)'!$A$7:$G$168,7,0)</f>
        <v>85863125</v>
      </c>
      <c r="F26" s="165">
        <f t="shared" si="5"/>
        <v>5829375</v>
      </c>
      <c r="G26" s="166">
        <f t="shared" si="6"/>
        <v>6.7891484266383265E-2</v>
      </c>
      <c r="H26" s="165">
        <f>VLOOKUP($B26,'Data shares'!$C:$FB,66)</f>
        <v>37005625</v>
      </c>
      <c r="I26" s="165">
        <f>VLOOKUP($B26,'Data shares'!$C:$FB,67)</f>
        <v>52433125</v>
      </c>
      <c r="J26" s="81">
        <f t="shared" si="7"/>
        <v>-29.423193830236134</v>
      </c>
      <c r="K26" s="5">
        <f>VLOOKUP($B26,'Data Vlaue (Cr)'!$C:$FB,99)</f>
        <v>11757</v>
      </c>
      <c r="L26" s="81">
        <f>VLOOKUP(B26,'OI(Value)'!$A$7:$C$232,3,0)</f>
        <v>747</v>
      </c>
      <c r="M26" s="33">
        <f t="shared" si="0"/>
        <v>6.3536616483796884</v>
      </c>
      <c r="N26" s="5">
        <f>VLOOKUP($B26,'Data Vlaue (Cr)'!$C:$FB,67)</f>
        <v>4745</v>
      </c>
      <c r="O26" s="5">
        <f>VLOOKUP($B26,'Data Vlaue (Cr)'!$C:$FB,68)</f>
        <v>6723</v>
      </c>
      <c r="P26" s="5">
        <f t="shared" si="8"/>
        <v>-41.685985247629084</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Automobile</v>
      </c>
      <c r="B27" s="79" t="str">
        <f>'Data shares'!C22</f>
        <v>BAJAJ-AUTO</v>
      </c>
      <c r="C27" s="4">
        <f>VLOOKUP($B27,'Data shares'!$C:$FB,7)</f>
        <v>10132</v>
      </c>
      <c r="D27" s="82">
        <f>VLOOKUP($B27,'Data shares'!$C:$FB,98)</f>
        <v>5168550</v>
      </c>
      <c r="E27" s="165">
        <f>VLOOKUP(B27,'Snapshot (Volume)'!$A$7:$G$168,7,0)</f>
        <v>4621350</v>
      </c>
      <c r="F27" s="165">
        <f t="shared" si="5"/>
        <v>547200</v>
      </c>
      <c r="G27" s="166">
        <f t="shared" si="6"/>
        <v>0.11840695900548541</v>
      </c>
      <c r="H27" s="165">
        <f>VLOOKUP($B27,'Data shares'!$C:$FB,66)</f>
        <v>9928050</v>
      </c>
      <c r="I27" s="165">
        <f>VLOOKUP($B27,'Data shares'!$C:$FB,67)</f>
        <v>13062225</v>
      </c>
      <c r="J27" s="81">
        <f t="shared" si="7"/>
        <v>-23.994189351354766</v>
      </c>
      <c r="K27" s="5">
        <f>VLOOKUP($B27,'Data Vlaue (Cr)'!$C:$FB,99)</f>
        <v>5257</v>
      </c>
      <c r="L27" s="81">
        <f>VLOOKUP(B27,'OI(Value)'!$A$7:$C$232,3,0)</f>
        <v>557</v>
      </c>
      <c r="M27" s="33">
        <f t="shared" si="0"/>
        <v>10.595396614038426</v>
      </c>
      <c r="N27" s="5">
        <f>VLOOKUP($B27,'Data Vlaue (Cr)'!$C:$FB,67)</f>
        <v>10097</v>
      </c>
      <c r="O27" s="5">
        <f>VLOOKUP($B27,'Data Vlaue (Cr)'!$C:$FB,68)</f>
        <v>13285</v>
      </c>
      <c r="P27" s="5">
        <f t="shared" si="8"/>
        <v>-31.573734772704764</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BAJAJFINSV</v>
      </c>
      <c r="C28" s="4">
        <f>VLOOKUP($B28,'Data shares'!$C:$FB,7)</f>
        <v>1770.4</v>
      </c>
      <c r="D28" s="82">
        <f>VLOOKUP($B28,'Data shares'!$C:$FB,98)</f>
        <v>17313950</v>
      </c>
      <c r="E28" s="165">
        <f>VLOOKUP(B28,'Snapshot (Volume)'!$A$7:$G$168,7,0)</f>
        <v>16510650</v>
      </c>
      <c r="F28" s="165">
        <f t="shared" si="5"/>
        <v>803300</v>
      </c>
      <c r="G28" s="166">
        <f t="shared" si="6"/>
        <v>4.8653444897687248E-2</v>
      </c>
      <c r="H28" s="165">
        <f>VLOOKUP($B28,'Data shares'!$C:$FB,66)</f>
        <v>9756500</v>
      </c>
      <c r="I28" s="165">
        <f>VLOOKUP($B28,'Data shares'!$C:$FB,67)</f>
        <v>19381500</v>
      </c>
      <c r="J28" s="81">
        <f t="shared" si="7"/>
        <v>-49.66075897118386</v>
      </c>
      <c r="K28" s="5">
        <f>VLOOKUP($B28,'Data Vlaue (Cr)'!$C:$FB,99)</f>
        <v>3082</v>
      </c>
      <c r="L28" s="81">
        <f>VLOOKUP(B28,'OI(Value)'!$A$7:$C$232,3,0)</f>
        <v>143</v>
      </c>
      <c r="M28" s="33">
        <f t="shared" si="0"/>
        <v>4.6398442569759899</v>
      </c>
      <c r="N28" s="5">
        <f>VLOOKUP($B28,'Data Vlaue (Cr)'!$C:$FB,67)</f>
        <v>1737</v>
      </c>
      <c r="O28" s="5">
        <f>VLOOKUP($B28,'Data Vlaue (Cr)'!$C:$FB,68)</f>
        <v>3450</v>
      </c>
      <c r="P28" s="5">
        <f t="shared" si="8"/>
        <v>-98.618307426597582</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BAJAJHLDNG</v>
      </c>
      <c r="C29" s="4">
        <f>VLOOKUP($B29,'Data shares'!$C:$FB,7)</f>
        <v>10376</v>
      </c>
      <c r="D29" s="82">
        <f>VLOOKUP($B29,'Data shares'!$C:$FB,98)</f>
        <v>337300</v>
      </c>
      <c r="E29" s="165">
        <f>VLOOKUP(B29,'Snapshot (Volume)'!$A$7:$G$168,7,0)</f>
        <v>305600</v>
      </c>
      <c r="F29" s="165">
        <f t="shared" si="5"/>
        <v>31700</v>
      </c>
      <c r="G29" s="166">
        <f t="shared" si="6"/>
        <v>0.10373036649214659</v>
      </c>
      <c r="H29" s="165">
        <f>VLOOKUP($B29,'Data shares'!$C:$FB,66)</f>
        <v>272600</v>
      </c>
      <c r="I29" s="165">
        <f>VLOOKUP($B29,'Data shares'!$C:$FB,67)</f>
        <v>97150</v>
      </c>
      <c r="J29" s="81">
        <f t="shared" si="7"/>
        <v>180.59701492537314</v>
      </c>
      <c r="K29" s="5">
        <f>VLOOKUP($B29,'Data Vlaue (Cr)'!$C:$FB,99)</f>
        <v>352</v>
      </c>
      <c r="L29" s="81">
        <f>VLOOKUP(B29,'OI(Value)'!$A$7:$C$232,3,0)</f>
        <v>33</v>
      </c>
      <c r="M29" s="33">
        <f t="shared" si="0"/>
        <v>9.375</v>
      </c>
      <c r="N29" s="5">
        <f>VLOOKUP($B29,'Data Vlaue (Cr)'!$C:$FB,67)</f>
        <v>284</v>
      </c>
      <c r="O29" s="5">
        <f>VLOOKUP($B29,'Data Vlaue (Cr)'!$C:$FB,68)</f>
        <v>101</v>
      </c>
      <c r="P29" s="5">
        <f t="shared" si="8"/>
        <v>64.436619718309856</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950.2</v>
      </c>
      <c r="D30" s="82">
        <f>VLOOKUP($B30,'Data shares'!$C:$FB,98)</f>
        <v>100515000</v>
      </c>
      <c r="E30" s="165">
        <f>VLOOKUP(B30,'Snapshot (Volume)'!$A$7:$G$168,7,0)</f>
        <v>101565750</v>
      </c>
      <c r="F30" s="165">
        <f t="shared" si="5"/>
        <v>-1050750</v>
      </c>
      <c r="G30" s="166">
        <f t="shared" si="6"/>
        <v>-1.0345515097363039E-2</v>
      </c>
      <c r="H30" s="165">
        <f>VLOOKUP($B30,'Data shares'!$C:$FB,66)</f>
        <v>55482000</v>
      </c>
      <c r="I30" s="165">
        <f>VLOOKUP($B30,'Data shares'!$C:$FB,67)</f>
        <v>175708500</v>
      </c>
      <c r="J30" s="81">
        <f t="shared" si="7"/>
        <v>-68.423838345896755</v>
      </c>
      <c r="K30" s="5">
        <f>VLOOKUP($B30,'Data Vlaue (Cr)'!$C:$FB,99)</f>
        <v>9583</v>
      </c>
      <c r="L30" s="81">
        <f>VLOOKUP(B30,'OI(Value)'!$A$7:$C$232,3,0)</f>
        <v>-100</v>
      </c>
      <c r="M30" s="33">
        <f t="shared" si="0"/>
        <v>-1.0435145570280706</v>
      </c>
      <c r="N30" s="5">
        <f>VLOOKUP($B30,'Data Vlaue (Cr)'!$C:$FB,67)</f>
        <v>5290</v>
      </c>
      <c r="O30" s="5">
        <f>VLOOKUP($B30,'Data Vlaue (Cr)'!$C:$FB,68)</f>
        <v>16752</v>
      </c>
      <c r="P30" s="5">
        <f t="shared" si="8"/>
        <v>-216.67296786389417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206.76</v>
      </c>
      <c r="D31" s="82">
        <f>VLOOKUP($B31,'Data shares'!$C:$FB,98)</f>
        <v>176313600</v>
      </c>
      <c r="E31" s="165">
        <f>VLOOKUP(B31,'Snapshot (Volume)'!$A$7:$G$168,7,0)</f>
        <v>162586800</v>
      </c>
      <c r="F31" s="165">
        <f t="shared" si="5"/>
        <v>13726800</v>
      </c>
      <c r="G31" s="166">
        <f t="shared" si="6"/>
        <v>8.4427518101100454E-2</v>
      </c>
      <c r="H31" s="165">
        <f>VLOOKUP($B31,'Data shares'!$C:$FB,66)</f>
        <v>288442800</v>
      </c>
      <c r="I31" s="165">
        <f>VLOOKUP($B31,'Data shares'!$C:$FB,67)</f>
        <v>166798800</v>
      </c>
      <c r="J31" s="81">
        <f t="shared" si="7"/>
        <v>72.928582220015969</v>
      </c>
      <c r="K31" s="5">
        <f>VLOOKUP($B31,'Data Vlaue (Cr)'!$C:$FB,99)</f>
        <v>3667</v>
      </c>
      <c r="L31" s="81">
        <f>VLOOKUP(B31,'OI(Value)'!$A$7:$C$232,3,0)</f>
        <v>286</v>
      </c>
      <c r="M31" s="33">
        <f t="shared" si="0"/>
        <v>7.7992909735478593</v>
      </c>
      <c r="N31" s="5">
        <f>VLOOKUP($B31,'Data Vlaue (Cr)'!$C:$FB,67)</f>
        <v>6000</v>
      </c>
      <c r="O31" s="5">
        <f>VLOOKUP($B31,'Data Vlaue (Cr)'!$C:$FB,68)</f>
        <v>3470</v>
      </c>
      <c r="P31" s="5">
        <f t="shared" si="8"/>
        <v>42.166666666666671</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265.10000000000002</v>
      </c>
      <c r="D32" s="82">
        <f>VLOOKUP($B32,'Data shares'!$C:$FB,98)</f>
        <v>171048150</v>
      </c>
      <c r="E32" s="165">
        <f>VLOOKUP(B32,'Snapshot (Volume)'!$A$7:$G$168,7,0)</f>
        <v>167640525</v>
      </c>
      <c r="F32" s="165">
        <f t="shared" si="5"/>
        <v>3407625</v>
      </c>
      <c r="G32" s="166">
        <f t="shared" si="6"/>
        <v>2.0326976427686563E-2</v>
      </c>
      <c r="H32" s="165">
        <f>VLOOKUP($B32,'Data shares'!$C:$FB,66)</f>
        <v>49920975</v>
      </c>
      <c r="I32" s="165">
        <f>VLOOKUP($B32,'Data shares'!$C:$FB,67)</f>
        <v>52579800</v>
      </c>
      <c r="J32" s="81">
        <f t="shared" si="7"/>
        <v>-5.0567423230974633</v>
      </c>
      <c r="K32" s="5">
        <f>VLOOKUP($B32,'Data Vlaue (Cr)'!$C:$FB,99)</f>
        <v>4560</v>
      </c>
      <c r="L32" s="81">
        <f>VLOOKUP(B32,'OI(Value)'!$A$7:$C$232,3,0)</f>
        <v>91</v>
      </c>
      <c r="M32" s="33">
        <f t="shared" si="0"/>
        <v>1.9956140350877192</v>
      </c>
      <c r="N32" s="5">
        <f>VLOOKUP($B32,'Data Vlaue (Cr)'!$C:$FB,67)</f>
        <v>1331</v>
      </c>
      <c r="O32" s="5">
        <f>VLOOKUP($B32,'Data Vlaue (Cr)'!$C:$FB,68)</f>
        <v>1402</v>
      </c>
      <c r="P32" s="5">
        <f t="shared" si="8"/>
        <v>-5.334335086401202</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138.66</v>
      </c>
      <c r="D33" s="82">
        <f>VLOOKUP($B33,'Data shares'!$C:$FB,98)</f>
        <v>87022000</v>
      </c>
      <c r="E33" s="165">
        <f>VLOOKUP(B33,'Snapshot (Volume)'!$A$7:$G$168,7,0)</f>
        <v>81296800</v>
      </c>
      <c r="F33" s="165">
        <f t="shared" si="5"/>
        <v>5725200</v>
      </c>
      <c r="G33" s="166">
        <f t="shared" si="6"/>
        <v>7.0423436100805939E-2</v>
      </c>
      <c r="H33" s="165">
        <f>VLOOKUP($B33,'Data shares'!$C:$FB,66)</f>
        <v>33222800</v>
      </c>
      <c r="I33" s="165">
        <f>VLOOKUP($B33,'Data shares'!$C:$FB,67)</f>
        <v>31340400</v>
      </c>
      <c r="J33" s="81">
        <f t="shared" si="7"/>
        <v>6.0063049610087935</v>
      </c>
      <c r="K33" s="5">
        <f>VLOOKUP($B33,'Data Vlaue (Cr)'!$C:$FB,99)</f>
        <v>1214</v>
      </c>
      <c r="L33" s="81">
        <f>VLOOKUP(B33,'OI(Value)'!$A$7:$C$232,3,0)</f>
        <v>80</v>
      </c>
      <c r="M33" s="33">
        <f t="shared" si="0"/>
        <v>6.5897858319604614</v>
      </c>
      <c r="N33" s="5">
        <f>VLOOKUP($B33,'Data Vlaue (Cr)'!$C:$FB,67)</f>
        <v>463</v>
      </c>
      <c r="O33" s="5">
        <f>VLOOKUP($B33,'Data Vlaue (Cr)'!$C:$FB,68)</f>
        <v>437</v>
      </c>
      <c r="P33" s="5">
        <f t="shared" si="8"/>
        <v>5.615550755939525</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54878.5</v>
      </c>
      <c r="D34" s="82">
        <f>VLOOKUP($B34,'Data shares'!$C:$FB,98)</f>
        <v>27249840</v>
      </c>
      <c r="E34" s="165">
        <f>VLOOKUP(B34,'Snapshot (Volume)'!$A$7:$G$168,7,0)</f>
        <v>25129500</v>
      </c>
      <c r="F34" s="165">
        <f t="shared" si="5"/>
        <v>2120340</v>
      </c>
      <c r="G34" s="166">
        <f t="shared" si="6"/>
        <v>8.4376529576792217E-2</v>
      </c>
      <c r="H34" s="165">
        <f>VLOOKUP($B34,'Data shares'!$C:$FB,66)</f>
        <v>51504090</v>
      </c>
      <c r="I34" s="165">
        <f>VLOOKUP($B34,'Data shares'!$C:$FB,67)</f>
        <v>50042430</v>
      </c>
      <c r="J34" s="81">
        <f t="shared" si="7"/>
        <v>2.9208413740100152</v>
      </c>
      <c r="K34" s="5">
        <f>VLOOKUP($B34,'Data Vlaue (Cr)'!$C:$FB,99)</f>
        <v>150293</v>
      </c>
      <c r="L34" s="81">
        <f>VLOOKUP(B34,'OI(Value)'!$A$7:$C$232,3,0)</f>
        <v>11694</v>
      </c>
      <c r="M34" s="33">
        <f t="shared" si="0"/>
        <v>7.7808015010679146</v>
      </c>
      <c r="N34" s="5">
        <f>VLOOKUP($B34,'Data Vlaue (Cr)'!$C:$FB,67)</f>
        <v>284065</v>
      </c>
      <c r="O34" s="5">
        <f>VLOOKUP($B34,'Data Vlaue (Cr)'!$C:$FB,68)</f>
        <v>276003</v>
      </c>
      <c r="P34" s="5">
        <f t="shared" si="8"/>
        <v>2.8380828331543837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1372.4</v>
      </c>
      <c r="D35" s="82">
        <f>VLOOKUP($B35,'Data shares'!$C:$FB,98)</f>
        <v>6467000</v>
      </c>
      <c r="E35" s="165">
        <f>VLOOKUP(B35,'Snapshot (Volume)'!$A$7:$G$168,7,0)</f>
        <v>6291350</v>
      </c>
      <c r="F35" s="165">
        <f t="shared" si="5"/>
        <v>175650</v>
      </c>
      <c r="G35" s="166">
        <f t="shared" si="6"/>
        <v>2.7919286003798865E-2</v>
      </c>
      <c r="H35" s="165">
        <f>VLOOKUP($B35,'Data shares'!$C:$FB,66)</f>
        <v>4813200</v>
      </c>
      <c r="I35" s="165">
        <f>VLOOKUP($B35,'Data shares'!$C:$FB,67)</f>
        <v>3684450</v>
      </c>
      <c r="J35" s="81">
        <f t="shared" si="7"/>
        <v>30.635508691935026</v>
      </c>
      <c r="K35" s="5">
        <f>VLOOKUP($B35,'Data Vlaue (Cr)'!$C:$FB,99)</f>
        <v>891</v>
      </c>
      <c r="L35" s="81">
        <f>VLOOKUP(B35,'OI(Value)'!$A$7:$C$232,3,0)</f>
        <v>24</v>
      </c>
      <c r="M35" s="33">
        <f t="shared" si="0"/>
        <v>2.6936026936026933</v>
      </c>
      <c r="N35" s="5">
        <f>VLOOKUP($B35,'Data Vlaue (Cr)'!$C:$FB,67)</f>
        <v>663</v>
      </c>
      <c r="O35" s="5">
        <f>VLOOKUP($B35,'Data Vlaue (Cr)'!$C:$FB,68)</f>
        <v>507</v>
      </c>
      <c r="P35" s="5">
        <f t="shared" si="8"/>
        <v>23.52941176470588</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433.55</v>
      </c>
      <c r="D36" s="82">
        <f>VLOOKUP($B36,'Data shares'!$C:$FB,98)</f>
        <v>176607375</v>
      </c>
      <c r="E36" s="165">
        <f>VLOOKUP(B36,'Snapshot (Volume)'!$A$7:$G$168,7,0)</f>
        <v>169019250</v>
      </c>
      <c r="F36" s="165">
        <f t="shared" si="5"/>
        <v>7588125</v>
      </c>
      <c r="G36" s="166">
        <f t="shared" si="6"/>
        <v>4.4895034145518931E-2</v>
      </c>
      <c r="H36" s="165">
        <f>VLOOKUP($B36,'Data shares'!$C:$FB,66)</f>
        <v>59774475</v>
      </c>
      <c r="I36" s="165">
        <f>VLOOKUP($B36,'Data shares'!$C:$FB,67)</f>
        <v>66509025</v>
      </c>
      <c r="J36" s="81">
        <f t="shared" si="7"/>
        <v>-10.125768645683801</v>
      </c>
      <c r="K36" s="5">
        <f>VLOOKUP($B36,'Data Vlaue (Cr)'!$C:$FB,99)</f>
        <v>7696</v>
      </c>
      <c r="L36" s="81">
        <f>VLOOKUP(B36,'OI(Value)'!$A$7:$C$232,3,0)</f>
        <v>331</v>
      </c>
      <c r="M36" s="33">
        <f t="shared" si="0"/>
        <v>4.3009355509355505</v>
      </c>
      <c r="N36" s="5">
        <f>VLOOKUP($B36,'Data Vlaue (Cr)'!$C:$FB,67)</f>
        <v>2605</v>
      </c>
      <c r="O36" s="5">
        <f>VLOOKUP($B36,'Data Vlaue (Cr)'!$C:$FB,68)</f>
        <v>2898</v>
      </c>
      <c r="P36" s="5">
        <f t="shared" si="8"/>
        <v>-11.247600767754319</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1845.8</v>
      </c>
      <c r="D37" s="82">
        <f>VLOOKUP($B37,'Data shares'!$C:$FB,98)</f>
        <v>11471000</v>
      </c>
      <c r="E37" s="165">
        <f>VLOOKUP(B37,'Snapshot (Volume)'!$A$7:$G$168,7,0)</f>
        <v>10656000</v>
      </c>
      <c r="F37" s="165">
        <f t="shared" ref="F37:F43" si="9">D37-E37</f>
        <v>815000</v>
      </c>
      <c r="G37" s="166">
        <f t="shared" ref="G37:G43" si="10">F37/E37</f>
        <v>7.6482732732732733E-2</v>
      </c>
      <c r="H37" s="165">
        <f>VLOOKUP($B37,'Data shares'!$C:$FB,66)</f>
        <v>8889000</v>
      </c>
      <c r="I37" s="165">
        <f>VLOOKUP($B37,'Data shares'!$C:$FB,67)</f>
        <v>7095000</v>
      </c>
      <c r="J37" s="81">
        <f t="shared" ref="J37:J43" si="11">(H37-I37)/I37*100</f>
        <v>25.285412262156449</v>
      </c>
      <c r="K37" s="5">
        <f>VLOOKUP($B37,'Data Vlaue (Cr)'!$C:$FB,99)</f>
        <v>2119</v>
      </c>
      <c r="L37" s="81">
        <f>VLOOKUP(B37,'OI(Value)'!$A$7:$C$232,3,0)</f>
        <v>151</v>
      </c>
      <c r="M37" s="33">
        <f t="shared" ref="M37:M65" si="12">L37/K37*100</f>
        <v>7.1260028315243042</v>
      </c>
      <c r="N37" s="5">
        <f>VLOOKUP($B37,'Data Vlaue (Cr)'!$C:$FB,67)</f>
        <v>1642</v>
      </c>
      <c r="O37" s="5">
        <f>VLOOKUP($B37,'Data Vlaue (Cr)'!$C:$FB,68)</f>
        <v>1311</v>
      </c>
      <c r="P37" s="5">
        <f t="shared" ref="P37:P43" si="13">(N37-O37)/N37*100</f>
        <v>20.158343483556639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1827.1</v>
      </c>
      <c r="D38" s="82">
        <f>VLOOKUP($B38,'Data shares'!$C:$FB,98)</f>
        <v>77065425</v>
      </c>
      <c r="E38" s="165">
        <f>VLOOKUP(B38,'Snapshot (Volume)'!$A$7:$G$168,7,0)</f>
        <v>70052050</v>
      </c>
      <c r="F38" s="165">
        <f t="shared" si="9"/>
        <v>7013375</v>
      </c>
      <c r="G38" s="166">
        <f t="shared" si="10"/>
        <v>0.10011662756478933</v>
      </c>
      <c r="H38" s="165">
        <f>VLOOKUP($B38,'Data shares'!$C:$FB,66)</f>
        <v>43672925</v>
      </c>
      <c r="I38" s="165">
        <f>VLOOKUP($B38,'Data shares'!$C:$FB,67)</f>
        <v>34466950</v>
      </c>
      <c r="J38" s="81">
        <f t="shared" si="11"/>
        <v>26.709572503514234</v>
      </c>
      <c r="K38" s="5">
        <f>VLOOKUP($B38,'Data Vlaue (Cr)'!$C:$FB,99)</f>
        <v>14160</v>
      </c>
      <c r="L38" s="81">
        <f>VLOOKUP(B38,'OI(Value)'!$A$7:$C$232,3,0)</f>
        <v>1289</v>
      </c>
      <c r="M38" s="33">
        <f t="shared" si="12"/>
        <v>9.1031073446327682</v>
      </c>
      <c r="N38" s="5">
        <f>VLOOKUP($B38,'Data Vlaue (Cr)'!$C:$FB,67)</f>
        <v>8024</v>
      </c>
      <c r="O38" s="5">
        <f>VLOOKUP($B38,'Data Vlaue (Cr)'!$C:$FB,68)</f>
        <v>6333</v>
      </c>
      <c r="P38" s="5">
        <f t="shared" si="13"/>
        <v>21.074277168494515</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377.05</v>
      </c>
      <c r="D39" s="82">
        <f>VLOOKUP($B39,'Data shares'!$C:$FB,98)</f>
        <v>230740125</v>
      </c>
      <c r="E39" s="165">
        <f>VLOOKUP(B39,'Snapshot (Volume)'!$A$7:$G$168,7,0)</f>
        <v>170499000</v>
      </c>
      <c r="F39" s="165">
        <f t="shared" si="9"/>
        <v>60241125</v>
      </c>
      <c r="G39" s="166">
        <f t="shared" si="10"/>
        <v>0.35332245350412611</v>
      </c>
      <c r="H39" s="165">
        <f>VLOOKUP($B39,'Data shares'!$C:$FB,66)</f>
        <v>656782875</v>
      </c>
      <c r="I39" s="165">
        <f>VLOOKUP($B39,'Data shares'!$C:$FB,67)</f>
        <v>85582875</v>
      </c>
      <c r="J39" s="81">
        <f t="shared" si="11"/>
        <v>667.4232432598227</v>
      </c>
      <c r="K39" s="5">
        <f>VLOOKUP($B39,'Data Vlaue (Cr)'!$C:$FB,99)</f>
        <v>8762</v>
      </c>
      <c r="L39" s="81">
        <f>VLOOKUP(B39,'OI(Value)'!$A$7:$C$232,3,0)</f>
        <v>2288</v>
      </c>
      <c r="M39" s="33">
        <f t="shared" si="12"/>
        <v>26.112759643916917</v>
      </c>
      <c r="N39" s="5">
        <f>VLOOKUP($B39,'Data Vlaue (Cr)'!$C:$FB,67)</f>
        <v>24941</v>
      </c>
      <c r="O39" s="5">
        <f>VLOOKUP($B39,'Data Vlaue (Cr)'!$C:$FB,68)</f>
        <v>3250</v>
      </c>
      <c r="P39" s="5">
        <f t="shared" si="13"/>
        <v>86.96924742392045</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360.6</v>
      </c>
      <c r="D40" s="82">
        <f>VLOOKUP($B40,'Data shares'!$C:$FB,98)</f>
        <v>65775000</v>
      </c>
      <c r="E40" s="165">
        <f>VLOOKUP(B40,'Snapshot (Volume)'!$A$7:$G$168,7,0)</f>
        <v>65345000</v>
      </c>
      <c r="F40" s="165">
        <f t="shared" si="9"/>
        <v>430000</v>
      </c>
      <c r="G40" s="166">
        <f t="shared" si="10"/>
        <v>6.5804575713520547E-3</v>
      </c>
      <c r="H40" s="165">
        <f>VLOOKUP($B40,'Data shares'!$C:$FB,66)</f>
        <v>22350000</v>
      </c>
      <c r="I40" s="165">
        <f>VLOOKUP($B40,'Data shares'!$C:$FB,67)</f>
        <v>22567500</v>
      </c>
      <c r="J40" s="81">
        <f t="shared" si="11"/>
        <v>-0.96377534064473247</v>
      </c>
      <c r="K40" s="5">
        <f>VLOOKUP($B40,'Data Vlaue (Cr)'!$C:$FB,99)</f>
        <v>2386</v>
      </c>
      <c r="L40" s="81">
        <f>VLOOKUP(B40,'OI(Value)'!$A$7:$C$232,3,0)</f>
        <v>16</v>
      </c>
      <c r="M40" s="33">
        <f t="shared" si="12"/>
        <v>0.67057837384744345</v>
      </c>
      <c r="N40" s="5">
        <f>VLOOKUP($B40,'Data Vlaue (Cr)'!$C:$FB,67)</f>
        <v>811</v>
      </c>
      <c r="O40" s="5">
        <f>VLOOKUP($B40,'Data Vlaue (Cr)'!$C:$FB,68)</f>
        <v>819</v>
      </c>
      <c r="P40" s="5">
        <f t="shared" si="13"/>
        <v>-0.98643649815043155</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1802.2</v>
      </c>
      <c r="D41" s="82">
        <f>VLOOKUP($B41,'Data shares'!$C:$FB,98)</f>
        <v>4473625</v>
      </c>
      <c r="E41" s="165">
        <f>VLOOKUP(B41,'Snapshot (Volume)'!$A$7:$G$168,7,0)</f>
        <v>4503200</v>
      </c>
      <c r="F41" s="165">
        <f t="shared" si="9"/>
        <v>-29575</v>
      </c>
      <c r="G41" s="166">
        <f t="shared" si="10"/>
        <v>-6.5675519630484991E-3</v>
      </c>
      <c r="H41" s="165">
        <f>VLOOKUP($B41,'Data shares'!$C:$FB,66)</f>
        <v>1838200</v>
      </c>
      <c r="I41" s="165">
        <f>VLOOKUP($B41,'Data shares'!$C:$FB,67)</f>
        <v>3102450</v>
      </c>
      <c r="J41" s="81">
        <f t="shared" si="11"/>
        <v>-40.750052377959356</v>
      </c>
      <c r="K41" s="5">
        <f>VLOOKUP($B41,'Data Vlaue (Cr)'!$C:$FB,99)</f>
        <v>806</v>
      </c>
      <c r="L41" s="81">
        <f>VLOOKUP(B41,'OI(Value)'!$A$7:$C$232,3,0)</f>
        <v>-5</v>
      </c>
      <c r="M41" s="33">
        <f t="shared" si="12"/>
        <v>-0.62034739454094301</v>
      </c>
      <c r="N41" s="5">
        <f>VLOOKUP($B41,'Data Vlaue (Cr)'!$C:$FB,67)</f>
        <v>331</v>
      </c>
      <c r="O41" s="5">
        <f>VLOOKUP($B41,'Data Vlaue (Cr)'!$C:$FB,68)</f>
        <v>559</v>
      </c>
      <c r="P41" s="5">
        <f t="shared" si="13"/>
        <v>-68.882175226586099</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35850</v>
      </c>
      <c r="D42" s="82">
        <f>VLOOKUP($B42,'Data shares'!$C:$FB,98)</f>
        <v>325675</v>
      </c>
      <c r="E42" s="165">
        <f>VLOOKUP(B42,'Snapshot (Volume)'!$A$7:$G$168,7,0)</f>
        <v>306800</v>
      </c>
      <c r="F42" s="165">
        <f t="shared" si="9"/>
        <v>18875</v>
      </c>
      <c r="G42" s="166">
        <f t="shared" si="10"/>
        <v>6.1522164276401566E-2</v>
      </c>
      <c r="H42" s="165">
        <f>VLOOKUP($B42,'Data shares'!$C:$FB,66)</f>
        <v>91975</v>
      </c>
      <c r="I42" s="165">
        <f>VLOOKUP($B42,'Data shares'!$C:$FB,67)</f>
        <v>94050</v>
      </c>
      <c r="J42" s="81">
        <f t="shared" si="11"/>
        <v>-2.2062732589048379</v>
      </c>
      <c r="K42" s="5">
        <f>VLOOKUP($B42,'Data Vlaue (Cr)'!$C:$FB,99)</f>
        <v>1170</v>
      </c>
      <c r="L42" s="81">
        <f>VLOOKUP(B42,'OI(Value)'!$A$7:$C$232,3,0)</f>
        <v>68</v>
      </c>
      <c r="M42" s="33">
        <f t="shared" si="12"/>
        <v>5.8119658119658117</v>
      </c>
      <c r="N42" s="5">
        <f>VLOOKUP($B42,'Data Vlaue (Cr)'!$C:$FB,67)</f>
        <v>330</v>
      </c>
      <c r="O42" s="5">
        <f>VLOOKUP($B42,'Data Vlaue (Cr)'!$C:$FB,68)</f>
        <v>338</v>
      </c>
      <c r="P42" s="5">
        <f t="shared" si="13"/>
        <v>-2.4242424242424243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301.7</v>
      </c>
      <c r="D43" s="82">
        <f>VLOOKUP($B43,'Data shares'!$C:$FB,98)</f>
        <v>85377275</v>
      </c>
      <c r="E43" s="165">
        <f>VLOOKUP(B43,'Snapshot (Volume)'!$A$7:$G$168,7,0)</f>
        <v>80139575</v>
      </c>
      <c r="F43" s="165">
        <f t="shared" si="9"/>
        <v>5237700</v>
      </c>
      <c r="G43" s="166">
        <f t="shared" si="10"/>
        <v>6.5357222071616927E-2</v>
      </c>
      <c r="H43" s="165">
        <f>VLOOKUP($B43,'Data shares'!$C:$FB,66)</f>
        <v>27885025</v>
      </c>
      <c r="I43" s="165">
        <f>VLOOKUP($B43,'Data shares'!$C:$FB,67)</f>
        <v>35239925</v>
      </c>
      <c r="J43" s="81">
        <f t="shared" si="11"/>
        <v>-20.870929776382894</v>
      </c>
      <c r="K43" s="5">
        <f>VLOOKUP($B43,'Data Vlaue (Cr)'!$C:$FB,99)</f>
        <v>2592</v>
      </c>
      <c r="L43" s="81">
        <f>VLOOKUP(B43,'OI(Value)'!$A$7:$C$232,3,0)</f>
        <v>159</v>
      </c>
      <c r="M43" s="33">
        <f t="shared" si="12"/>
        <v>6.1342592592592595</v>
      </c>
      <c r="N43" s="5">
        <f>VLOOKUP($B43,'Data Vlaue (Cr)'!$C:$FB,67)</f>
        <v>846</v>
      </c>
      <c r="O43" s="5">
        <f>VLOOKUP($B43,'Data Vlaue (Cr)'!$C:$FB,68)</f>
        <v>1070</v>
      </c>
      <c r="P43" s="5">
        <f t="shared" si="13"/>
        <v>-26.477541371158392</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5792.5</v>
      </c>
      <c r="D44" s="165">
        <f>VLOOKUP($B44,'Data shares'!$C:$FB,98)</f>
        <v>3872250</v>
      </c>
      <c r="E44" s="165">
        <f>VLOOKUP(B44,'Snapshot (Volume)'!$A$7:$G$168,7,0)</f>
        <v>3704875</v>
      </c>
      <c r="F44" s="165">
        <f t="shared" ref="F44:F49" si="14">D44-E44</f>
        <v>167375</v>
      </c>
      <c r="G44" s="166">
        <f t="shared" ref="G44:G49" si="15">F44/E44</f>
        <v>4.5176962785519081E-2</v>
      </c>
      <c r="H44" s="165">
        <f>VLOOKUP($B44,'Data shares'!$C:$FB,66)</f>
        <v>2026375</v>
      </c>
      <c r="I44" s="165">
        <f>VLOOKUP($B44,'Data shares'!$C:$FB,67)</f>
        <v>1427750</v>
      </c>
      <c r="J44" s="81">
        <f t="shared" ref="J44:J49" si="16">(H44-I44)/I44*100</f>
        <v>41.927858518648222</v>
      </c>
      <c r="K44" s="81">
        <f>VLOOKUP($B44,'Data Vlaue (Cr)'!$C:$FB,99)</f>
        <v>2249</v>
      </c>
      <c r="L44" s="81">
        <f>VLOOKUP(B44,'OI(Value)'!$A$7:$C$232,3,0)</f>
        <v>97</v>
      </c>
      <c r="M44" s="81">
        <f t="shared" si="12"/>
        <v>4.313028012449978</v>
      </c>
      <c r="N44" s="81">
        <f>VLOOKUP($B44,'Data Vlaue (Cr)'!$C:$FB,67)</f>
        <v>1177</v>
      </c>
      <c r="O44" s="81">
        <f>VLOOKUP($B44,'Data Vlaue (Cr)'!$C:$FB,68)</f>
        <v>829</v>
      </c>
      <c r="P44" s="81">
        <f t="shared" ref="P44:P49" si="17">(N44-O44)/N44*100</f>
        <v>29.566694987255737</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3711.3</v>
      </c>
      <c r="D45" s="82">
        <f>VLOOKUP($B45,'Data shares'!$C:$FB,98)</f>
        <v>16409350</v>
      </c>
      <c r="E45" s="165">
        <f>VLOOKUP(B45,'Snapshot (Volume)'!$A$7:$G$168,7,0)</f>
        <v>15523300</v>
      </c>
      <c r="F45" s="165">
        <f t="shared" si="14"/>
        <v>886050</v>
      </c>
      <c r="G45" s="166">
        <f t="shared" si="15"/>
        <v>5.7078713933248731E-2</v>
      </c>
      <c r="H45" s="165">
        <f>VLOOKUP($B45,'Data shares'!$C:$FB,66)</f>
        <v>21706125</v>
      </c>
      <c r="I45" s="165">
        <f>VLOOKUP($B45,'Data shares'!$C:$FB,67)</f>
        <v>14202375</v>
      </c>
      <c r="J45" s="81">
        <f t="shared" si="16"/>
        <v>52.834473107490822</v>
      </c>
      <c r="K45" s="5">
        <f>VLOOKUP($B45,'Data Vlaue (Cr)'!$C:$FB,99)</f>
        <v>6092</v>
      </c>
      <c r="L45" s="81">
        <f>VLOOKUP(B45,'OI(Value)'!$A$7:$C$232,3,0)</f>
        <v>329</v>
      </c>
      <c r="M45" s="33">
        <f t="shared" si="12"/>
        <v>5.4005252790544978</v>
      </c>
      <c r="N45" s="5">
        <f>VLOOKUP($B45,'Data Vlaue (Cr)'!$C:$FB,67)</f>
        <v>8059</v>
      </c>
      <c r="O45" s="5">
        <f>VLOOKUP($B45,'Data Vlaue (Cr)'!$C:$FB,68)</f>
        <v>5273</v>
      </c>
      <c r="P45" s="5">
        <f t="shared" si="17"/>
        <v>34.570045911403405</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730.85</v>
      </c>
      <c r="D46" s="82">
        <f>VLOOKUP($B46,'Data shares'!$C:$FB,98)</f>
        <v>12566250</v>
      </c>
      <c r="E46" s="165">
        <f>VLOOKUP(B46,'Snapshot (Volume)'!$A$7:$G$168,7,0)</f>
        <v>10428300</v>
      </c>
      <c r="F46" s="165">
        <f t="shared" si="14"/>
        <v>2137950</v>
      </c>
      <c r="G46" s="166">
        <f t="shared" si="15"/>
        <v>0.20501424009666006</v>
      </c>
      <c r="H46" s="165">
        <f>VLOOKUP($B46,'Data shares'!$C:$FB,66)</f>
        <v>10887000</v>
      </c>
      <c r="I46" s="165">
        <f>VLOOKUP($B46,'Data shares'!$C:$FB,67)</f>
        <v>11917500</v>
      </c>
      <c r="J46" s="81">
        <f t="shared" si="16"/>
        <v>-8.6469477658904967</v>
      </c>
      <c r="K46" s="5">
        <f>VLOOKUP($B46,'Data Vlaue (Cr)'!$C:$FB,99)</f>
        <v>911</v>
      </c>
      <c r="L46" s="81">
        <f>VLOOKUP(B46,'OI(Value)'!$A$7:$C$232,3,0)</f>
        <v>155</v>
      </c>
      <c r="M46" s="33">
        <f t="shared" si="12"/>
        <v>17.014270032930845</v>
      </c>
      <c r="N46" s="5">
        <f>VLOOKUP($B46,'Data Vlaue (Cr)'!$C:$FB,67)</f>
        <v>789</v>
      </c>
      <c r="O46" s="5">
        <f>VLOOKUP($B46,'Data Vlaue (Cr)'!$C:$FB,68)</f>
        <v>864</v>
      </c>
      <c r="P46" s="5">
        <f t="shared" si="17"/>
        <v>-9.5057034220532319</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134.80000000000001</v>
      </c>
      <c r="D47" s="82">
        <f>VLOOKUP($B47,'Data shares'!$C:$FB,98)</f>
        <v>345485250</v>
      </c>
      <c r="E47" s="165">
        <f>VLOOKUP(B47,'Snapshot (Volume)'!$A$7:$G$168,7,0)</f>
        <v>328380750</v>
      </c>
      <c r="F47" s="165">
        <f t="shared" si="14"/>
        <v>17104500</v>
      </c>
      <c r="G47" s="166">
        <f t="shared" si="15"/>
        <v>5.2087401590988507E-2</v>
      </c>
      <c r="H47" s="165">
        <f>VLOOKUP($B47,'Data shares'!$C:$FB,66)</f>
        <v>116363250</v>
      </c>
      <c r="I47" s="165">
        <f>VLOOKUP($B47,'Data shares'!$C:$FB,67)</f>
        <v>124854750</v>
      </c>
      <c r="J47" s="81">
        <f t="shared" si="16"/>
        <v>-6.8011028815483598</v>
      </c>
      <c r="K47" s="5">
        <f>VLOOKUP($B47,'Data Vlaue (Cr)'!$C:$FB,99)</f>
        <v>4672</v>
      </c>
      <c r="L47" s="81">
        <f>VLOOKUP(B47,'OI(Value)'!$A$7:$C$232,3,0)</f>
        <v>231</v>
      </c>
      <c r="M47" s="33">
        <f t="shared" si="12"/>
        <v>4.9443493150684938</v>
      </c>
      <c r="N47" s="5">
        <f>VLOOKUP($B47,'Data Vlaue (Cr)'!$C:$FB,67)</f>
        <v>1574</v>
      </c>
      <c r="O47" s="5">
        <f>VLOOKUP($B47,'Data Vlaue (Cr)'!$C:$FB,68)</f>
        <v>1688</v>
      </c>
      <c r="P47" s="5">
        <f t="shared" si="17"/>
        <v>-7.2426937738246506</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1238.3</v>
      </c>
      <c r="D48" s="82">
        <f>VLOOKUP($B48,'Data shares'!$C:$FB,98)</f>
        <v>22946300</v>
      </c>
      <c r="E48" s="165">
        <f>VLOOKUP(B48,'Snapshot (Volume)'!$A$7:$G$168,7,0)</f>
        <v>20316225</v>
      </c>
      <c r="F48" s="165">
        <f t="shared" si="14"/>
        <v>2630075</v>
      </c>
      <c r="G48" s="166">
        <f t="shared" si="15"/>
        <v>0.1294568749853873</v>
      </c>
      <c r="H48" s="165">
        <f>VLOOKUP($B48,'Data shares'!$C:$FB,66)</f>
        <v>29278050</v>
      </c>
      <c r="I48" s="165">
        <f>VLOOKUP($B48,'Data shares'!$C:$FB,67)</f>
        <v>13331350</v>
      </c>
      <c r="J48" s="81">
        <f t="shared" si="16"/>
        <v>119.61804318392362</v>
      </c>
      <c r="K48" s="5">
        <f>VLOOKUP($B48,'Data Vlaue (Cr)'!$C:$FB,99)</f>
        <v>2848</v>
      </c>
      <c r="L48" s="81">
        <f>VLOOKUP(B48,'OI(Value)'!$A$7:$C$232,3,0)</f>
        <v>326</v>
      </c>
      <c r="M48" s="33">
        <f t="shared" si="12"/>
        <v>11.446629213483146</v>
      </c>
      <c r="N48" s="5">
        <f>VLOOKUP($B48,'Data Vlaue (Cr)'!$C:$FB,67)</f>
        <v>3633</v>
      </c>
      <c r="O48" s="5">
        <f>VLOOKUP($B48,'Data Vlaue (Cr)'!$C:$FB,68)</f>
        <v>1654</v>
      </c>
      <c r="P48" s="5">
        <f t="shared" si="17"/>
        <v>54.472887420864303</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CGPOWER</v>
      </c>
      <c r="C49" s="4">
        <f>VLOOKUP($B49,'Data shares'!$C:$FB,7)</f>
        <v>802.3</v>
      </c>
      <c r="D49" s="82">
        <f>VLOOKUP($B49,'Data shares'!$C:$FB,98)</f>
        <v>27531500</v>
      </c>
      <c r="E49" s="165">
        <f>VLOOKUP(B49,'Snapshot (Volume)'!$A$7:$G$168,7,0)</f>
        <v>25893550</v>
      </c>
      <c r="F49" s="165">
        <f t="shared" si="14"/>
        <v>1637950</v>
      </c>
      <c r="G49" s="166">
        <f t="shared" si="15"/>
        <v>6.3257065948855995E-2</v>
      </c>
      <c r="H49" s="165">
        <f>VLOOKUP($B49,'Data shares'!$C:$FB,66)</f>
        <v>10747400</v>
      </c>
      <c r="I49" s="165">
        <f>VLOOKUP($B49,'Data shares'!$C:$FB,67)</f>
        <v>8731200</v>
      </c>
      <c r="J49" s="81">
        <f t="shared" si="16"/>
        <v>23.09190031152648</v>
      </c>
      <c r="K49" s="5">
        <f>VLOOKUP($B49,'Data Vlaue (Cr)'!$C:$FB,99)</f>
        <v>2222</v>
      </c>
      <c r="L49" s="81">
        <f>VLOOKUP(B49,'OI(Value)'!$A$7:$C$232,3,0)</f>
        <v>132</v>
      </c>
      <c r="M49" s="33">
        <f t="shared" si="12"/>
        <v>5.9405940594059405</v>
      </c>
      <c r="N49" s="5">
        <f>VLOOKUP($B49,'Data Vlaue (Cr)'!$C:$FB,67)</f>
        <v>867</v>
      </c>
      <c r="O49" s="5">
        <f>VLOOKUP($B49,'Data Vlaue (Cr)'!$C:$FB,68)</f>
        <v>705</v>
      </c>
      <c r="P49" s="5">
        <f t="shared" si="17"/>
        <v>18.685121107266436</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CHOLAFIN</v>
      </c>
      <c r="C50" s="4">
        <f>VLOOKUP($B50,'Data shares'!$C:$FB,7)</f>
        <v>1639.5</v>
      </c>
      <c r="D50" s="82">
        <f>VLOOKUP($B50,'Data shares'!$C:$FB,98)</f>
        <v>24281875</v>
      </c>
      <c r="E50" s="165">
        <f>VLOOKUP(B50,'Snapshot (Volume)'!$A$7:$G$168,7,0)</f>
        <v>24395000</v>
      </c>
      <c r="F50" s="165">
        <f>D50-E50</f>
        <v>-113125</v>
      </c>
      <c r="G50" s="166">
        <f>F50/E50</f>
        <v>-4.6372207419553184E-3</v>
      </c>
      <c r="H50" s="165">
        <f>VLOOKUP($B50,'Data shares'!$C:$FB,66)</f>
        <v>26993125</v>
      </c>
      <c r="I50" s="165">
        <f>VLOOKUP($B50,'Data shares'!$C:$FB,67)</f>
        <v>37755000</v>
      </c>
      <c r="J50" s="81">
        <f>(H50-I50)/I50*100</f>
        <v>-28.504502714872203</v>
      </c>
      <c r="K50" s="5">
        <f>VLOOKUP($B50,'Data Vlaue (Cr)'!$C:$FB,99)</f>
        <v>3992</v>
      </c>
      <c r="L50" s="81">
        <f>VLOOKUP(B50,'OI(Value)'!$A$7:$C$232,3,0)</f>
        <v>-19</v>
      </c>
      <c r="M50" s="33">
        <f t="shared" si="12"/>
        <v>-0.47595190380761526</v>
      </c>
      <c r="N50" s="5">
        <f>VLOOKUP($B50,'Data Vlaue (Cr)'!$C:$FB,67)</f>
        <v>4438</v>
      </c>
      <c r="O50" s="5">
        <f>VLOOKUP($B50,'Data Vlaue (Cr)'!$C:$FB,68)</f>
        <v>6208</v>
      </c>
      <c r="P50" s="5">
        <f>(N50-O50)/N50*100</f>
        <v>-39.882830103650292</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Pharma</v>
      </c>
      <c r="B51" s="79" t="str">
        <f>'Data shares'!C46</f>
        <v>CIPLA</v>
      </c>
      <c r="C51" s="4">
        <f>VLOOKUP($B51,'Data shares'!$C:$FB,7)</f>
        <v>1335</v>
      </c>
      <c r="D51" s="82">
        <f>VLOOKUP($B51,'Data shares'!$C:$FB,98)</f>
        <v>20484275</v>
      </c>
      <c r="E51" s="165">
        <f>VLOOKUP(B51,'Snapshot (Volume)'!$A$7:$G$168,7,0)</f>
        <v>19944775</v>
      </c>
      <c r="F51" s="165">
        <f>D51-E51</f>
        <v>539500</v>
      </c>
      <c r="G51" s="166">
        <f>F51/E51</f>
        <v>2.7049690959160985E-2</v>
      </c>
      <c r="H51" s="165">
        <f>VLOOKUP($B51,'Data shares'!$C:$FB,66)</f>
        <v>7922250</v>
      </c>
      <c r="I51" s="165">
        <f>VLOOKUP($B51,'Data shares'!$C:$FB,67)</f>
        <v>8103750</v>
      </c>
      <c r="J51" s="81">
        <f>(H51-I51)/I51*100</f>
        <v>-2.2397038408144376</v>
      </c>
      <c r="K51" s="5">
        <f>VLOOKUP($B51,'Data Vlaue (Cr)'!$C:$FB,99)</f>
        <v>2742</v>
      </c>
      <c r="L51" s="81">
        <f>VLOOKUP(B51,'OI(Value)'!$A$7:$C$232,3,0)</f>
        <v>72</v>
      </c>
      <c r="M51" s="33">
        <f t="shared" si="12"/>
        <v>2.6258205689277898</v>
      </c>
      <c r="N51" s="5">
        <f>VLOOKUP($B51,'Data Vlaue (Cr)'!$C:$FB,67)</f>
        <v>1061</v>
      </c>
      <c r="O51" s="5">
        <f>VLOOKUP($B51,'Data Vlaue (Cr)'!$C:$FB,68)</f>
        <v>1085</v>
      </c>
      <c r="P51" s="5">
        <f>(N51-O51)/N51*100</f>
        <v>-2.2620169651272386</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Metals</v>
      </c>
      <c r="B52" s="79" t="str">
        <f>'Data shares'!C47</f>
        <v>COALINDIA</v>
      </c>
      <c r="C52" s="79">
        <f>VLOOKUP($B52,'Data shares'!$C:$FB,7)</f>
        <v>479.95</v>
      </c>
      <c r="D52" s="80">
        <f>VLOOKUP($B52,'Data shares'!$C:$FB,98)</f>
        <v>96206400</v>
      </c>
      <c r="E52" s="165">
        <f>VLOOKUP(B52,'Snapshot (Volume)'!$A$7:$G$168,7,0)</f>
        <v>96141600</v>
      </c>
      <c r="F52" s="165">
        <f t="shared" ref="F52:F68" si="18">D52-E52</f>
        <v>64800</v>
      </c>
      <c r="G52" s="166">
        <f t="shared" ref="G52:G68" si="19">F52/E52</f>
        <v>6.7400584138395869E-4</v>
      </c>
      <c r="H52" s="165">
        <f>VLOOKUP($B52,'Data shares'!$C:$FB,66)</f>
        <v>55987200</v>
      </c>
      <c r="I52" s="165">
        <f>VLOOKUP($B52,'Data shares'!$C:$FB,67)</f>
        <v>114018300</v>
      </c>
      <c r="J52" s="81">
        <f t="shared" ref="J52:J68" si="20">(H52-I52)/I52*100</f>
        <v>-50.896303488124275</v>
      </c>
      <c r="K52" s="81">
        <f>VLOOKUP($B52,'Data Vlaue (Cr)'!$C:$FB,99)</f>
        <v>4629</v>
      </c>
      <c r="L52" s="81">
        <f>VLOOKUP(B52,'OI(Value)'!$A$7:$C$232,3,0)</f>
        <v>3</v>
      </c>
      <c r="M52" s="81">
        <f t="shared" si="12"/>
        <v>6.4808813998703821E-2</v>
      </c>
      <c r="N52" s="81">
        <f>VLOOKUP($B52,'Data Vlaue (Cr)'!$C:$FB,67)</f>
        <v>2694</v>
      </c>
      <c r="O52" s="81">
        <f>VLOOKUP($B52,'Data Vlaue (Cr)'!$C:$FB,68)</f>
        <v>5487</v>
      </c>
      <c r="P52" s="81">
        <f t="shared" ref="P52:P68" si="21">(N52-O52)/N52*100</f>
        <v>-103.67483296213808</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COCHINSHIP</v>
      </c>
      <c r="C53" s="4">
        <f>VLOOKUP($B53,'Data shares'!$C:$FB,7)</f>
        <v>1719.3</v>
      </c>
      <c r="D53" s="82">
        <f>VLOOKUP($B53,'Data shares'!$C:$FB,98)</f>
        <v>4466800</v>
      </c>
      <c r="E53" s="165">
        <f>VLOOKUP(B53,'Snapshot (Volume)'!$A$7:$G$168,7,0)</f>
        <v>4376400</v>
      </c>
      <c r="F53" s="165">
        <f t="shared" si="18"/>
        <v>90400</v>
      </c>
      <c r="G53" s="166">
        <f t="shared" si="19"/>
        <v>2.0656247143771136E-2</v>
      </c>
      <c r="H53" s="165">
        <f>VLOOKUP($B53,'Data shares'!$C:$FB,66)</f>
        <v>2592000</v>
      </c>
      <c r="I53" s="165">
        <f>VLOOKUP($B53,'Data shares'!$C:$FB,67)</f>
        <v>2644800</v>
      </c>
      <c r="J53" s="81">
        <f t="shared" si="20"/>
        <v>-1.9963702359346642</v>
      </c>
      <c r="K53" s="5">
        <f>VLOOKUP($B53,'Data Vlaue (Cr)'!$C:$FB,99)</f>
        <v>772</v>
      </c>
      <c r="L53" s="81">
        <f>VLOOKUP(B53,'OI(Value)'!$A$7:$C$232,3,0)</f>
        <v>16</v>
      </c>
      <c r="M53" s="33">
        <f t="shared" si="12"/>
        <v>2.0725388601036272</v>
      </c>
      <c r="N53" s="5">
        <f>VLOOKUP($B53,'Data Vlaue (Cr)'!$C:$FB,67)</f>
        <v>448</v>
      </c>
      <c r="O53" s="5">
        <f>VLOOKUP($B53,'Data Vlaue (Cr)'!$C:$FB,68)</f>
        <v>457</v>
      </c>
      <c r="P53" s="5">
        <f t="shared" si="21"/>
        <v>-2.0089285714285716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1151.5999999999999</v>
      </c>
      <c r="D54" s="82">
        <f>VLOOKUP($B54,'Data shares'!$C:$FB,98)</f>
        <v>29014350</v>
      </c>
      <c r="E54" s="165">
        <f>VLOOKUP(B54,'Snapshot (Volume)'!$A$7:$G$168,7,0)</f>
        <v>27983775</v>
      </c>
      <c r="F54" s="165">
        <f t="shared" si="18"/>
        <v>1030575</v>
      </c>
      <c r="G54" s="166">
        <f t="shared" si="19"/>
        <v>3.6827590273292292E-2</v>
      </c>
      <c r="H54" s="165">
        <f>VLOOKUP($B54,'Data shares'!$C:$FB,66)</f>
        <v>17319000</v>
      </c>
      <c r="I54" s="165">
        <f>VLOOKUP($B54,'Data shares'!$C:$FB,67)</f>
        <v>7097625</v>
      </c>
      <c r="J54" s="81">
        <f t="shared" si="20"/>
        <v>144.01120092988853</v>
      </c>
      <c r="K54" s="5">
        <f>VLOOKUP($B54,'Data Vlaue (Cr)'!$C:$FB,99)</f>
        <v>3351</v>
      </c>
      <c r="L54" s="81">
        <f>VLOOKUP(B54,'OI(Value)'!$A$7:$C$232,3,0)</f>
        <v>119</v>
      </c>
      <c r="M54" s="33">
        <f t="shared" si="12"/>
        <v>3.5511787526111607</v>
      </c>
      <c r="N54" s="5">
        <f>VLOOKUP($B54,'Data Vlaue (Cr)'!$C:$FB,67)</f>
        <v>2000</v>
      </c>
      <c r="O54" s="5">
        <f>VLOOKUP($B54,'Data Vlaue (Cr)'!$C:$FB,68)</f>
        <v>820</v>
      </c>
      <c r="P54" s="5">
        <f t="shared" si="21"/>
        <v>59</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2172.9</v>
      </c>
      <c r="D55" s="82">
        <f>VLOOKUP($B55,'Data shares'!$C:$FB,98)</f>
        <v>7131500</v>
      </c>
      <c r="E55" s="165">
        <f>VLOOKUP(B55,'Snapshot (Volume)'!$A$7:$G$168,7,0)</f>
        <v>6864850</v>
      </c>
      <c r="F55" s="165">
        <f t="shared" si="18"/>
        <v>266650</v>
      </c>
      <c r="G55" s="166">
        <f t="shared" si="19"/>
        <v>3.8842800643859664E-2</v>
      </c>
      <c r="H55" s="165">
        <f>VLOOKUP($B55,'Data shares'!$C:$FB,66)</f>
        <v>4697550</v>
      </c>
      <c r="I55" s="165">
        <f>VLOOKUP($B55,'Data shares'!$C:$FB,67)</f>
        <v>3207825</v>
      </c>
      <c r="J55" s="81">
        <f t="shared" si="20"/>
        <v>46.440345093638214</v>
      </c>
      <c r="K55" s="5">
        <f>VLOOKUP($B55,'Data Vlaue (Cr)'!$C:$FB,99)</f>
        <v>1547</v>
      </c>
      <c r="L55" s="81">
        <f>VLOOKUP(B55,'OI(Value)'!$A$7:$C$232,3,0)</f>
        <v>58</v>
      </c>
      <c r="M55" s="33">
        <f t="shared" si="12"/>
        <v>3.7491919844861021</v>
      </c>
      <c r="N55" s="5">
        <f>VLOOKUP($B55,'Data Vlaue (Cr)'!$C:$FB,67)</f>
        <v>1019</v>
      </c>
      <c r="O55" s="5">
        <f>VLOOKUP($B55,'Data Vlaue (Cr)'!$C:$FB,68)</f>
        <v>696</v>
      </c>
      <c r="P55" s="5">
        <f t="shared" si="21"/>
        <v>31.697742885181551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516.35</v>
      </c>
      <c r="D56" s="82">
        <f>VLOOKUP($B56,'Data shares'!$C:$FB,98)</f>
        <v>31257500</v>
      </c>
      <c r="E56" s="165">
        <f>VLOOKUP(B56,'Snapshot (Volume)'!$A$7:$G$168,7,0)</f>
        <v>31008750</v>
      </c>
      <c r="F56" s="165">
        <f t="shared" si="18"/>
        <v>248750</v>
      </c>
      <c r="G56" s="166">
        <f t="shared" si="19"/>
        <v>8.0219292941508449E-3</v>
      </c>
      <c r="H56" s="165">
        <f>VLOOKUP($B56,'Data shares'!$C:$FB,66)</f>
        <v>5277500</v>
      </c>
      <c r="I56" s="165">
        <f>VLOOKUP($B56,'Data shares'!$C:$FB,67)</f>
        <v>4441250</v>
      </c>
      <c r="J56" s="81">
        <f t="shared" si="20"/>
        <v>18.82915845764143</v>
      </c>
      <c r="K56" s="5">
        <f>VLOOKUP($B56,'Data Vlaue (Cr)'!$C:$FB,99)</f>
        <v>1624</v>
      </c>
      <c r="L56" s="81">
        <f>VLOOKUP(B56,'OI(Value)'!$A$7:$C$232,3,0)</f>
        <v>13</v>
      </c>
      <c r="M56" s="33">
        <f t="shared" si="12"/>
        <v>0.8004926108374385</v>
      </c>
      <c r="N56" s="5">
        <f>VLOOKUP($B56,'Data Vlaue (Cr)'!$C:$FB,67)</f>
        <v>274</v>
      </c>
      <c r="O56" s="5">
        <f>VLOOKUP($B56,'Data Vlaue (Cr)'!$C:$FB,68)</f>
        <v>231</v>
      </c>
      <c r="P56" s="5">
        <f t="shared" si="21"/>
        <v>15.693430656934307</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277.95</v>
      </c>
      <c r="D57" s="82">
        <f>VLOOKUP($B57,'Data shares'!$C:$FB,98)</f>
        <v>73715900</v>
      </c>
      <c r="E57" s="165">
        <f>VLOOKUP(B57,'Snapshot (Volume)'!$A$7:$G$168,7,0)</f>
        <v>69887150</v>
      </c>
      <c r="F57" s="165">
        <f t="shared" si="18"/>
        <v>3828750</v>
      </c>
      <c r="G57" s="166">
        <f t="shared" si="19"/>
        <v>5.4784749413876517E-2</v>
      </c>
      <c r="H57" s="165">
        <f>VLOOKUP($B57,'Data shares'!$C:$FB,66)</f>
        <v>31982400</v>
      </c>
      <c r="I57" s="165">
        <f>VLOOKUP($B57,'Data shares'!$C:$FB,67)</f>
        <v>35105400</v>
      </c>
      <c r="J57" s="81">
        <f t="shared" si="20"/>
        <v>-8.8960672717017886</v>
      </c>
      <c r="K57" s="5">
        <f>VLOOKUP($B57,'Data Vlaue (Cr)'!$C:$FB,99)</f>
        <v>2054</v>
      </c>
      <c r="L57" s="81">
        <f>VLOOKUP(B57,'OI(Value)'!$A$7:$C$232,3,0)</f>
        <v>107</v>
      </c>
      <c r="M57" s="33">
        <f t="shared" si="12"/>
        <v>5.2093476144109054</v>
      </c>
      <c r="N57" s="5">
        <f>VLOOKUP($B57,'Data Vlaue (Cr)'!$C:$FB,67)</f>
        <v>891</v>
      </c>
      <c r="O57" s="5">
        <f>VLOOKUP($B57,'Data Vlaue (Cr)'!$C:$FB,68)</f>
        <v>978</v>
      </c>
      <c r="P57" s="5">
        <f t="shared" si="21"/>
        <v>-9.7643097643097647</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5289</v>
      </c>
      <c r="D58" s="82">
        <f>VLOOKUP($B58,'Data shares'!$C:$FB,98)</f>
        <v>4955800</v>
      </c>
      <c r="E58" s="165">
        <f>VLOOKUP(B58,'Snapshot (Volume)'!$A$7:$G$168,7,0)</f>
        <v>4826000</v>
      </c>
      <c r="F58" s="165">
        <f t="shared" si="18"/>
        <v>129800</v>
      </c>
      <c r="G58" s="166">
        <f t="shared" si="19"/>
        <v>2.6895980107749688E-2</v>
      </c>
      <c r="H58" s="165">
        <f>VLOOKUP($B58,'Data shares'!$C:$FB,66)</f>
        <v>1742600</v>
      </c>
      <c r="I58" s="165">
        <f>VLOOKUP($B58,'Data shares'!$C:$FB,67)</f>
        <v>1617800</v>
      </c>
      <c r="J58" s="81">
        <f t="shared" si="20"/>
        <v>7.7141797502781548</v>
      </c>
      <c r="K58" s="5">
        <f>VLOOKUP($B58,'Data Vlaue (Cr)'!$C:$FB,99)</f>
        <v>2623</v>
      </c>
      <c r="L58" s="81">
        <f>VLOOKUP(B58,'OI(Value)'!$A$7:$C$232,3,0)</f>
        <v>69</v>
      </c>
      <c r="M58" s="33">
        <f t="shared" si="12"/>
        <v>2.6305756767060617</v>
      </c>
      <c r="N58" s="5">
        <f>VLOOKUP($B58,'Data Vlaue (Cr)'!$C:$FB,67)</f>
        <v>922</v>
      </c>
      <c r="O58" s="5">
        <f>VLOOKUP($B58,'Data Vlaue (Cr)'!$C:$FB,68)</f>
        <v>856</v>
      </c>
      <c r="P58" s="5">
        <f t="shared" si="21"/>
        <v>7.1583514099783088</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FMCG</v>
      </c>
      <c r="B59" s="79" t="str">
        <f>'Data shares'!C54</f>
        <v>DABUR</v>
      </c>
      <c r="C59" s="4">
        <f>VLOOKUP($B59,'Data shares'!$C:$FB,7)</f>
        <v>445.65</v>
      </c>
      <c r="D59" s="82">
        <f>VLOOKUP($B59,'Data shares'!$C:$FB,98)</f>
        <v>39107500</v>
      </c>
      <c r="E59" s="165">
        <f>VLOOKUP(B59,'Snapshot (Volume)'!$A$7:$G$168,7,0)</f>
        <v>37847500</v>
      </c>
      <c r="F59" s="165">
        <f t="shared" si="18"/>
        <v>1260000</v>
      </c>
      <c r="G59" s="166">
        <f t="shared" si="19"/>
        <v>3.3291498777990619E-2</v>
      </c>
      <c r="H59" s="165">
        <f>VLOOKUP($B59,'Data shares'!$C:$FB,66)</f>
        <v>9500000</v>
      </c>
      <c r="I59" s="165">
        <f>VLOOKUP($B59,'Data shares'!$C:$FB,67)</f>
        <v>14963750</v>
      </c>
      <c r="J59" s="81">
        <f t="shared" si="20"/>
        <v>-36.513240330799434</v>
      </c>
      <c r="K59" s="5">
        <f>VLOOKUP($B59,'Data Vlaue (Cr)'!$C:$FB,99)</f>
        <v>1749</v>
      </c>
      <c r="L59" s="81">
        <f>VLOOKUP(B59,'OI(Value)'!$A$7:$C$232,3,0)</f>
        <v>56</v>
      </c>
      <c r="M59" s="33">
        <f t="shared" si="12"/>
        <v>3.2018296169239568</v>
      </c>
      <c r="N59" s="5">
        <f>VLOOKUP($B59,'Data Vlaue (Cr)'!$C:$FB,67)</f>
        <v>425</v>
      </c>
      <c r="O59" s="5">
        <f>VLOOKUP($B59,'Data Vlaue (Cr)'!$C:$FB,68)</f>
        <v>669</v>
      </c>
      <c r="P59" s="5">
        <f t="shared" si="21"/>
        <v>-57.411764705882348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Cement</v>
      </c>
      <c r="B60" s="79" t="str">
        <f>'Data shares'!C55</f>
        <v>DALBHARAT</v>
      </c>
      <c r="C60" s="4">
        <f>VLOOKUP($B60,'Data shares'!$C:$FB,7)</f>
        <v>1983.3</v>
      </c>
      <c r="D60" s="82">
        <f>VLOOKUP($B60,'Data shares'!$C:$FB,98)</f>
        <v>3982225</v>
      </c>
      <c r="E60" s="165">
        <f>VLOOKUP(B60,'Snapshot (Volume)'!$A$7:$G$168,7,0)</f>
        <v>3552575</v>
      </c>
      <c r="F60" s="165">
        <f t="shared" si="18"/>
        <v>429650</v>
      </c>
      <c r="G60" s="166">
        <f t="shared" si="19"/>
        <v>0.12094044460708078</v>
      </c>
      <c r="H60" s="165">
        <f>VLOOKUP($B60,'Data shares'!$C:$FB,66)</f>
        <v>4497350</v>
      </c>
      <c r="I60" s="165">
        <f>VLOOKUP($B60,'Data shares'!$C:$FB,67)</f>
        <v>2571725</v>
      </c>
      <c r="J60" s="81">
        <f t="shared" si="20"/>
        <v>74.876785037280428</v>
      </c>
      <c r="K60" s="5">
        <f>VLOOKUP($B60,'Data Vlaue (Cr)'!$C:$FB,99)</f>
        <v>792</v>
      </c>
      <c r="L60" s="81">
        <f>VLOOKUP(B60,'OI(Value)'!$A$7:$C$232,3,0)</f>
        <v>85</v>
      </c>
      <c r="M60" s="33">
        <f t="shared" si="12"/>
        <v>10.732323232323232</v>
      </c>
      <c r="N60" s="5">
        <f>VLOOKUP($B60,'Data Vlaue (Cr)'!$C:$FB,67)</f>
        <v>894</v>
      </c>
      <c r="O60" s="5">
        <f>VLOOKUP($B60,'Data Vlaue (Cr)'!$C:$FB,68)</f>
        <v>511</v>
      </c>
      <c r="P60" s="5">
        <f t="shared" si="21"/>
        <v>42.841163310961967</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New_Age</v>
      </c>
      <c r="B61" s="79" t="str">
        <f>'Data shares'!C56</f>
        <v>DELHIVERY</v>
      </c>
      <c r="C61" s="4">
        <f>VLOOKUP($B61,'Data shares'!$C:$FB,7)</f>
        <v>467.35</v>
      </c>
      <c r="D61" s="82">
        <f>VLOOKUP($B61,'Data shares'!$C:$FB,98)</f>
        <v>37559575</v>
      </c>
      <c r="E61" s="165">
        <f>VLOOKUP(B61,'Snapshot (Volume)'!$A$7:$G$168,7,0)</f>
        <v>37395650</v>
      </c>
      <c r="F61" s="165">
        <f t="shared" si="18"/>
        <v>163925</v>
      </c>
      <c r="G61" s="166">
        <f t="shared" si="19"/>
        <v>4.3835312395960491E-3</v>
      </c>
      <c r="H61" s="165">
        <f>VLOOKUP($B61,'Data shares'!$C:$FB,66)</f>
        <v>10455925</v>
      </c>
      <c r="I61" s="165">
        <f>VLOOKUP($B61,'Data shares'!$C:$FB,67)</f>
        <v>10368775</v>
      </c>
      <c r="J61" s="81">
        <f t="shared" si="20"/>
        <v>0.84050430258154896</v>
      </c>
      <c r="K61" s="5">
        <f>VLOOKUP($B61,'Data Vlaue (Cr)'!$C:$FB,99)</f>
        <v>1763</v>
      </c>
      <c r="L61" s="81">
        <f>VLOOKUP(B61,'OI(Value)'!$A$7:$C$232,3,0)</f>
        <v>8</v>
      </c>
      <c r="M61" s="33">
        <f t="shared" si="12"/>
        <v>0.45377197958026094</v>
      </c>
      <c r="N61" s="5">
        <f>VLOOKUP($B61,'Data Vlaue (Cr)'!$C:$FB,67)</f>
        <v>491</v>
      </c>
      <c r="O61" s="5">
        <f>VLOOKUP($B61,'Data Vlaue (Cr)'!$C:$FB,68)</f>
        <v>487</v>
      </c>
      <c r="P61" s="5">
        <f t="shared" si="21"/>
        <v>0.81466395112016288</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Pharma</v>
      </c>
      <c r="B62" s="79" t="str">
        <f>'Data shares'!C57</f>
        <v>DIVISLAB</v>
      </c>
      <c r="C62" s="4">
        <f>VLOOKUP($B62,'Data shares'!$C:$FB,7)</f>
        <v>6619.5</v>
      </c>
      <c r="D62" s="82">
        <f>VLOOKUP($B62,'Data shares'!$C:$FB,98)</f>
        <v>3405300</v>
      </c>
      <c r="E62" s="165">
        <f>VLOOKUP(B62,'Snapshot (Volume)'!$A$7:$G$168,7,0)</f>
        <v>3233400</v>
      </c>
      <c r="F62" s="165">
        <f t="shared" si="18"/>
        <v>171900</v>
      </c>
      <c r="G62" s="166"/>
      <c r="H62" s="165">
        <f>VLOOKUP($B62,'Data shares'!$C:$FB,66)</f>
        <v>1797500</v>
      </c>
      <c r="I62" s="165">
        <f>VLOOKUP($B62,'Data shares'!$C:$FB,67)</f>
        <v>1011500</v>
      </c>
      <c r="J62" s="81"/>
      <c r="K62" s="5">
        <f>VLOOKUP($B62,'Data Vlaue (Cr)'!$C:$FB,99)</f>
        <v>2261</v>
      </c>
      <c r="L62" s="81">
        <f>VLOOKUP(B62,'OI(Value)'!$A$7:$C$232,3,0)</f>
        <v>114</v>
      </c>
      <c r="M62" s="33"/>
      <c r="N62" s="5">
        <f>VLOOKUP($B62,'Data Vlaue (Cr)'!$C:$FB,67)</f>
        <v>1193</v>
      </c>
      <c r="O62" s="5">
        <f>VLOOKUP($B62,'Data Vlaue (Cr)'!$C:$FB,68)</f>
        <v>672</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DIXON</v>
      </c>
      <c r="C63" s="4">
        <f>VLOOKUP($B63,'Data shares'!$C:$FB,7)</f>
        <v>11408</v>
      </c>
      <c r="D63" s="82">
        <f>VLOOKUP($B63,'Data shares'!$C:$FB,98)</f>
        <v>4807200</v>
      </c>
      <c r="E63" s="165">
        <f>VLOOKUP(B63,'Snapshot (Volume)'!$A$7:$G$168,7,0)</f>
        <v>4743950</v>
      </c>
      <c r="F63" s="165">
        <f t="shared" si="18"/>
        <v>63250</v>
      </c>
      <c r="G63" s="166">
        <f t="shared" si="19"/>
        <v>1.3332771213861866E-2</v>
      </c>
      <c r="H63" s="165">
        <f>VLOOKUP($B63,'Data shares'!$C:$FB,66)</f>
        <v>2108950</v>
      </c>
      <c r="I63" s="165">
        <f>VLOOKUP($B63,'Data shares'!$C:$FB,67)</f>
        <v>2589450</v>
      </c>
      <c r="J63" s="81">
        <f t="shared" si="20"/>
        <v>-18.556064029040918</v>
      </c>
      <c r="K63" s="5">
        <f>VLOOKUP($B63,'Data Vlaue (Cr)'!$C:$FB,99)</f>
        <v>5515</v>
      </c>
      <c r="L63" s="81">
        <f>VLOOKUP(B63,'OI(Value)'!$A$7:$C$232,3,0)</f>
        <v>73</v>
      </c>
      <c r="M63" s="33">
        <f t="shared" si="12"/>
        <v>1.3236627379873074</v>
      </c>
      <c r="N63" s="5">
        <f>VLOOKUP($B63,'Data Vlaue (Cr)'!$C:$FB,67)</f>
        <v>2419</v>
      </c>
      <c r="O63" s="5">
        <f>VLOOKUP($B63,'Data Vlaue (Cr)'!$C:$FB,68)</f>
        <v>2971</v>
      </c>
      <c r="P63" s="5">
        <f t="shared" si="21"/>
        <v>-22.819346837536173</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Realty</v>
      </c>
      <c r="B64" s="79" t="str">
        <f>'Data shares'!C59</f>
        <v>DLF</v>
      </c>
      <c r="C64" s="4">
        <f>VLOOKUP($B64,'Data shares'!$C:$FB,7)</f>
        <v>607.20000000000005</v>
      </c>
      <c r="D64" s="82">
        <f>VLOOKUP($B64,'Data shares'!$C:$FB,98)</f>
        <v>58447275</v>
      </c>
      <c r="E64" s="165">
        <f>VLOOKUP(B64,'Snapshot (Volume)'!$A$7:$G$168,7,0)</f>
        <v>56914250</v>
      </c>
      <c r="F64" s="165">
        <f t="shared" si="18"/>
        <v>1533025</v>
      </c>
      <c r="G64" s="166">
        <f t="shared" si="19"/>
        <v>2.6935697123303917E-2</v>
      </c>
      <c r="H64" s="165">
        <f>VLOOKUP($B64,'Data shares'!$C:$FB,66)</f>
        <v>21579525</v>
      </c>
      <c r="I64" s="165">
        <f>VLOOKUP($B64,'Data shares'!$C:$FB,67)</f>
        <v>17027175</v>
      </c>
      <c r="J64" s="81">
        <f t="shared" si="20"/>
        <v>26.73579146276467</v>
      </c>
      <c r="K64" s="5">
        <f>VLOOKUP($B64,'Data Vlaue (Cr)'!$C:$FB,99)</f>
        <v>3558</v>
      </c>
      <c r="L64" s="81">
        <f>VLOOKUP(B64,'OI(Value)'!$A$7:$C$232,3,0)</f>
        <v>93</v>
      </c>
      <c r="M64" s="33">
        <f t="shared" si="12"/>
        <v>2.6138279932546373</v>
      </c>
      <c r="N64" s="5">
        <f>VLOOKUP($B64,'Data Vlaue (Cr)'!$C:$FB,67)</f>
        <v>1314</v>
      </c>
      <c r="O64" s="5">
        <f>VLOOKUP($B64,'Data Vlaue (Cr)'!$C:$FB,68)</f>
        <v>1037</v>
      </c>
      <c r="P64" s="5">
        <f t="shared" si="21"/>
        <v>21.080669710806696</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New_Age</v>
      </c>
      <c r="B65" s="79" t="str">
        <f>'Data shares'!C60</f>
        <v>DMART</v>
      </c>
      <c r="C65" s="4">
        <f>VLOOKUP($B65,'Data shares'!$C:$FB,7)</f>
        <v>4376.5</v>
      </c>
      <c r="D65" s="82">
        <f>VLOOKUP($B65,'Data shares'!$C:$FB,98)</f>
        <v>6708900</v>
      </c>
      <c r="E65" s="165">
        <f>VLOOKUP(B65,'Snapshot (Volume)'!$A$7:$G$168,7,0)</f>
        <v>4567650</v>
      </c>
      <c r="F65" s="165">
        <f t="shared" si="18"/>
        <v>2141250</v>
      </c>
      <c r="G65" s="166">
        <f t="shared" si="19"/>
        <v>0.46878591836064498</v>
      </c>
      <c r="H65" s="165">
        <f>VLOOKUP($B65,'Data shares'!$C:$FB,66)</f>
        <v>14011950</v>
      </c>
      <c r="I65" s="165">
        <f>VLOOKUP($B65,'Data shares'!$C:$FB,67)</f>
        <v>2642100</v>
      </c>
      <c r="J65" s="81">
        <f t="shared" si="20"/>
        <v>430.33382536618598</v>
      </c>
      <c r="K65" s="5">
        <f>VLOOKUP($B65,'Data Vlaue (Cr)'!$C:$FB,99)</f>
        <v>2927</v>
      </c>
      <c r="L65" s="81">
        <f>VLOOKUP(B65,'OI(Value)'!$A$7:$C$232,3,0)</f>
        <v>934</v>
      </c>
      <c r="M65" s="33">
        <f t="shared" si="12"/>
        <v>31.909805261359754</v>
      </c>
      <c r="N65" s="5">
        <f>VLOOKUP($B65,'Data Vlaue (Cr)'!$C:$FB,67)</f>
        <v>6112</v>
      </c>
      <c r="O65" s="5">
        <f>VLOOKUP($B65,'Data Vlaue (Cr)'!$C:$FB,68)</f>
        <v>1153</v>
      </c>
      <c r="P65" s="5">
        <f t="shared" si="21"/>
        <v>81.135471204188477</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Pharma</v>
      </c>
      <c r="B66" s="79" t="str">
        <f>'Data shares'!C61</f>
        <v>DRREDDY</v>
      </c>
      <c r="C66" s="4">
        <f>VLOOKUP($B66,'Data shares'!$C:$FB,7)</f>
        <v>1287.2</v>
      </c>
      <c r="D66" s="82">
        <f>VLOOKUP($B66,'Data shares'!$C:$FB,98)</f>
        <v>29093750</v>
      </c>
      <c r="E66" s="165">
        <f>VLOOKUP(B66,'Snapshot (Volume)'!$A$7:$G$168,7,0)</f>
        <v>26166250</v>
      </c>
      <c r="F66" s="165">
        <f t="shared" si="18"/>
        <v>2927500</v>
      </c>
      <c r="G66" s="166">
        <f t="shared" si="19"/>
        <v>0.1118807624325228</v>
      </c>
      <c r="H66" s="165">
        <f>VLOOKUP($B66,'Data shares'!$C:$FB,66)</f>
        <v>22251875</v>
      </c>
      <c r="I66" s="165">
        <f>VLOOKUP($B66,'Data shares'!$C:$FB,67)</f>
        <v>14028125</v>
      </c>
      <c r="J66" s="81">
        <f t="shared" si="20"/>
        <v>58.623301403430602</v>
      </c>
      <c r="K66" s="5">
        <f>VLOOKUP($B66,'Data Vlaue (Cr)'!$C:$FB,99)</f>
        <v>3727</v>
      </c>
      <c r="L66" s="81">
        <f>VLOOKUP(B66,'OI(Value)'!$A$7:$C$232,3,0)</f>
        <v>375</v>
      </c>
      <c r="M66" s="33">
        <f t="shared" ref="M66:M93" si="22">L66/K66*100</f>
        <v>10.061711832573115</v>
      </c>
      <c r="N66" s="5">
        <f>VLOOKUP($B66,'Data Vlaue (Cr)'!$C:$FB,67)</f>
        <v>2851</v>
      </c>
      <c r="O66" s="5">
        <f>VLOOKUP($B66,'Data Vlaue (Cr)'!$C:$FB,68)</f>
        <v>1797</v>
      </c>
      <c r="P66" s="5">
        <f t="shared" si="21"/>
        <v>36.969484391441597</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EICHERMOT</v>
      </c>
      <c r="C67" s="4">
        <f>VLOOKUP($B67,'Data shares'!$C:$FB,7)</f>
        <v>7329</v>
      </c>
      <c r="D67" s="82">
        <f>VLOOKUP($B67,'Data shares'!$C:$FB,98)</f>
        <v>5384100</v>
      </c>
      <c r="E67" s="165">
        <f>VLOOKUP(B67,'Snapshot (Volume)'!$A$7:$G$168,7,0)</f>
        <v>5195800</v>
      </c>
      <c r="F67" s="165">
        <f t="shared" si="18"/>
        <v>188300</v>
      </c>
      <c r="G67" s="166">
        <f t="shared" si="19"/>
        <v>3.6240809884907042E-2</v>
      </c>
      <c r="H67" s="165">
        <f>VLOOKUP($B67,'Data shares'!$C:$FB,66)</f>
        <v>3789700</v>
      </c>
      <c r="I67" s="165">
        <f>VLOOKUP($B67,'Data shares'!$C:$FB,67)</f>
        <v>2571400</v>
      </c>
      <c r="J67" s="81">
        <f t="shared" si="20"/>
        <v>47.378859765108501</v>
      </c>
      <c r="K67" s="5">
        <f>VLOOKUP($B67,'Data Vlaue (Cr)'!$C:$FB,99)</f>
        <v>3955</v>
      </c>
      <c r="L67" s="81">
        <f>VLOOKUP(B67,'OI(Value)'!$A$7:$C$232,3,0)</f>
        <v>138</v>
      </c>
      <c r="M67" s="33">
        <f t="shared" si="22"/>
        <v>3.4892541087231352</v>
      </c>
      <c r="N67" s="5">
        <f>VLOOKUP($B67,'Data Vlaue (Cr)'!$C:$FB,67)</f>
        <v>2784</v>
      </c>
      <c r="O67" s="5">
        <f>VLOOKUP($B67,'Data Vlaue (Cr)'!$C:$FB,68)</f>
        <v>1889</v>
      </c>
      <c r="P67" s="5">
        <f t="shared" si="21"/>
        <v>32.147988505747129</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New_Age</v>
      </c>
      <c r="B68" s="79" t="str">
        <f>'Data shares'!C63</f>
        <v>ETERNAL</v>
      </c>
      <c r="C68" s="4">
        <f>VLOOKUP($B68,'Data shares'!$C:$FB,7)</f>
        <v>251.9</v>
      </c>
      <c r="D68" s="82">
        <f>VLOOKUP($B68,'Data shares'!$C:$FB,98)</f>
        <v>351685625</v>
      </c>
      <c r="E68" s="165">
        <f>VLOOKUP(B68,'Snapshot (Volume)'!$A$7:$G$168,7,0)</f>
        <v>348443400</v>
      </c>
      <c r="F68" s="165">
        <f t="shared" si="18"/>
        <v>3242225</v>
      </c>
      <c r="G68" s="166">
        <f t="shared" si="19"/>
        <v>9.3048828016257454E-3</v>
      </c>
      <c r="H68" s="165">
        <f>VLOOKUP($B68,'Data shares'!$C:$FB,66)</f>
        <v>175819775</v>
      </c>
      <c r="I68" s="165">
        <f>VLOOKUP($B68,'Data shares'!$C:$FB,67)</f>
        <v>269645450</v>
      </c>
      <c r="J68" s="81">
        <f t="shared" si="20"/>
        <v>-34.795942227098585</v>
      </c>
      <c r="K68" s="5">
        <f>VLOOKUP($B68,'Data Vlaue (Cr)'!$C:$FB,99)</f>
        <v>8909</v>
      </c>
      <c r="L68" s="81">
        <f>VLOOKUP(B68,'OI(Value)'!$A$7:$C$232,3,0)</f>
        <v>82</v>
      </c>
      <c r="M68" s="33">
        <f t="shared" si="22"/>
        <v>0.92041755528117641</v>
      </c>
      <c r="N68" s="5">
        <f>VLOOKUP($B68,'Data Vlaue (Cr)'!$C:$FB,67)</f>
        <v>4454</v>
      </c>
      <c r="O68" s="5">
        <f>VLOOKUP($B68,'Data Vlaue (Cr)'!$C:$FB,68)</f>
        <v>6831</v>
      </c>
      <c r="P68" s="5">
        <f t="shared" si="21"/>
        <v>-53.367759317467446</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Automobile</v>
      </c>
      <c r="B69" s="79" t="str">
        <f>'Data shares'!C64</f>
        <v>EXIDEIND</v>
      </c>
      <c r="C69" s="79">
        <f>VLOOKUP($B69,'Data shares'!$C:$FB,7)</f>
        <v>359.05</v>
      </c>
      <c r="D69" s="165">
        <f>VLOOKUP($B69,'Data shares'!$C:$FB,98)</f>
        <v>52383600</v>
      </c>
      <c r="E69" s="165">
        <f>VLOOKUP(B69,'Snapshot (Volume)'!$A$7:$G$168,7,0)</f>
        <v>44166600</v>
      </c>
      <c r="F69" s="165">
        <f t="shared" ref="F69:F85" si="23">D69-E69</f>
        <v>8217000</v>
      </c>
      <c r="G69" s="166">
        <f t="shared" ref="G69:G85" si="24">F69/E69</f>
        <v>0.18604556384236051</v>
      </c>
      <c r="H69" s="165">
        <f>VLOOKUP($B69,'Data shares'!$C:$FB,66)</f>
        <v>114042600</v>
      </c>
      <c r="I69" s="165">
        <f>VLOOKUP($B69,'Data shares'!$C:$FB,67)</f>
        <v>15375600</v>
      </c>
      <c r="J69" s="81">
        <f t="shared" ref="J69:J85" si="25">(H69-I69)/I69*100</f>
        <v>641.71154296417706</v>
      </c>
      <c r="K69" s="81">
        <f>VLOOKUP($B69,'Data Vlaue (Cr)'!$C:$FB,99)</f>
        <v>1888</v>
      </c>
      <c r="L69" s="81">
        <f>VLOOKUP(B69,'OI(Value)'!$A$7:$C$232,3,0)</f>
        <v>296</v>
      </c>
      <c r="M69" s="81">
        <f t="shared" si="22"/>
        <v>15.677966101694915</v>
      </c>
      <c r="N69" s="81">
        <f>VLOOKUP($B69,'Data Vlaue (Cr)'!$C:$FB,67)</f>
        <v>4110</v>
      </c>
      <c r="O69" s="81">
        <f>VLOOKUP($B69,'Data Vlaue (Cr)'!$C:$FB,68)</f>
        <v>554</v>
      </c>
      <c r="P69" s="81">
        <f t="shared" ref="P69:P85" si="26">(N69-O69)/N69*100</f>
        <v>86.520681265206818</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Banking</v>
      </c>
      <c r="B70" s="79" t="str">
        <f>'Data shares'!C65</f>
        <v>FEDERALBNK</v>
      </c>
      <c r="C70" s="79">
        <f>VLOOKUP($B70,'Data shares'!$C:$FB,7)</f>
        <v>289.14999999999998</v>
      </c>
      <c r="D70" s="165">
        <f>VLOOKUP($B70,'Data shares'!$C:$FB,98)</f>
        <v>139112500</v>
      </c>
      <c r="E70" s="165">
        <f>VLOOKUP(B70,'Snapshot (Volume)'!$A$7:$G$168,7,0)</f>
        <v>138662500</v>
      </c>
      <c r="F70" s="165">
        <f t="shared" si="23"/>
        <v>450000</v>
      </c>
      <c r="G70" s="166">
        <f t="shared" si="24"/>
        <v>3.2452898224105292E-3</v>
      </c>
      <c r="H70" s="165">
        <f>VLOOKUP($B70,'Data shares'!$C:$FB,66)</f>
        <v>71992500</v>
      </c>
      <c r="I70" s="165">
        <f>VLOOKUP($B70,'Data shares'!$C:$FB,67)</f>
        <v>129932500</v>
      </c>
      <c r="J70" s="81">
        <f t="shared" si="25"/>
        <v>-44.592384507340348</v>
      </c>
      <c r="K70" s="81">
        <f>VLOOKUP($B70,'Data Vlaue (Cr)'!$C:$FB,99)</f>
        <v>4045</v>
      </c>
      <c r="L70" s="81">
        <f>VLOOKUP(B70,'OI(Value)'!$A$7:$C$232,3,0)</f>
        <v>13</v>
      </c>
      <c r="M70" s="81">
        <f t="shared" si="22"/>
        <v>0.32138442521631644</v>
      </c>
      <c r="N70" s="81">
        <f>VLOOKUP($B70,'Data Vlaue (Cr)'!$C:$FB,67)</f>
        <v>2093</v>
      </c>
      <c r="O70" s="81">
        <f>VLOOKUP($B70,'Data Vlaue (Cr)'!$C:$FB,68)</f>
        <v>3778</v>
      </c>
      <c r="P70" s="81">
        <f t="shared" si="26"/>
        <v>-80.506450071667473</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Index</v>
      </c>
      <c r="B71" s="79" t="str">
        <f>'Data shares'!C66</f>
        <v>FINNIFTY</v>
      </c>
      <c r="C71" s="4">
        <f>VLOOKUP($B71,'Data shares'!$C:$FB,7)</f>
        <v>25814.400000000001</v>
      </c>
      <c r="D71" s="82">
        <f>VLOOKUP($B71,'Data shares'!$C:$FB,98)</f>
        <v>260880</v>
      </c>
      <c r="E71" s="165">
        <f>VLOOKUP(B71,'Snapshot (Volume)'!$A$7:$G$168,7,0)</f>
        <v>180900</v>
      </c>
      <c r="F71" s="165">
        <f t="shared" si="23"/>
        <v>79980</v>
      </c>
      <c r="G71" s="166">
        <f t="shared" si="24"/>
        <v>0.44212271973466005</v>
      </c>
      <c r="H71" s="165">
        <f>VLOOKUP($B71,'Data shares'!$C:$FB,66)</f>
        <v>470040</v>
      </c>
      <c r="I71" s="165">
        <f>VLOOKUP($B71,'Data shares'!$C:$FB,67)</f>
        <v>324180</v>
      </c>
      <c r="J71" s="81">
        <f t="shared" si="25"/>
        <v>44.993522117342216</v>
      </c>
      <c r="K71" s="5">
        <f>VLOOKUP($B71,'Data Vlaue (Cr)'!$C:$FB,99)</f>
        <v>677</v>
      </c>
      <c r="L71" s="81">
        <f>VLOOKUP(B71,'OI(Value)'!$A$7:$C$232,3,0)</f>
        <v>207</v>
      </c>
      <c r="M71" s="33">
        <f t="shared" si="22"/>
        <v>30.576070901033976</v>
      </c>
      <c r="N71" s="5">
        <f>VLOOKUP($B71,'Data Vlaue (Cr)'!$C:$FB,67)</f>
        <v>1219</v>
      </c>
      <c r="O71" s="5">
        <f>VLOOKUP($B71,'Data Vlaue (Cr)'!$C:$FB,68)</f>
        <v>841</v>
      </c>
      <c r="P71" s="5">
        <f t="shared" si="26"/>
        <v>31.009023789991797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Automobile</v>
      </c>
      <c r="B72" s="79" t="str">
        <f>'Data shares'!C67</f>
        <v>FORCEMOT</v>
      </c>
      <c r="C72" s="4">
        <f>VLOOKUP($B72,'Data shares'!$C:$FB,7)</f>
        <v>19331</v>
      </c>
      <c r="D72" s="82">
        <f>VLOOKUP($B72,'Data shares'!$C:$FB,98)</f>
        <v>497075</v>
      </c>
      <c r="E72" s="165">
        <f>VLOOKUP(B72,'Snapshot (Volume)'!$A$7:$G$168,7,0)</f>
        <v>456800</v>
      </c>
      <c r="F72" s="165">
        <f t="shared" si="23"/>
        <v>40275</v>
      </c>
      <c r="G72" s="166">
        <f t="shared" si="24"/>
        <v>8.8167688266199654E-2</v>
      </c>
      <c r="H72" s="165">
        <f>VLOOKUP($B72,'Data shares'!$C:$FB,66)</f>
        <v>353225</v>
      </c>
      <c r="I72" s="165">
        <f>VLOOKUP($B72,'Data shares'!$C:$FB,67)</f>
        <v>620575</v>
      </c>
      <c r="J72" s="81">
        <f t="shared" si="25"/>
        <v>-43.08101357611892</v>
      </c>
      <c r="K72" s="5">
        <f>VLOOKUP($B72,'Data Vlaue (Cr)'!$C:$FB,99)</f>
        <v>950</v>
      </c>
      <c r="L72" s="81">
        <f>VLOOKUP(B72,'OI(Value)'!$A$7:$C$232,3,0)</f>
        <v>77</v>
      </c>
      <c r="M72" s="33">
        <f t="shared" si="22"/>
        <v>8.1052631578947363</v>
      </c>
      <c r="N72" s="5">
        <f>VLOOKUP($B72,'Data Vlaue (Cr)'!$C:$FB,67)</f>
        <v>675</v>
      </c>
      <c r="O72" s="5">
        <f>VLOOKUP($B72,'Data Vlaue (Cr)'!$C:$FB,68)</f>
        <v>1186</v>
      </c>
      <c r="P72" s="5">
        <f t="shared" si="26"/>
        <v>-75.703703703703709</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952.9</v>
      </c>
      <c r="D73" s="82">
        <f>VLOOKUP($B73,'Data shares'!$C:$FB,98)</f>
        <v>11729625</v>
      </c>
      <c r="E73" s="165">
        <f>VLOOKUP(B73,'Snapshot (Volume)'!$A$7:$G$168,7,0)</f>
        <v>11226650</v>
      </c>
      <c r="F73" s="165">
        <f t="shared" si="23"/>
        <v>502975</v>
      </c>
      <c r="G73" s="166">
        <f t="shared" si="24"/>
        <v>4.4801877674996549E-2</v>
      </c>
      <c r="H73" s="165">
        <f>VLOOKUP($B73,'Data shares'!$C:$FB,66)</f>
        <v>5144450</v>
      </c>
      <c r="I73" s="165">
        <f>VLOOKUP($B73,'Data shares'!$C:$FB,67)</f>
        <v>2480775</v>
      </c>
      <c r="J73" s="81">
        <f t="shared" si="25"/>
        <v>107.37269603248984</v>
      </c>
      <c r="K73" s="5">
        <f>VLOOKUP($B73,'Data Vlaue (Cr)'!$C:$FB,99)</f>
        <v>1122</v>
      </c>
      <c r="L73" s="81">
        <f>VLOOKUP(B73,'OI(Value)'!$A$7:$C$232,3,0)</f>
        <v>48</v>
      </c>
      <c r="M73" s="33">
        <f t="shared" si="22"/>
        <v>4.2780748663101598</v>
      </c>
      <c r="N73" s="5">
        <f>VLOOKUP($B73,'Data Vlaue (Cr)'!$C:$FB,67)</f>
        <v>492</v>
      </c>
      <c r="O73" s="5">
        <f>VLOOKUP($B73,'Data Vlaue (Cr)'!$C:$FB,68)</f>
        <v>237</v>
      </c>
      <c r="P73" s="5">
        <f t="shared" si="26"/>
        <v>51.829268292682926</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164.48</v>
      </c>
      <c r="D74" s="82">
        <f>VLOOKUP($B74,'Data shares'!$C:$FB,98)</f>
        <v>110179200</v>
      </c>
      <c r="E74" s="165">
        <f>VLOOKUP(B74,'Snapshot (Volume)'!$A$7:$G$168,7,0)</f>
        <v>109399150</v>
      </c>
      <c r="F74" s="165">
        <f t="shared" si="23"/>
        <v>780050</v>
      </c>
      <c r="G74" s="166">
        <f t="shared" si="24"/>
        <v>7.130311341541502E-3</v>
      </c>
      <c r="H74" s="165">
        <f>VLOOKUP($B74,'Data shares'!$C:$FB,66)</f>
        <v>34665750</v>
      </c>
      <c r="I74" s="165">
        <f>VLOOKUP($B74,'Data shares'!$C:$FB,67)</f>
        <v>29191050</v>
      </c>
      <c r="J74" s="81">
        <f t="shared" si="25"/>
        <v>18.754721053199525</v>
      </c>
      <c r="K74" s="5">
        <f>VLOOKUP($B74,'Data Vlaue (Cr)'!$C:$FB,99)</f>
        <v>1822</v>
      </c>
      <c r="L74" s="81">
        <f>VLOOKUP(B74,'OI(Value)'!$A$7:$C$232,3,0)</f>
        <v>13</v>
      </c>
      <c r="M74" s="33">
        <f t="shared" si="22"/>
        <v>0.71350164654226134</v>
      </c>
      <c r="N74" s="5">
        <f>VLOOKUP($B74,'Data Vlaue (Cr)'!$C:$FB,67)</f>
        <v>573</v>
      </c>
      <c r="O74" s="5">
        <f>VLOOKUP($B74,'Data Vlaue (Cr)'!$C:$FB,68)</f>
        <v>483</v>
      </c>
      <c r="P74" s="5">
        <f t="shared" si="26"/>
        <v>15.706806282722512</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2393.6999999999998</v>
      </c>
      <c r="D75" s="82">
        <f>VLOOKUP($B75,'Data shares'!$C:$FB,98)</f>
        <v>13853625</v>
      </c>
      <c r="E75" s="165">
        <f>VLOOKUP(B75,'Snapshot (Volume)'!$A$7:$G$168,7,0)</f>
        <v>13706250</v>
      </c>
      <c r="F75" s="165">
        <f t="shared" si="23"/>
        <v>147375</v>
      </c>
      <c r="G75" s="166">
        <f t="shared" si="24"/>
        <v>1.0752393980848153E-2</v>
      </c>
      <c r="H75" s="165">
        <f>VLOOKUP($B75,'Data shares'!$C:$FB,66)</f>
        <v>2626125</v>
      </c>
      <c r="I75" s="165">
        <f>VLOOKUP($B75,'Data shares'!$C:$FB,67)</f>
        <v>4462875</v>
      </c>
      <c r="J75" s="81">
        <f t="shared" si="25"/>
        <v>-41.156205360894042</v>
      </c>
      <c r="K75" s="5">
        <f>VLOOKUP($B75,'Data Vlaue (Cr)'!$C:$FB,99)</f>
        <v>3332</v>
      </c>
      <c r="L75" s="81">
        <f>VLOOKUP(B75,'OI(Value)'!$A$7:$C$232,3,0)</f>
        <v>35</v>
      </c>
      <c r="M75" s="33">
        <f t="shared" si="22"/>
        <v>1.0504201680672269</v>
      </c>
      <c r="N75" s="5">
        <f>VLOOKUP($B75,'Data Vlaue (Cr)'!$C:$FB,67)</f>
        <v>632</v>
      </c>
      <c r="O75" s="5">
        <f>VLOOKUP($B75,'Data Vlaue (Cr)'!$C:$FB,68)</f>
        <v>1073</v>
      </c>
      <c r="P75" s="5">
        <f t="shared" si="26"/>
        <v>-69.778481012658233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98.9</v>
      </c>
      <c r="D76" s="82">
        <f>VLOOKUP($B76,'Data shares'!$C:$FB,98)</f>
        <v>228361500</v>
      </c>
      <c r="E76" s="165">
        <f>VLOOKUP(B76,'Snapshot (Volume)'!$A$7:$G$168,7,0)</f>
        <v>214174350</v>
      </c>
      <c r="F76" s="165">
        <f t="shared" si="23"/>
        <v>14187150</v>
      </c>
      <c r="G76" s="166">
        <f t="shared" si="24"/>
        <v>6.6241125512929072E-2</v>
      </c>
      <c r="H76" s="165">
        <f>VLOOKUP($B76,'Data shares'!$C:$FB,66)</f>
        <v>129421125</v>
      </c>
      <c r="I76" s="165">
        <f>VLOOKUP($B76,'Data shares'!$C:$FB,67)</f>
        <v>58457475</v>
      </c>
      <c r="J76" s="81">
        <f t="shared" si="25"/>
        <v>121.39362844529293</v>
      </c>
      <c r="K76" s="5">
        <f>VLOOKUP($B76,'Data Vlaue (Cr)'!$C:$FB,99)</f>
        <v>2263</v>
      </c>
      <c r="L76" s="81">
        <f>VLOOKUP(B76,'OI(Value)'!$A$7:$C$232,3,0)</f>
        <v>141</v>
      </c>
      <c r="M76" s="33">
        <f t="shared" si="22"/>
        <v>6.2306672558550593</v>
      </c>
      <c r="N76" s="5">
        <f>VLOOKUP($B76,'Data Vlaue (Cr)'!$C:$FB,67)</f>
        <v>1283</v>
      </c>
      <c r="O76" s="5">
        <f>VLOOKUP($B76,'Data Vlaue (Cr)'!$C:$FB,68)</f>
        <v>579</v>
      </c>
      <c r="P76" s="5">
        <f t="shared" si="26"/>
        <v>54.871395167575997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GODFRYPHLP</v>
      </c>
      <c r="C77" s="4">
        <f>VLOOKUP($B77,'Data shares'!$C:$FB,7)</f>
        <v>2216.3000000000002</v>
      </c>
      <c r="D77" s="82">
        <f>VLOOKUP($B77,'Data shares'!$C:$FB,98)</f>
        <v>2386725</v>
      </c>
      <c r="E77" s="165">
        <f>VLOOKUP(B77,'Snapshot (Volume)'!$A$7:$G$168,7,0)</f>
        <v>2327050</v>
      </c>
      <c r="F77" s="165">
        <f t="shared" si="23"/>
        <v>59675</v>
      </c>
      <c r="G77" s="166">
        <f t="shared" si="24"/>
        <v>2.5644055778775703E-2</v>
      </c>
      <c r="H77" s="165">
        <f>VLOOKUP($B77,'Data shares'!$C:$FB,66)</f>
        <v>936925</v>
      </c>
      <c r="I77" s="165">
        <f>VLOOKUP($B77,'Data shares'!$C:$FB,67)</f>
        <v>1969550</v>
      </c>
      <c r="J77" s="81">
        <f t="shared" si="25"/>
        <v>-52.429488969561575</v>
      </c>
      <c r="K77" s="5">
        <f>VLOOKUP($B77,'Data Vlaue (Cr)'!$C:$FB,99)</f>
        <v>529</v>
      </c>
      <c r="L77" s="81">
        <f>VLOOKUP(B77,'OI(Value)'!$A$7:$C$232,3,0)</f>
        <v>13</v>
      </c>
      <c r="M77" s="33">
        <f t="shared" si="22"/>
        <v>2.4574669187145557</v>
      </c>
      <c r="N77" s="5">
        <f>VLOOKUP($B77,'Data Vlaue (Cr)'!$C:$FB,67)</f>
        <v>208</v>
      </c>
      <c r="O77" s="5">
        <f>VLOOKUP($B77,'Data Vlaue (Cr)'!$C:$FB,68)</f>
        <v>437</v>
      </c>
      <c r="P77" s="5">
        <f t="shared" si="26"/>
        <v>-110.09615384615385</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FMCG</v>
      </c>
      <c r="B78" s="79" t="str">
        <f>'Data shares'!C73</f>
        <v>GODREJCP</v>
      </c>
      <c r="C78" s="4">
        <f>VLOOKUP($B78,'Data shares'!$C:$FB,7)</f>
        <v>1072.5</v>
      </c>
      <c r="D78" s="82">
        <f>VLOOKUP($B78,'Data shares'!$C:$FB,98)</f>
        <v>15140000</v>
      </c>
      <c r="E78" s="165">
        <f>VLOOKUP(B78,'Snapshot (Volume)'!$A$7:$G$168,7,0)</f>
        <v>14767000</v>
      </c>
      <c r="F78" s="165">
        <f t="shared" si="23"/>
        <v>373000</v>
      </c>
      <c r="G78" s="166">
        <f t="shared" si="24"/>
        <v>2.5259023498340895E-2</v>
      </c>
      <c r="H78" s="165">
        <f>VLOOKUP($B78,'Data shares'!$C:$FB,66)</f>
        <v>3330500</v>
      </c>
      <c r="I78" s="165">
        <f>VLOOKUP($B78,'Data shares'!$C:$FB,67)</f>
        <v>5291000</v>
      </c>
      <c r="J78" s="81">
        <f t="shared" si="25"/>
        <v>-37.053487053487054</v>
      </c>
      <c r="K78" s="5">
        <f>VLOOKUP($B78,'Data Vlaue (Cr)'!$C:$FB,99)</f>
        <v>1626</v>
      </c>
      <c r="L78" s="81">
        <f>VLOOKUP(B78,'OI(Value)'!$A$7:$C$232,3,0)</f>
        <v>40</v>
      </c>
      <c r="M78" s="33">
        <f t="shared" si="22"/>
        <v>2.4600246002460024</v>
      </c>
      <c r="N78" s="5">
        <f>VLOOKUP($B78,'Data Vlaue (Cr)'!$C:$FB,67)</f>
        <v>358</v>
      </c>
      <c r="O78" s="5">
        <f>VLOOKUP($B78,'Data Vlaue (Cr)'!$C:$FB,68)</f>
        <v>568</v>
      </c>
      <c r="P78" s="5">
        <f t="shared" si="26"/>
        <v>-58.659217877094974</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Realty</v>
      </c>
      <c r="B79" s="79" t="str">
        <f>'Data shares'!C74</f>
        <v>GODREJPROP</v>
      </c>
      <c r="C79" s="4">
        <f>VLOOKUP($B79,'Data shares'!$C:$FB,7)</f>
        <v>1899.8</v>
      </c>
      <c r="D79" s="82">
        <f>VLOOKUP($B79,'Data shares'!$C:$FB,98)</f>
        <v>11331475</v>
      </c>
      <c r="E79" s="165">
        <f>VLOOKUP(B79,'Snapshot (Volume)'!$A$7:$G$168,7,0)</f>
        <v>9440225</v>
      </c>
      <c r="F79" s="165">
        <f t="shared" si="23"/>
        <v>1891250</v>
      </c>
      <c r="G79" s="166">
        <f t="shared" si="24"/>
        <v>0.20033950461985811</v>
      </c>
      <c r="H79" s="165">
        <f>VLOOKUP($B79,'Data shares'!$C:$FB,66)</f>
        <v>25533750</v>
      </c>
      <c r="I79" s="165">
        <f>VLOOKUP($B79,'Data shares'!$C:$FB,67)</f>
        <v>3601400</v>
      </c>
      <c r="J79" s="81">
        <f t="shared" si="25"/>
        <v>608.99511301160658</v>
      </c>
      <c r="K79" s="5">
        <f>VLOOKUP($B79,'Data Vlaue (Cr)'!$C:$FB,99)</f>
        <v>2165</v>
      </c>
      <c r="L79" s="81">
        <f>VLOOKUP(B79,'OI(Value)'!$A$7:$C$232,3,0)</f>
        <v>361</v>
      </c>
      <c r="M79" s="33">
        <f t="shared" si="22"/>
        <v>16.674364896073904</v>
      </c>
      <c r="N79" s="5">
        <f>VLOOKUP($B79,'Data Vlaue (Cr)'!$C:$FB,67)</f>
        <v>4879</v>
      </c>
      <c r="O79" s="5">
        <f>VLOOKUP($B79,'Data Vlaue (Cr)'!$C:$FB,68)</f>
        <v>688</v>
      </c>
      <c r="P79" s="5">
        <f t="shared" si="26"/>
        <v>85.898749743799968</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2856</v>
      </c>
      <c r="D80" s="82">
        <f>VLOOKUP($B80,'Data shares'!$C:$FB,98)</f>
        <v>16554750</v>
      </c>
      <c r="E80" s="165">
        <f>VLOOKUP(B80,'Snapshot (Volume)'!$A$7:$G$168,7,0)</f>
        <v>16192500</v>
      </c>
      <c r="F80" s="165">
        <f t="shared" si="23"/>
        <v>362250</v>
      </c>
      <c r="G80" s="166">
        <f t="shared" si="24"/>
        <v>2.2371468272348309E-2</v>
      </c>
      <c r="H80" s="165">
        <f>VLOOKUP($B80,'Data shares'!$C:$FB,66)</f>
        <v>3712500</v>
      </c>
      <c r="I80" s="165">
        <f>VLOOKUP($B80,'Data shares'!$C:$FB,67)</f>
        <v>2108250</v>
      </c>
      <c r="J80" s="81">
        <f t="shared" si="25"/>
        <v>76.09391675560299</v>
      </c>
      <c r="K80" s="5">
        <f>VLOOKUP($B80,'Data Vlaue (Cr)'!$C:$FB,99)</f>
        <v>4754</v>
      </c>
      <c r="L80" s="81">
        <f>VLOOKUP(B80,'OI(Value)'!$A$7:$C$232,3,0)</f>
        <v>104</v>
      </c>
      <c r="M80" s="33">
        <f t="shared" si="22"/>
        <v>2.1876314682372739</v>
      </c>
      <c r="N80" s="5">
        <f>VLOOKUP($B80,'Data Vlaue (Cr)'!$C:$FB,67)</f>
        <v>1066</v>
      </c>
      <c r="O80" s="5">
        <f>VLOOKUP($B80,'Data Vlaue (Cr)'!$C:$FB,68)</f>
        <v>605</v>
      </c>
      <c r="P80" s="5">
        <f t="shared" si="26"/>
        <v>43.245778611632268</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4559.5</v>
      </c>
      <c r="D81" s="82">
        <f>VLOOKUP($B81,'Data shares'!$C:$FB,98)</f>
        <v>10973250</v>
      </c>
      <c r="E81" s="165">
        <f>VLOOKUP(B81,'Snapshot (Volume)'!$A$7:$G$168,7,0)</f>
        <v>10270050</v>
      </c>
      <c r="F81" s="165">
        <f t="shared" si="23"/>
        <v>703200</v>
      </c>
      <c r="G81" s="166">
        <f t="shared" si="24"/>
        <v>6.8470942205734145E-2</v>
      </c>
      <c r="H81" s="165">
        <f>VLOOKUP($B81,'Data shares'!$C:$FB,66)</f>
        <v>18061350</v>
      </c>
      <c r="I81" s="165">
        <f>VLOOKUP($B81,'Data shares'!$C:$FB,67)</f>
        <v>3999600</v>
      </c>
      <c r="J81" s="81">
        <f t="shared" si="25"/>
        <v>351.57890789078908</v>
      </c>
      <c r="K81" s="5">
        <f>VLOOKUP($B81,'Data Vlaue (Cr)'!$C:$FB,99)</f>
        <v>5026</v>
      </c>
      <c r="L81" s="81">
        <f>VLOOKUP(B81,'OI(Value)'!$A$7:$C$232,3,0)</f>
        <v>322</v>
      </c>
      <c r="M81" s="33">
        <f t="shared" si="22"/>
        <v>6.4066852367688023</v>
      </c>
      <c r="N81" s="5">
        <f>VLOOKUP($B81,'Data Vlaue (Cr)'!$C:$FB,67)</f>
        <v>8272</v>
      </c>
      <c r="O81" s="5">
        <f>VLOOKUP($B81,'Data Vlaue (Cr)'!$C:$FB,68)</f>
        <v>1832</v>
      </c>
      <c r="P81" s="5">
        <f t="shared" si="26"/>
        <v>77.852998065764027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1256.5999999999999</v>
      </c>
      <c r="D82" s="82">
        <f>VLOOKUP($B82,'Data shares'!$C:$FB,98)</f>
        <v>17809000</v>
      </c>
      <c r="E82" s="165">
        <f>VLOOKUP(B82,'Snapshot (Volume)'!$A$7:$G$168,7,0)</f>
        <v>17685500</v>
      </c>
      <c r="F82" s="165">
        <f t="shared" si="23"/>
        <v>123500</v>
      </c>
      <c r="G82" s="166">
        <f t="shared" si="24"/>
        <v>6.9831217664188174E-3</v>
      </c>
      <c r="H82" s="165">
        <f>VLOOKUP($B82,'Data shares'!$C:$FB,66)</f>
        <v>5089000</v>
      </c>
      <c r="I82" s="165">
        <f>VLOOKUP($B82,'Data shares'!$C:$FB,67)</f>
        <v>5814500</v>
      </c>
      <c r="J82" s="81">
        <f t="shared" si="25"/>
        <v>-12.477427121850546</v>
      </c>
      <c r="K82" s="5">
        <f>VLOOKUP($B82,'Data Vlaue (Cr)'!$C:$FB,99)</f>
        <v>2238</v>
      </c>
      <c r="L82" s="81">
        <f>VLOOKUP(B82,'OI(Value)'!$A$7:$C$232,3,0)</f>
        <v>16</v>
      </c>
      <c r="M82" s="33">
        <f t="shared" si="22"/>
        <v>0.71492403932082216</v>
      </c>
      <c r="N82" s="5">
        <f>VLOOKUP($B82,'Data Vlaue (Cr)'!$C:$FB,67)</f>
        <v>639</v>
      </c>
      <c r="O82" s="5">
        <f>VLOOKUP($B82,'Data Vlaue (Cr)'!$C:$FB,68)</f>
        <v>731</v>
      </c>
      <c r="P82" s="5">
        <f t="shared" si="26"/>
        <v>-14.397496087636933</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1200.5</v>
      </c>
      <c r="D83" s="82">
        <f>VLOOKUP($B83,'Data shares'!$C:$FB,98)</f>
        <v>77653550</v>
      </c>
      <c r="E83" s="165">
        <f>VLOOKUP(B83,'Snapshot (Volume)'!$A$7:$G$168,7,0)</f>
        <v>75565500</v>
      </c>
      <c r="F83" s="165">
        <f t="shared" si="23"/>
        <v>2088050</v>
      </c>
      <c r="G83" s="166">
        <f t="shared" si="24"/>
        <v>2.7632318981545813E-2</v>
      </c>
      <c r="H83" s="165">
        <f>VLOOKUP($B83,'Data shares'!$C:$FB,66)</f>
        <v>21876050</v>
      </c>
      <c r="I83" s="165">
        <f>VLOOKUP($B83,'Data shares'!$C:$FB,67)</f>
        <v>24849650</v>
      </c>
      <c r="J83" s="81">
        <f t="shared" si="25"/>
        <v>-11.966365723460894</v>
      </c>
      <c r="K83" s="5">
        <f>VLOOKUP($B83,'Data Vlaue (Cr)'!$C:$FB,99)</f>
        <v>9329</v>
      </c>
      <c r="L83" s="81">
        <f>VLOOKUP(B83,'OI(Value)'!$A$7:$C$232,3,0)</f>
        <v>251</v>
      </c>
      <c r="M83" s="33">
        <f t="shared" si="22"/>
        <v>2.6905348911994853</v>
      </c>
      <c r="N83" s="5">
        <f>VLOOKUP($B83,'Data Vlaue (Cr)'!$C:$FB,67)</f>
        <v>2628</v>
      </c>
      <c r="O83" s="5">
        <f>VLOOKUP($B83,'Data Vlaue (Cr)'!$C:$FB,68)</f>
        <v>2985</v>
      </c>
      <c r="P83" s="5">
        <f t="shared" si="26"/>
        <v>-13.584474885844749</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2753.6</v>
      </c>
      <c r="D84" s="82">
        <f>VLOOKUP($B84,'Data shares'!$C:$FB,98)</f>
        <v>6931800</v>
      </c>
      <c r="E84" s="165">
        <f>VLOOKUP(B84,'Snapshot (Volume)'!$A$7:$G$168,7,0)</f>
        <v>6687300</v>
      </c>
      <c r="F84" s="165">
        <f t="shared" si="23"/>
        <v>244500</v>
      </c>
      <c r="G84" s="166">
        <f t="shared" si="24"/>
        <v>3.6561841101789963E-2</v>
      </c>
      <c r="H84" s="165">
        <f>VLOOKUP($B84,'Data shares'!$C:$FB,66)</f>
        <v>1727400</v>
      </c>
      <c r="I84" s="165">
        <f>VLOOKUP($B84,'Data shares'!$C:$FB,67)</f>
        <v>1994400</v>
      </c>
      <c r="J84" s="81">
        <f t="shared" si="25"/>
        <v>-13.387484957882071</v>
      </c>
      <c r="K84" s="5">
        <f>VLOOKUP($B84,'Data Vlaue (Cr)'!$C:$FB,99)</f>
        <v>1920</v>
      </c>
      <c r="L84" s="81">
        <f>VLOOKUP(B84,'OI(Value)'!$A$7:$C$232,3,0)</f>
        <v>68</v>
      </c>
      <c r="M84" s="33">
        <f t="shared" si="22"/>
        <v>3.5416666666666665</v>
      </c>
      <c r="N84" s="5">
        <f>VLOOKUP($B84,'Data Vlaue (Cr)'!$C:$FB,67)</f>
        <v>478</v>
      </c>
      <c r="O84" s="5">
        <f>VLOOKUP($B84,'Data Vlaue (Cr)'!$C:$FB,68)</f>
        <v>552</v>
      </c>
      <c r="P84" s="5">
        <f t="shared" si="26"/>
        <v>-15.481171548117153</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779.4</v>
      </c>
      <c r="D85" s="82">
        <f>VLOOKUP($B85,'Data shares'!$C:$FB,98)</f>
        <v>441155500</v>
      </c>
      <c r="E85" s="165">
        <f>VLOOKUP(B85,'Snapshot (Volume)'!$A$7:$G$168,7,0)</f>
        <v>432345350</v>
      </c>
      <c r="F85" s="165">
        <f t="shared" si="23"/>
        <v>8810150</v>
      </c>
      <c r="G85" s="166">
        <f t="shared" si="24"/>
        <v>2.0377575472940786E-2</v>
      </c>
      <c r="H85" s="165">
        <f>VLOOKUP($B85,'Data shares'!$C:$FB,66)</f>
        <v>114604050</v>
      </c>
      <c r="I85" s="165">
        <f>VLOOKUP($B85,'Data shares'!$C:$FB,67)</f>
        <v>135867050</v>
      </c>
      <c r="J85" s="81">
        <f t="shared" si="25"/>
        <v>-15.649857710165932</v>
      </c>
      <c r="K85" s="5">
        <f>VLOOKUP($B85,'Data Vlaue (Cr)'!$C:$FB,99)</f>
        <v>34529</v>
      </c>
      <c r="L85" s="81">
        <f>VLOOKUP(B85,'OI(Value)'!$A$7:$C$232,3,0)</f>
        <v>690</v>
      </c>
      <c r="M85" s="33">
        <f t="shared" si="22"/>
        <v>1.9983202525413419</v>
      </c>
      <c r="N85" s="5">
        <f>VLOOKUP($B85,'Data Vlaue (Cr)'!$C:$FB,67)</f>
        <v>8970</v>
      </c>
      <c r="O85" s="5">
        <f>VLOOKUP($B85,'Data Vlaue (Cr)'!$C:$FB,68)</f>
        <v>10634</v>
      </c>
      <c r="P85" s="5">
        <f t="shared" si="26"/>
        <v>-18.55072463768116</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588.35</v>
      </c>
      <c r="D86" s="82">
        <f>VLOOKUP($B86,'Data shares'!$C:$FB,98)</f>
        <v>66485100</v>
      </c>
      <c r="E86" s="165">
        <f>VLOOKUP(B86,'Snapshot (Volume)'!$A$7:$G$168,7,0)</f>
        <v>63787900</v>
      </c>
      <c r="F86" s="165">
        <f t="shared" ref="F86:F96" si="27">D86-E86</f>
        <v>2697200</v>
      </c>
      <c r="G86" s="166">
        <f t="shared" ref="G86:G96" si="28">F86/E86</f>
        <v>4.2283881425787651E-2</v>
      </c>
      <c r="H86" s="165">
        <f>VLOOKUP($B86,'Data shares'!$C:$FB,66)</f>
        <v>14672900</v>
      </c>
      <c r="I86" s="165">
        <f>VLOOKUP($B86,'Data shares'!$C:$FB,67)</f>
        <v>24174700</v>
      </c>
      <c r="J86" s="81">
        <f t="shared" ref="J86:J96" si="29">(H86-I86)/I86*100</f>
        <v>-39.304727669836645</v>
      </c>
      <c r="K86" s="5">
        <f>VLOOKUP($B86,'Data Vlaue (Cr)'!$C:$FB,99)</f>
        <v>3934</v>
      </c>
      <c r="L86" s="81">
        <f>VLOOKUP(B86,'OI(Value)'!$A$7:$C$232,3,0)</f>
        <v>160</v>
      </c>
      <c r="M86" s="33">
        <f t="shared" si="22"/>
        <v>4.0671072699542448</v>
      </c>
      <c r="N86" s="5">
        <f>VLOOKUP($B86,'Data Vlaue (Cr)'!$C:$FB,67)</f>
        <v>868</v>
      </c>
      <c r="O86" s="5">
        <f>VLOOKUP($B86,'Data Vlaue (Cr)'!$C:$FB,68)</f>
        <v>1431</v>
      </c>
      <c r="P86" s="5">
        <f t="shared" ref="P86:P96" si="30">(N86-O86)/N86*100</f>
        <v>-64.861751152073737</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5066.5</v>
      </c>
      <c r="D87" s="82">
        <f>VLOOKUP($B87,'Data shares'!$C:$FB,98)</f>
        <v>6867150</v>
      </c>
      <c r="E87" s="165">
        <f>VLOOKUP(B87,'Snapshot (Volume)'!$A$7:$G$168,7,0)</f>
        <v>6228300</v>
      </c>
      <c r="F87" s="165">
        <f t="shared" si="27"/>
        <v>638850</v>
      </c>
      <c r="G87" s="166">
        <f t="shared" si="28"/>
        <v>0.10257213043687684</v>
      </c>
      <c r="H87" s="165">
        <f>VLOOKUP($B87,'Data shares'!$C:$FB,66)</f>
        <v>5749650</v>
      </c>
      <c r="I87" s="165">
        <f>VLOOKUP($B87,'Data shares'!$C:$FB,67)</f>
        <v>3430950</v>
      </c>
      <c r="J87" s="81">
        <f t="shared" si="29"/>
        <v>67.581865081099991</v>
      </c>
      <c r="K87" s="5">
        <f>VLOOKUP($B87,'Data Vlaue (Cr)'!$C:$FB,99)</f>
        <v>3490</v>
      </c>
      <c r="L87" s="81">
        <f>VLOOKUP(B87,'OI(Value)'!$A$7:$C$232,3,0)</f>
        <v>325</v>
      </c>
      <c r="M87" s="33">
        <f t="shared" si="22"/>
        <v>9.3123209169054437</v>
      </c>
      <c r="N87" s="5">
        <f>VLOOKUP($B87,'Data Vlaue (Cr)'!$C:$FB,67)</f>
        <v>2922</v>
      </c>
      <c r="O87" s="5">
        <f>VLOOKUP($B87,'Data Vlaue (Cr)'!$C:$FB,68)</f>
        <v>1744</v>
      </c>
      <c r="P87" s="5">
        <f t="shared" si="30"/>
        <v>40.314852840520196</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HINDALCO</v>
      </c>
      <c r="C88" s="4">
        <f>VLOOKUP($B88,'Data shares'!$C:$FB,7)</f>
        <v>1042.7</v>
      </c>
      <c r="D88" s="82">
        <f>VLOOKUP($B88,'Data shares'!$C:$FB,98)</f>
        <v>45077900</v>
      </c>
      <c r="E88" s="165">
        <f>VLOOKUP(B88,'Snapshot (Volume)'!$A$7:$G$168,7,0)</f>
        <v>43481200</v>
      </c>
      <c r="F88" s="165">
        <f t="shared" si="27"/>
        <v>1596700</v>
      </c>
      <c r="G88" s="166">
        <f t="shared" si="28"/>
        <v>3.6721617618648977E-2</v>
      </c>
      <c r="H88" s="165">
        <f>VLOOKUP($B88,'Data shares'!$C:$FB,66)</f>
        <v>18769800</v>
      </c>
      <c r="I88" s="165">
        <f>VLOOKUP($B88,'Data shares'!$C:$FB,67)</f>
        <v>24423700</v>
      </c>
      <c r="J88" s="81">
        <f t="shared" si="29"/>
        <v>-23.149236192714454</v>
      </c>
      <c r="K88" s="5">
        <f>VLOOKUP($B88,'Data Vlaue (Cr)'!$C:$FB,99)</f>
        <v>4726</v>
      </c>
      <c r="L88" s="81">
        <f>VLOOKUP(B88,'OI(Value)'!$A$7:$C$232,3,0)</f>
        <v>167</v>
      </c>
      <c r="M88" s="33">
        <f t="shared" si="22"/>
        <v>3.5336436732966567</v>
      </c>
      <c r="N88" s="5">
        <f>VLOOKUP($B88,'Data Vlaue (Cr)'!$C:$FB,67)</f>
        <v>1968</v>
      </c>
      <c r="O88" s="5">
        <f>VLOOKUP($B88,'Data Vlaue (Cr)'!$C:$FB,68)</f>
        <v>2561</v>
      </c>
      <c r="P88" s="5">
        <f t="shared" si="30"/>
        <v>-30.132113821138212</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Oil_Gas</v>
      </c>
      <c r="B89" s="79" t="str">
        <f>'Data shares'!C84</f>
        <v>HINDPETRO</v>
      </c>
      <c r="C89" s="4">
        <f>VLOOKUP($B89,'Data shares'!$C:$FB,7)</f>
        <v>373.85</v>
      </c>
      <c r="D89" s="82">
        <f>VLOOKUP($B89,'Data shares'!$C:$FB,98)</f>
        <v>58763475</v>
      </c>
      <c r="E89" s="165">
        <f>VLOOKUP(B89,'Snapshot (Volume)'!$A$7:$G$168,7,0)</f>
        <v>53407350</v>
      </c>
      <c r="F89" s="165">
        <f t="shared" si="27"/>
        <v>5356125</v>
      </c>
      <c r="G89" s="166">
        <f t="shared" si="28"/>
        <v>0.10028816258436339</v>
      </c>
      <c r="H89" s="165">
        <f>VLOOKUP($B89,'Data shares'!$C:$FB,66)</f>
        <v>20634750</v>
      </c>
      <c r="I89" s="165">
        <f>VLOOKUP($B89,'Data shares'!$C:$FB,67)</f>
        <v>24737400</v>
      </c>
      <c r="J89" s="81">
        <f t="shared" si="29"/>
        <v>-16.584806810740012</v>
      </c>
      <c r="K89" s="5">
        <f>VLOOKUP($B89,'Data Vlaue (Cr)'!$C:$FB,99)</f>
        <v>2210</v>
      </c>
      <c r="L89" s="81">
        <f>VLOOKUP(B89,'OI(Value)'!$A$7:$C$232,3,0)</f>
        <v>201</v>
      </c>
      <c r="M89" s="33">
        <f t="shared" si="22"/>
        <v>9.0950226244343888</v>
      </c>
      <c r="N89" s="5">
        <f>VLOOKUP($B89,'Data Vlaue (Cr)'!$C:$FB,67)</f>
        <v>776</v>
      </c>
      <c r="O89" s="5">
        <f>VLOOKUP($B89,'Data Vlaue (Cr)'!$C:$FB,68)</f>
        <v>930</v>
      </c>
      <c r="P89" s="5">
        <f t="shared" si="30"/>
        <v>-19.845360824742269</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FMCG</v>
      </c>
      <c r="B90" s="79" t="str">
        <f>'Data shares'!C85</f>
        <v>HINDUNILVR</v>
      </c>
      <c r="C90" s="4">
        <f>VLOOKUP($B90,'Data shares'!$C:$FB,7)</f>
        <v>2309.3000000000002</v>
      </c>
      <c r="D90" s="82">
        <f>VLOOKUP($B90,'Data shares'!$C:$FB,98)</f>
        <v>26374200</v>
      </c>
      <c r="E90" s="165">
        <f>VLOOKUP(B90,'Snapshot (Volume)'!$A$7:$G$168,7,0)</f>
        <v>26981700</v>
      </c>
      <c r="F90" s="165">
        <f t="shared" si="27"/>
        <v>-607500</v>
      </c>
      <c r="G90" s="166">
        <f t="shared" si="28"/>
        <v>-2.251526034312145E-2</v>
      </c>
      <c r="H90" s="165">
        <f>VLOOKUP($B90,'Data shares'!$C:$FB,66)</f>
        <v>49271100</v>
      </c>
      <c r="I90" s="165">
        <f>VLOOKUP($B90,'Data shares'!$C:$FB,67)</f>
        <v>76617000</v>
      </c>
      <c r="J90" s="81">
        <f t="shared" si="29"/>
        <v>-35.691687223462154</v>
      </c>
      <c r="K90" s="5">
        <f>VLOOKUP($B90,'Data Vlaue (Cr)'!$C:$FB,99)</f>
        <v>6119</v>
      </c>
      <c r="L90" s="81">
        <f>VLOOKUP(B90,'OI(Value)'!$A$7:$C$232,3,0)</f>
        <v>-141</v>
      </c>
      <c r="M90" s="33">
        <f t="shared" si="22"/>
        <v>-2.3042980879228634</v>
      </c>
      <c r="N90" s="5">
        <f>VLOOKUP($B90,'Data Vlaue (Cr)'!$C:$FB,67)</f>
        <v>11432</v>
      </c>
      <c r="O90" s="5">
        <f>VLOOKUP($B90,'Data Vlaue (Cr)'!$C:$FB,68)</f>
        <v>17777</v>
      </c>
      <c r="P90" s="5">
        <f t="shared" si="30"/>
        <v>-55.502099370188937</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Metals</v>
      </c>
      <c r="B91" s="79" t="str">
        <f>'Data shares'!C86</f>
        <v>HINDZINC</v>
      </c>
      <c r="C91" s="4">
        <f>VLOOKUP($B91,'Data shares'!$C:$FB,7)</f>
        <v>605.54999999999995</v>
      </c>
      <c r="D91" s="82">
        <f>VLOOKUP($B91,'Data shares'!$C:$FB,98)</f>
        <v>61272050</v>
      </c>
      <c r="E91" s="165">
        <f>VLOOKUP(B91,'Snapshot (Volume)'!$A$7:$G$168,7,0)</f>
        <v>60729375</v>
      </c>
      <c r="F91" s="165">
        <f t="shared" si="27"/>
        <v>542675</v>
      </c>
      <c r="G91" s="166">
        <f t="shared" si="28"/>
        <v>8.935955622793746E-3</v>
      </c>
      <c r="H91" s="165">
        <f>VLOOKUP($B91,'Data shares'!$C:$FB,66)</f>
        <v>30280775</v>
      </c>
      <c r="I91" s="165">
        <f>VLOOKUP($B91,'Data shares'!$C:$FB,67)</f>
        <v>39441325</v>
      </c>
      <c r="J91" s="81">
        <f t="shared" si="29"/>
        <v>-23.225766375749295</v>
      </c>
      <c r="K91" s="5">
        <f>VLOOKUP($B91,'Data Vlaue (Cr)'!$C:$FB,99)</f>
        <v>3722</v>
      </c>
      <c r="L91" s="81">
        <f>VLOOKUP(B91,'OI(Value)'!$A$7:$C$232,3,0)</f>
        <v>33</v>
      </c>
      <c r="M91" s="33">
        <f t="shared" si="22"/>
        <v>0.88662009672219233</v>
      </c>
      <c r="N91" s="5">
        <f>VLOOKUP($B91,'Data Vlaue (Cr)'!$C:$FB,67)</f>
        <v>1840</v>
      </c>
      <c r="O91" s="5">
        <f>VLOOKUP($B91,'Data Vlaue (Cr)'!$C:$FB,68)</f>
        <v>2396</v>
      </c>
      <c r="P91" s="5">
        <f t="shared" si="30"/>
        <v>-30.217391304347824</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Automobile</v>
      </c>
      <c r="B92" s="79" t="str">
        <f>'Data shares'!C87</f>
        <v>HYUNDAI</v>
      </c>
      <c r="C92" s="4">
        <f>VLOOKUP($B92,'Data shares'!$C:$FB,7)</f>
        <v>1844.5</v>
      </c>
      <c r="D92" s="82">
        <f>VLOOKUP($B92,'Data shares'!$C:$FB,98)</f>
        <v>9809250</v>
      </c>
      <c r="E92" s="165">
        <f>VLOOKUP(B92,'Snapshot (Volume)'!$A$7:$G$168,7,0)</f>
        <v>9714375</v>
      </c>
      <c r="F92" s="165">
        <f t="shared" si="27"/>
        <v>94875</v>
      </c>
      <c r="G92" s="166">
        <f t="shared" si="28"/>
        <v>9.7664543524416132E-3</v>
      </c>
      <c r="H92" s="165">
        <f>VLOOKUP($B92,'Data shares'!$C:$FB,66)</f>
        <v>2664475</v>
      </c>
      <c r="I92" s="165">
        <f>VLOOKUP($B92,'Data shares'!$C:$FB,67)</f>
        <v>1861475</v>
      </c>
      <c r="J92" s="81">
        <f t="shared" si="29"/>
        <v>43.137834244349236</v>
      </c>
      <c r="K92" s="5">
        <f>VLOOKUP($B92,'Data Vlaue (Cr)'!$C:$FB,99)</f>
        <v>1781</v>
      </c>
      <c r="L92" s="81">
        <f>VLOOKUP(B92,'OI(Value)'!$A$7:$C$232,3,0)</f>
        <v>17</v>
      </c>
      <c r="M92" s="33">
        <f t="shared" si="22"/>
        <v>0.95451993262212242</v>
      </c>
      <c r="N92" s="5">
        <f>VLOOKUP($B92,'Data Vlaue (Cr)'!$C:$FB,67)</f>
        <v>484</v>
      </c>
      <c r="O92" s="5">
        <f>VLOOKUP($B92,'Data Vlaue (Cr)'!$C:$FB,68)</f>
        <v>338</v>
      </c>
      <c r="P92" s="5">
        <f t="shared" si="30"/>
        <v>30.165289256198346</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ICICIBANK</v>
      </c>
      <c r="C93" s="4">
        <f>VLOOKUP($B93,'Data shares'!$C:$FB,7)</f>
        <v>1270.8</v>
      </c>
      <c r="D93" s="82">
        <f>VLOOKUP($B93,'Data shares'!$C:$FB,98)</f>
        <v>189903000</v>
      </c>
      <c r="E93" s="165">
        <f>VLOOKUP(B93,'Snapshot (Volume)'!$A$7:$G$168,7,0)</f>
        <v>182186200</v>
      </c>
      <c r="F93" s="165">
        <f t="shared" si="27"/>
        <v>7716800</v>
      </c>
      <c r="G93" s="166">
        <f t="shared" si="28"/>
        <v>4.2356665872607259E-2</v>
      </c>
      <c r="H93" s="165">
        <f>VLOOKUP($B93,'Data shares'!$C:$FB,66)</f>
        <v>53535300</v>
      </c>
      <c r="I93" s="165">
        <f>VLOOKUP($B93,'Data shares'!$C:$FB,67)</f>
        <v>65252600</v>
      </c>
      <c r="J93" s="81">
        <f t="shared" si="29"/>
        <v>-17.956832371430412</v>
      </c>
      <c r="K93" s="5">
        <f>VLOOKUP($B93,'Data Vlaue (Cr)'!$C:$FB,99)</f>
        <v>24275</v>
      </c>
      <c r="L93" s="81">
        <f>VLOOKUP(B93,'OI(Value)'!$A$7:$C$232,3,0)</f>
        <v>986</v>
      </c>
      <c r="M93" s="33">
        <f t="shared" si="22"/>
        <v>4.0617919670442841</v>
      </c>
      <c r="N93" s="5">
        <f>VLOOKUP($B93,'Data Vlaue (Cr)'!$C:$FB,67)</f>
        <v>6843</v>
      </c>
      <c r="O93" s="5">
        <f>VLOOKUP($B93,'Data Vlaue (Cr)'!$C:$FB,68)</f>
        <v>8341</v>
      </c>
      <c r="P93" s="5">
        <f t="shared" si="30"/>
        <v>-21.890983486774807</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Finance</v>
      </c>
      <c r="B94" s="79" t="str">
        <f>'Data shares'!C89</f>
        <v>ICICIGI</v>
      </c>
      <c r="C94" s="4">
        <f>VLOOKUP($B94,'Data shares'!$C:$FB,7)</f>
        <v>1756.8</v>
      </c>
      <c r="D94" s="82">
        <f>VLOOKUP($B94,'Data shares'!$C:$FB,98)</f>
        <v>6164925</v>
      </c>
      <c r="E94" s="165">
        <f>VLOOKUP(B94,'Snapshot (Volume)'!$A$7:$G$168,7,0)</f>
        <v>6011525</v>
      </c>
      <c r="F94" s="165">
        <f t="shared" si="27"/>
        <v>153400</v>
      </c>
      <c r="G94" s="166">
        <f t="shared" si="28"/>
        <v>2.5517651511055846E-2</v>
      </c>
      <c r="H94" s="165">
        <f>VLOOKUP($B94,'Data shares'!$C:$FB,66)</f>
        <v>1346800</v>
      </c>
      <c r="I94" s="165">
        <f>VLOOKUP($B94,'Data shares'!$C:$FB,67)</f>
        <v>1091675</v>
      </c>
      <c r="J94" s="81">
        <f t="shared" si="29"/>
        <v>23.370050610300687</v>
      </c>
      <c r="K94" s="5">
        <f>VLOOKUP($B94,'Data Vlaue (Cr)'!$C:$FB,99)</f>
        <v>1086</v>
      </c>
      <c r="L94" s="81">
        <f>VLOOKUP(B94,'OI(Value)'!$A$7:$C$232,3,0)</f>
        <v>27</v>
      </c>
      <c r="M94" s="33">
        <f t="shared" ref="M94:M122" si="31">L94/K94*100</f>
        <v>2.4861878453038675</v>
      </c>
      <c r="N94" s="5">
        <f>VLOOKUP($B94,'Data Vlaue (Cr)'!$C:$FB,67)</f>
        <v>237</v>
      </c>
      <c r="O94" s="5">
        <f>VLOOKUP($B94,'Data Vlaue (Cr)'!$C:$FB,68)</f>
        <v>192</v>
      </c>
      <c r="P94" s="5">
        <f t="shared" si="30"/>
        <v>18.9873417721519</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ICICIPRULI</v>
      </c>
      <c r="C95" s="4">
        <f>VLOOKUP($B95,'Data shares'!$C:$FB,7)</f>
        <v>535.54999999999995</v>
      </c>
      <c r="D95" s="82">
        <f>VLOOKUP($B95,'Data shares'!$C:$FB,98)</f>
        <v>26062800</v>
      </c>
      <c r="E95" s="165">
        <f>VLOOKUP(B95,'Snapshot (Volume)'!$A$7:$G$168,7,0)</f>
        <v>25558675</v>
      </c>
      <c r="F95" s="165">
        <f t="shared" si="27"/>
        <v>504125</v>
      </c>
      <c r="G95" s="166">
        <f t="shared" si="28"/>
        <v>1.9724222793239477E-2</v>
      </c>
      <c r="H95" s="165">
        <f>VLOOKUP($B95,'Data shares'!$C:$FB,66)</f>
        <v>12377425</v>
      </c>
      <c r="I95" s="165">
        <f>VLOOKUP($B95,'Data shares'!$C:$FB,67)</f>
        <v>5636950</v>
      </c>
      <c r="J95" s="81">
        <f t="shared" si="29"/>
        <v>119.57663275352806</v>
      </c>
      <c r="K95" s="5">
        <f>VLOOKUP($B95,'Data Vlaue (Cr)'!$C:$FB,99)</f>
        <v>1403</v>
      </c>
      <c r="L95" s="81">
        <f>VLOOKUP(B95,'OI(Value)'!$A$7:$C$232,3,0)</f>
        <v>27</v>
      </c>
      <c r="M95" s="33">
        <f t="shared" si="31"/>
        <v>1.9244476122594441</v>
      </c>
      <c r="N95" s="5">
        <f>VLOOKUP($B95,'Data Vlaue (Cr)'!$C:$FB,67)</f>
        <v>666</v>
      </c>
      <c r="O95" s="5">
        <f>VLOOKUP($B95,'Data Vlaue (Cr)'!$C:$FB,68)</f>
        <v>303</v>
      </c>
      <c r="P95" s="5">
        <f t="shared" si="30"/>
        <v>54.504504504504503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Telecom</v>
      </c>
      <c r="B96" s="79" t="str">
        <f>'Data shares'!C91</f>
        <v>IDEA</v>
      </c>
      <c r="C96" s="4">
        <f>VLOOKUP($B96,'Data shares'!$C:$FB,7)</f>
        <v>10.52</v>
      </c>
      <c r="D96" s="82">
        <f>VLOOKUP($B96,'Data shares'!$C:$FB,98)</f>
        <v>9127643400</v>
      </c>
      <c r="E96" s="165">
        <f>VLOOKUP(B96,'Snapshot (Volume)'!$A$7:$G$168,7,0)</f>
        <v>8531398950</v>
      </c>
      <c r="F96" s="165">
        <f t="shared" si="27"/>
        <v>596244450</v>
      </c>
      <c r="G96" s="166">
        <f t="shared" si="28"/>
        <v>6.9888239138084146E-2</v>
      </c>
      <c r="H96" s="165">
        <f>VLOOKUP($B96,'Data shares'!$C:$FB,66)</f>
        <v>5360553525</v>
      </c>
      <c r="I96" s="165">
        <f>VLOOKUP($B96,'Data shares'!$C:$FB,67)</f>
        <v>2135172675</v>
      </c>
      <c r="J96" s="81">
        <f t="shared" si="29"/>
        <v>151.05948515381783</v>
      </c>
      <c r="K96" s="5">
        <f>VLOOKUP($B96,'Data Vlaue (Cr)'!$C:$FB,99)</f>
        <v>9648</v>
      </c>
      <c r="L96" s="81">
        <f>VLOOKUP(B96,'OI(Value)'!$A$7:$C$232,3,0)</f>
        <v>630</v>
      </c>
      <c r="M96" s="33">
        <f t="shared" si="31"/>
        <v>6.5298507462686564</v>
      </c>
      <c r="N96" s="5">
        <f>VLOOKUP($B96,'Data Vlaue (Cr)'!$C:$FB,67)</f>
        <v>5666</v>
      </c>
      <c r="O96" s="5">
        <f>VLOOKUP($B96,'Data Vlaue (Cr)'!$C:$FB,68)</f>
        <v>2257</v>
      </c>
      <c r="P96" s="5">
        <f t="shared" si="30"/>
        <v>60.165901870808327</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Banking</v>
      </c>
      <c r="B97" s="79" t="str">
        <f>'Data shares'!C92</f>
        <v>IDFCFIRSTB</v>
      </c>
      <c r="C97" s="4">
        <f>VLOOKUP($B97,'Data shares'!$C:$FB,7)</f>
        <v>69.59</v>
      </c>
      <c r="D97" s="82">
        <f>VLOOKUP($B97,'Data shares'!$C:$FB,98)</f>
        <v>572870375</v>
      </c>
      <c r="E97" s="165">
        <f>VLOOKUP(B97,'Snapshot (Volume)'!$A$7:$G$168,7,0)</f>
        <v>560747950</v>
      </c>
      <c r="F97" s="165">
        <f t="shared" ref="F97:F105" si="32">D97-E97</f>
        <v>12122425</v>
      </c>
      <c r="G97" s="166">
        <f t="shared" ref="G97:G105" si="33">F97/E97</f>
        <v>2.1618313539978166E-2</v>
      </c>
      <c r="H97" s="165">
        <f>VLOOKUP($B97,'Data shares'!$C:$FB,66)</f>
        <v>162034250</v>
      </c>
      <c r="I97" s="165">
        <f>VLOOKUP($B97,'Data shares'!$C:$FB,67)</f>
        <v>175306775</v>
      </c>
      <c r="J97" s="81">
        <f t="shared" ref="J97:J105" si="34">(H97-I97)/I97*100</f>
        <v>-7.5710279879371454</v>
      </c>
      <c r="K97" s="5">
        <f>VLOOKUP($B97,'Data Vlaue (Cr)'!$C:$FB,99)</f>
        <v>4010</v>
      </c>
      <c r="L97" s="81">
        <f>VLOOKUP(B97,'OI(Value)'!$A$7:$C$232,3,0)</f>
        <v>85</v>
      </c>
      <c r="M97" s="33">
        <f t="shared" si="31"/>
        <v>2.1197007481296759</v>
      </c>
      <c r="N97" s="5">
        <f>VLOOKUP($B97,'Data Vlaue (Cr)'!$C:$FB,67)</f>
        <v>1134</v>
      </c>
      <c r="O97" s="5">
        <f>VLOOKUP($B97,'Data Vlaue (Cr)'!$C:$FB,68)</f>
        <v>1227</v>
      </c>
      <c r="P97" s="5">
        <f t="shared" ref="P97:P105" si="35">(N97-O97)/N97*100</f>
        <v>-8.2010582010582009</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Power</v>
      </c>
      <c r="B98" s="79" t="str">
        <f>'Data shares'!C93</f>
        <v>IEX</v>
      </c>
      <c r="C98" s="4">
        <f>VLOOKUP($B98,'Data shares'!$C:$FB,7)</f>
        <v>126.97</v>
      </c>
      <c r="D98" s="82">
        <f>VLOOKUP($B98,'Data shares'!$C:$FB,98)</f>
        <v>141104250</v>
      </c>
      <c r="E98" s="165">
        <f>VLOOKUP(B98,'Snapshot (Volume)'!$A$7:$G$168,7,0)</f>
        <v>135631350</v>
      </c>
      <c r="F98" s="165">
        <f t="shared" si="32"/>
        <v>5472900</v>
      </c>
      <c r="G98" s="166">
        <f t="shared" si="33"/>
        <v>4.03512904649257E-2</v>
      </c>
      <c r="H98" s="165">
        <f>VLOOKUP($B98,'Data shares'!$C:$FB,66)</f>
        <v>53943750</v>
      </c>
      <c r="I98" s="165">
        <f>VLOOKUP($B98,'Data shares'!$C:$FB,67)</f>
        <v>39997500</v>
      </c>
      <c r="J98" s="81">
        <f t="shared" si="34"/>
        <v>34.867804237764858</v>
      </c>
      <c r="K98" s="5">
        <f>VLOOKUP($B98,'Data Vlaue (Cr)'!$C:$FB,99)</f>
        <v>1774</v>
      </c>
      <c r="L98" s="81">
        <f>VLOOKUP(B98,'OI(Value)'!$A$7:$C$232,3,0)</f>
        <v>69</v>
      </c>
      <c r="M98" s="33">
        <f t="shared" si="31"/>
        <v>3.8895152198421648</v>
      </c>
      <c r="N98" s="5">
        <f>VLOOKUP($B98,'Data Vlaue (Cr)'!$C:$FB,67)</f>
        <v>678</v>
      </c>
      <c r="O98" s="5">
        <f>VLOOKUP($B98,'Data Vlaue (Cr)'!$C:$FB,68)</f>
        <v>503</v>
      </c>
      <c r="P98" s="5">
        <f t="shared" si="35"/>
        <v>25.811209439528021</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Realty</v>
      </c>
      <c r="B99" s="79" t="str">
        <f>'Data shares'!C94</f>
        <v>INDHOTEL</v>
      </c>
      <c r="C99" s="4">
        <f>VLOOKUP($B99,'Data shares'!$C:$FB,7)</f>
        <v>643.70000000000005</v>
      </c>
      <c r="D99" s="82">
        <f>VLOOKUP($B99,'Data shares'!$C:$FB,98)</f>
        <v>31054000</v>
      </c>
      <c r="E99" s="165">
        <f>VLOOKUP(B99,'Snapshot (Volume)'!$A$7:$G$168,7,0)</f>
        <v>30567000</v>
      </c>
      <c r="F99" s="165">
        <f t="shared" si="32"/>
        <v>487000</v>
      </c>
      <c r="G99" s="166">
        <f t="shared" si="33"/>
        <v>1.5932214479667615E-2</v>
      </c>
      <c r="H99" s="165">
        <f>VLOOKUP($B99,'Data shares'!$C:$FB,66)</f>
        <v>7345000</v>
      </c>
      <c r="I99" s="165">
        <f>VLOOKUP($B99,'Data shares'!$C:$FB,67)</f>
        <v>11362000</v>
      </c>
      <c r="J99" s="81">
        <f t="shared" si="34"/>
        <v>-35.354691075514879</v>
      </c>
      <c r="K99" s="5">
        <f>VLOOKUP($B99,'Data Vlaue (Cr)'!$C:$FB,99)</f>
        <v>2005</v>
      </c>
      <c r="L99" s="81">
        <f>VLOOKUP(B99,'OI(Value)'!$A$7:$C$232,3,0)</f>
        <v>31</v>
      </c>
      <c r="M99" s="33">
        <f t="shared" si="31"/>
        <v>1.546134663341646</v>
      </c>
      <c r="N99" s="5">
        <f>VLOOKUP($B99,'Data Vlaue (Cr)'!$C:$FB,67)</f>
        <v>474</v>
      </c>
      <c r="O99" s="5">
        <f>VLOOKUP($B99,'Data Vlaue (Cr)'!$C:$FB,68)</f>
        <v>733</v>
      </c>
      <c r="P99" s="5">
        <f t="shared" si="35"/>
        <v>-54.641350210970465</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INDIANB</v>
      </c>
      <c r="C100" s="4">
        <f>VLOOKUP($B100,'Data shares'!$C:$FB,7)</f>
        <v>830.35</v>
      </c>
      <c r="D100" s="82">
        <f>VLOOKUP($B100,'Data shares'!$C:$FB,98)</f>
        <v>23402000</v>
      </c>
      <c r="E100" s="165">
        <f>VLOOKUP(B100,'Snapshot (Volume)'!$A$7:$G$168,7,0)</f>
        <v>21863000</v>
      </c>
      <c r="F100" s="165">
        <f t="shared" si="32"/>
        <v>1539000</v>
      </c>
      <c r="G100" s="166">
        <f t="shared" si="33"/>
        <v>7.0392901248684997E-2</v>
      </c>
      <c r="H100" s="165">
        <f>VLOOKUP($B100,'Data shares'!$C:$FB,66)</f>
        <v>14452000</v>
      </c>
      <c r="I100" s="165">
        <f>VLOOKUP($B100,'Data shares'!$C:$FB,67)</f>
        <v>53628000</v>
      </c>
      <c r="J100" s="81">
        <f t="shared" si="34"/>
        <v>-73.051391064369369</v>
      </c>
      <c r="K100" s="5">
        <f>VLOOKUP($B100,'Data Vlaue (Cr)'!$C:$FB,99)</f>
        <v>1953</v>
      </c>
      <c r="L100" s="81">
        <f>VLOOKUP(B100,'OI(Value)'!$A$7:$C$232,3,0)</f>
        <v>128</v>
      </c>
      <c r="M100" s="33">
        <f t="shared" si="31"/>
        <v>6.5540194572452641</v>
      </c>
      <c r="N100" s="5">
        <f>VLOOKUP($B100,'Data Vlaue (Cr)'!$C:$FB,67)</f>
        <v>1206</v>
      </c>
      <c r="O100" s="5">
        <f>VLOOKUP($B100,'Data Vlaue (Cr)'!$C:$FB,68)</f>
        <v>4474</v>
      </c>
      <c r="P100" s="5">
        <f t="shared" si="35"/>
        <v>-270.97844112769485</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Index</v>
      </c>
      <c r="B101" s="79" t="str">
        <f>'Data shares'!C96</f>
        <v>INDIAVIX</v>
      </c>
      <c r="C101" s="4">
        <f>VLOOKUP($B101,'Data shares'!$C:$FB,7)</f>
        <v>18.3</v>
      </c>
      <c r="D101" s="82">
        <f>VLOOKUP($B101,'Data shares'!$C:$FB,98)</f>
        <v>0</v>
      </c>
      <c r="E101" s="165">
        <f>VLOOKUP(B101,'Snapshot (Volume)'!$A$7:$G$168,7,0)</f>
        <v>0</v>
      </c>
      <c r="F101" s="165">
        <f t="shared" si="32"/>
        <v>0</v>
      </c>
      <c r="G101" s="166" t="e">
        <f t="shared" si="33"/>
        <v>#DIV/0!</v>
      </c>
      <c r="H101" s="165">
        <f>VLOOKUP($B101,'Data shares'!$C:$FB,66)</f>
        <v>0</v>
      </c>
      <c r="I101" s="165">
        <f>VLOOKUP($B101,'Data shares'!$C:$FB,67)</f>
        <v>0</v>
      </c>
      <c r="J101" s="81" t="e">
        <f t="shared" si="34"/>
        <v>#DIV/0!</v>
      </c>
      <c r="K101" s="5">
        <f>VLOOKUP($B101,'Data Vlaue (Cr)'!$C:$FB,99)</f>
        <v>0</v>
      </c>
      <c r="L101" s="81">
        <f>VLOOKUP(B101,'OI(Value)'!$A$7:$C$232,3,0)</f>
        <v>0</v>
      </c>
      <c r="M101" s="33" t="e">
        <f t="shared" si="31"/>
        <v>#DIV/0!</v>
      </c>
      <c r="N101" s="5">
        <f>VLOOKUP($B101,'Data Vlaue (Cr)'!$C:$FB,67)</f>
        <v>0</v>
      </c>
      <c r="O101" s="5">
        <f>VLOOKUP($B101,'Data Vlaue (Cr)'!$C:$FB,68)</f>
        <v>0</v>
      </c>
      <c r="P101" s="5" t="e">
        <f t="shared" si="35"/>
        <v>#DIV/0!</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Infrastructure</v>
      </c>
      <c r="B102" s="79" t="str">
        <f>'Data shares'!C97</f>
        <v>INDIGO</v>
      </c>
      <c r="C102" s="4">
        <f>VLOOKUP($B102,'Data shares'!$C:$FB,7)</f>
        <v>4262.3999999999996</v>
      </c>
      <c r="D102" s="82">
        <f>VLOOKUP($B102,'Data shares'!$C:$FB,98)</f>
        <v>12683250</v>
      </c>
      <c r="E102" s="165">
        <f>VLOOKUP(B102,'Snapshot (Volume)'!$A$7:$G$168,7,0)</f>
        <v>11652000</v>
      </c>
      <c r="F102" s="165">
        <f t="shared" si="32"/>
        <v>1031250</v>
      </c>
      <c r="G102" s="166">
        <f t="shared" si="33"/>
        <v>8.8504119464469622E-2</v>
      </c>
      <c r="H102" s="165">
        <f>VLOOKUP($B102,'Data shares'!$C:$FB,66)</f>
        <v>7561800</v>
      </c>
      <c r="I102" s="165">
        <f>VLOOKUP($B102,'Data shares'!$C:$FB,67)</f>
        <v>9940050</v>
      </c>
      <c r="J102" s="81">
        <f t="shared" si="34"/>
        <v>-23.925935986237494</v>
      </c>
      <c r="K102" s="5">
        <f>VLOOKUP($B102,'Data Vlaue (Cr)'!$C:$FB,99)</f>
        <v>5435</v>
      </c>
      <c r="L102" s="81">
        <f>VLOOKUP(B102,'OI(Value)'!$A$7:$C$232,3,0)</f>
        <v>442</v>
      </c>
      <c r="M102" s="33">
        <f t="shared" si="31"/>
        <v>8.132474701011958</v>
      </c>
      <c r="N102" s="5">
        <f>VLOOKUP($B102,'Data Vlaue (Cr)'!$C:$FB,67)</f>
        <v>3241</v>
      </c>
      <c r="O102" s="5">
        <f>VLOOKUP($B102,'Data Vlaue (Cr)'!$C:$FB,68)</f>
        <v>4260</v>
      </c>
      <c r="P102" s="5">
        <f t="shared" si="35"/>
        <v>-31.440913298364702</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Banking</v>
      </c>
      <c r="B103" s="79" t="str">
        <f>'Data shares'!C98</f>
        <v>INDUSINDBK</v>
      </c>
      <c r="C103" s="4">
        <f>VLOOKUP($B103,'Data shares'!$C:$FB,7)</f>
        <v>913.9</v>
      </c>
      <c r="D103" s="82">
        <f>VLOOKUP($B103,'Data shares'!$C:$FB,98)</f>
        <v>46923800</v>
      </c>
      <c r="E103" s="165">
        <f>VLOOKUP(B103,'Snapshot (Volume)'!$A$7:$G$168,7,0)</f>
        <v>46627000</v>
      </c>
      <c r="F103" s="165">
        <f t="shared" si="32"/>
        <v>296800</v>
      </c>
      <c r="G103" s="166">
        <f t="shared" si="33"/>
        <v>6.3654105990091575E-3</v>
      </c>
      <c r="H103" s="165">
        <f>VLOOKUP($B103,'Data shares'!$C:$FB,66)</f>
        <v>19595800</v>
      </c>
      <c r="I103" s="165">
        <f>VLOOKUP($B103,'Data shares'!$C:$FB,67)</f>
        <v>21750400</v>
      </c>
      <c r="J103" s="81">
        <f t="shared" si="34"/>
        <v>-9.9060247167868187</v>
      </c>
      <c r="K103" s="5">
        <f>VLOOKUP($B103,'Data Vlaue (Cr)'!$C:$FB,99)</f>
        <v>4312</v>
      </c>
      <c r="L103" s="81">
        <f>VLOOKUP(B103,'OI(Value)'!$A$7:$C$232,3,0)</f>
        <v>27</v>
      </c>
      <c r="M103" s="33">
        <f t="shared" si="31"/>
        <v>0.62615955473098328</v>
      </c>
      <c r="N103" s="5">
        <f>VLOOKUP($B103,'Data Vlaue (Cr)'!$C:$FB,67)</f>
        <v>1801</v>
      </c>
      <c r="O103" s="5">
        <f>VLOOKUP($B103,'Data Vlaue (Cr)'!$C:$FB,68)</f>
        <v>1999</v>
      </c>
      <c r="P103" s="5">
        <f t="shared" si="35"/>
        <v>-10.993892282065518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Telecom</v>
      </c>
      <c r="B104" s="79" t="str">
        <f>'Data shares'!C99</f>
        <v>INDUSTOWER</v>
      </c>
      <c r="C104" s="4">
        <f>VLOOKUP($B104,'Data shares'!$C:$FB,7)</f>
        <v>400.25</v>
      </c>
      <c r="D104" s="82">
        <f>VLOOKUP($B104,'Data shares'!$C:$FB,98)</f>
        <v>131187300</v>
      </c>
      <c r="E104" s="165">
        <f>VLOOKUP(B104,'Snapshot (Volume)'!$A$7:$G$168,7,0)</f>
        <v>117174200</v>
      </c>
      <c r="F104" s="165">
        <f t="shared" si="32"/>
        <v>14013100</v>
      </c>
      <c r="G104" s="166">
        <f t="shared" si="33"/>
        <v>0.11959202623103038</v>
      </c>
      <c r="H104" s="165">
        <f>VLOOKUP($B104,'Data shares'!$C:$FB,66)</f>
        <v>143291300</v>
      </c>
      <c r="I104" s="165">
        <f>VLOOKUP($B104,'Data shares'!$C:$FB,67)</f>
        <v>42018900</v>
      </c>
      <c r="J104" s="81">
        <f t="shared" si="34"/>
        <v>241.01630456770641</v>
      </c>
      <c r="K104" s="5">
        <f>VLOOKUP($B104,'Data Vlaue (Cr)'!$C:$FB,99)</f>
        <v>5281</v>
      </c>
      <c r="L104" s="81">
        <f>VLOOKUP(B104,'OI(Value)'!$A$7:$C$232,3,0)</f>
        <v>564</v>
      </c>
      <c r="M104" s="33">
        <f t="shared" si="31"/>
        <v>10.679795493277789</v>
      </c>
      <c r="N104" s="5">
        <f>VLOOKUP($B104,'Data Vlaue (Cr)'!$C:$FB,67)</f>
        <v>5768</v>
      </c>
      <c r="O104" s="5">
        <f>VLOOKUP($B104,'Data Vlaue (Cr)'!$C:$FB,68)</f>
        <v>1691</v>
      </c>
      <c r="P104" s="5">
        <f t="shared" si="35"/>
        <v>70.683079056865466</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Technology</v>
      </c>
      <c r="B105" s="79" t="str">
        <f>'Data shares'!C100</f>
        <v>INFY</v>
      </c>
      <c r="C105" s="4">
        <f>VLOOKUP($B105,'Data shares'!$C:$FB,7)</f>
        <v>1168.4000000000001</v>
      </c>
      <c r="D105" s="82">
        <f>VLOOKUP($B105,'Data shares'!$C:$FB,98)</f>
        <v>139034800</v>
      </c>
      <c r="E105" s="165">
        <f>VLOOKUP(B105,'Snapshot (Volume)'!$A$7:$G$168,7,0)</f>
        <v>134222400</v>
      </c>
      <c r="F105" s="165">
        <f t="shared" si="32"/>
        <v>4812400</v>
      </c>
      <c r="G105" s="166">
        <f t="shared" si="33"/>
        <v>3.585392602129004E-2</v>
      </c>
      <c r="H105" s="165">
        <f>VLOOKUP($B105,'Data shares'!$C:$FB,66)</f>
        <v>37360400</v>
      </c>
      <c r="I105" s="165">
        <f>VLOOKUP($B105,'Data shares'!$C:$FB,67)</f>
        <v>57200400</v>
      </c>
      <c r="J105" s="81">
        <f t="shared" si="34"/>
        <v>-34.685072132362713</v>
      </c>
      <c r="K105" s="5">
        <f>VLOOKUP($B105,'Data Vlaue (Cr)'!$C:$FB,99)</f>
        <v>16309</v>
      </c>
      <c r="L105" s="81">
        <f>VLOOKUP(B105,'OI(Value)'!$A$7:$C$232,3,0)</f>
        <v>564</v>
      </c>
      <c r="M105" s="33">
        <f t="shared" si="31"/>
        <v>3.4582132564841501</v>
      </c>
      <c r="N105" s="5">
        <f>VLOOKUP($B105,'Data Vlaue (Cr)'!$C:$FB,67)</f>
        <v>4382</v>
      </c>
      <c r="O105" s="5">
        <f>VLOOKUP($B105,'Data Vlaue (Cr)'!$C:$FB,68)</f>
        <v>6710</v>
      </c>
      <c r="P105" s="5">
        <f t="shared" si="35"/>
        <v>-53.12642628936559</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Power</v>
      </c>
      <c r="B106" s="79" t="str">
        <f>'Data shares'!C101</f>
        <v>INOXWIND</v>
      </c>
      <c r="C106" s="79">
        <f>VLOOKUP($B106,'Data shares'!$C:$FB,7)</f>
        <v>103.38</v>
      </c>
      <c r="D106" s="80">
        <f>VLOOKUP($B106,'Data shares'!$C:$FB,98)</f>
        <v>123237525</v>
      </c>
      <c r="E106" s="165">
        <f>VLOOKUP(B106,'Snapshot (Volume)'!$A$7:$G$168,7,0)</f>
        <v>120884775</v>
      </c>
      <c r="F106" s="165">
        <f t="shared" ref="F106:F114" si="36">D106-E106</f>
        <v>2352750</v>
      </c>
      <c r="G106" s="166">
        <f t="shared" ref="G106:G114" si="37">F106/E106</f>
        <v>1.9462748720837673E-2</v>
      </c>
      <c r="H106" s="165">
        <f>VLOOKUP($B106,'Data shares'!$C:$FB,66)</f>
        <v>66452100</v>
      </c>
      <c r="I106" s="165">
        <f>VLOOKUP($B106,'Data shares'!$C:$FB,67)</f>
        <v>39543075</v>
      </c>
      <c r="J106" s="81">
        <f t="shared" ref="J106:J114" si="38">(H106-I106)/I106*100</f>
        <v>68.04990507187415</v>
      </c>
      <c r="K106" s="81">
        <f>VLOOKUP($B106,'Data Vlaue (Cr)'!$C:$FB,99)</f>
        <v>1281</v>
      </c>
      <c r="L106" s="81">
        <f>VLOOKUP(B106,'OI(Value)'!$A$7:$C$232,3,0)</f>
        <v>24</v>
      </c>
      <c r="M106" s="81">
        <f t="shared" si="31"/>
        <v>1.873536299765808</v>
      </c>
      <c r="N106" s="81">
        <f>VLOOKUP($B106,'Data Vlaue (Cr)'!$C:$FB,67)</f>
        <v>691</v>
      </c>
      <c r="O106" s="81">
        <f>VLOOKUP($B106,'Data Vlaue (Cr)'!$C:$FB,68)</f>
        <v>411</v>
      </c>
      <c r="P106" s="81">
        <f t="shared" ref="P106:P114" si="39">(N106-O106)/N106*100</f>
        <v>40.520984081041966</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Oil_Gas</v>
      </c>
      <c r="B107" s="79" t="str">
        <f>'Data shares'!C102</f>
        <v>IOC</v>
      </c>
      <c r="C107" s="79">
        <f>VLOOKUP($B107,'Data shares'!$C:$FB,7)</f>
        <v>142.26</v>
      </c>
      <c r="D107" s="80">
        <f>VLOOKUP($B107,'Data shares'!$C:$FB,98)</f>
        <v>181013625</v>
      </c>
      <c r="E107" s="165">
        <f>VLOOKUP(B107,'Snapshot (Volume)'!$A$7:$G$168,7,0)</f>
        <v>174091125</v>
      </c>
      <c r="F107" s="165">
        <f t="shared" si="36"/>
        <v>6922500</v>
      </c>
      <c r="G107" s="166">
        <f t="shared" si="37"/>
        <v>3.97636582565596E-2</v>
      </c>
      <c r="H107" s="165">
        <f>VLOOKUP($B107,'Data shares'!$C:$FB,66)</f>
        <v>45074250</v>
      </c>
      <c r="I107" s="165">
        <f>VLOOKUP($B107,'Data shares'!$C:$FB,67)</f>
        <v>70453500</v>
      </c>
      <c r="J107" s="81">
        <f t="shared" si="38"/>
        <v>-36.022695820647662</v>
      </c>
      <c r="K107" s="81">
        <f>VLOOKUP($B107,'Data Vlaue (Cr)'!$C:$FB,99)</f>
        <v>2590</v>
      </c>
      <c r="L107" s="81">
        <f>VLOOKUP(B107,'OI(Value)'!$A$7:$C$232,3,0)</f>
        <v>99</v>
      </c>
      <c r="M107" s="81">
        <f t="shared" si="31"/>
        <v>3.8223938223938223</v>
      </c>
      <c r="N107" s="81">
        <f>VLOOKUP($B107,'Data Vlaue (Cr)'!$C:$FB,67)</f>
        <v>645</v>
      </c>
      <c r="O107" s="81">
        <f>VLOOKUP($B107,'Data Vlaue (Cr)'!$C:$FB,68)</f>
        <v>1008</v>
      </c>
      <c r="P107" s="81">
        <f t="shared" si="39"/>
        <v>-56.279069767441861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135.36000000000001</v>
      </c>
      <c r="D108" s="82">
        <f>VLOOKUP($B108,'Data shares'!$C:$FB,98)</f>
        <v>74772700</v>
      </c>
      <c r="E108" s="165">
        <f>VLOOKUP(B108,'Snapshot (Volume)'!$A$7:$G$168,7,0)</f>
        <v>73025175</v>
      </c>
      <c r="F108" s="165">
        <f t="shared" si="36"/>
        <v>1747525</v>
      </c>
      <c r="G108" s="166">
        <f t="shared" si="37"/>
        <v>2.3930445904443227E-2</v>
      </c>
      <c r="H108" s="165">
        <f>VLOOKUP($B108,'Data shares'!$C:$FB,66)</f>
        <v>19395900</v>
      </c>
      <c r="I108" s="165">
        <f>VLOOKUP($B108,'Data shares'!$C:$FB,67)</f>
        <v>21293400</v>
      </c>
      <c r="J108" s="81">
        <f t="shared" si="38"/>
        <v>-8.9112119248217763</v>
      </c>
      <c r="K108" s="5">
        <f>VLOOKUP($B108,'Data Vlaue (Cr)'!$C:$FB,99)</f>
        <v>1015</v>
      </c>
      <c r="L108" s="81">
        <f>VLOOKUP(B108,'OI(Value)'!$A$7:$C$232,3,0)</f>
        <v>24</v>
      </c>
      <c r="M108" s="33">
        <f t="shared" si="31"/>
        <v>2.3645320197044337</v>
      </c>
      <c r="N108" s="5">
        <f>VLOOKUP($B108,'Data Vlaue (Cr)'!$C:$FB,67)</f>
        <v>263</v>
      </c>
      <c r="O108" s="5">
        <f>VLOOKUP($B108,'Data Vlaue (Cr)'!$C:$FB,68)</f>
        <v>289</v>
      </c>
      <c r="P108" s="5">
        <f t="shared" si="39"/>
        <v>-9.8859315589353614</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104.41</v>
      </c>
      <c r="D109" s="82">
        <f>VLOOKUP($B109,'Data shares'!$C:$FB,98)</f>
        <v>99808775</v>
      </c>
      <c r="E109" s="165">
        <f>VLOOKUP(B109,'Snapshot (Volume)'!$A$7:$G$168,7,0)</f>
        <v>97275425</v>
      </c>
      <c r="F109" s="165">
        <f t="shared" si="36"/>
        <v>2533350</v>
      </c>
      <c r="G109" s="166">
        <f t="shared" si="37"/>
        <v>2.6043062777674833E-2</v>
      </c>
      <c r="H109" s="165">
        <f>VLOOKUP($B109,'Data shares'!$C:$FB,66)</f>
        <v>25143000</v>
      </c>
      <c r="I109" s="165">
        <f>VLOOKUP($B109,'Data shares'!$C:$FB,67)</f>
        <v>26350000</v>
      </c>
      <c r="J109" s="81">
        <f t="shared" si="38"/>
        <v>-4.580645161290323</v>
      </c>
      <c r="K109" s="5">
        <f>VLOOKUP($B109,'Data Vlaue (Cr)'!$C:$FB,99)</f>
        <v>1047</v>
      </c>
      <c r="L109" s="81">
        <f>VLOOKUP(B109,'OI(Value)'!$A$7:$C$232,3,0)</f>
        <v>27</v>
      </c>
      <c r="M109" s="33">
        <f t="shared" si="31"/>
        <v>2.5787965616045847</v>
      </c>
      <c r="N109" s="5">
        <f>VLOOKUP($B109,'Data Vlaue (Cr)'!$C:$FB,67)</f>
        <v>264</v>
      </c>
      <c r="O109" s="5">
        <f>VLOOKUP($B109,'Data Vlaue (Cr)'!$C:$FB,68)</f>
        <v>277</v>
      </c>
      <c r="P109" s="5">
        <f t="shared" si="39"/>
        <v>-4.9242424242424239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311.10000000000002</v>
      </c>
      <c r="D110" s="82">
        <f>VLOOKUP($B110,'Data shares'!$C:$FB,98)</f>
        <v>300419450</v>
      </c>
      <c r="E110" s="165">
        <f>VLOOKUP(B110,'Snapshot (Volume)'!$A$7:$G$168,7,0)</f>
        <v>281355525</v>
      </c>
      <c r="F110" s="165">
        <f t="shared" si="36"/>
        <v>19063925</v>
      </c>
      <c r="G110" s="166">
        <f t="shared" si="37"/>
        <v>6.7757421859762662E-2</v>
      </c>
      <c r="H110" s="165">
        <f>VLOOKUP($B110,'Data shares'!$C:$FB,66)</f>
        <v>206670400</v>
      </c>
      <c r="I110" s="165">
        <f>VLOOKUP($B110,'Data shares'!$C:$FB,67)</f>
        <v>175793600</v>
      </c>
      <c r="J110" s="81">
        <f t="shared" si="38"/>
        <v>17.5642344203657</v>
      </c>
      <c r="K110" s="5">
        <f>VLOOKUP($B110,'Data Vlaue (Cr)'!$C:$FB,99)</f>
        <v>9391</v>
      </c>
      <c r="L110" s="81">
        <f>VLOOKUP(B110,'OI(Value)'!$A$7:$C$232,3,0)</f>
        <v>596</v>
      </c>
      <c r="M110" s="33">
        <f t="shared" si="31"/>
        <v>6.346501969971249</v>
      </c>
      <c r="N110" s="5">
        <f>VLOOKUP($B110,'Data Vlaue (Cr)'!$C:$FB,67)</f>
        <v>6461</v>
      </c>
      <c r="O110" s="5">
        <f>VLOOKUP($B110,'Data Vlaue (Cr)'!$C:$FB,68)</f>
        <v>5495</v>
      </c>
      <c r="P110" s="5">
        <f t="shared" si="39"/>
        <v>14.951245937161431</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1261.4000000000001</v>
      </c>
      <c r="D111" s="82">
        <f>VLOOKUP($B111,'Data shares'!$C:$FB,98)</f>
        <v>18154375</v>
      </c>
      <c r="E111" s="165">
        <f>VLOOKUP(B111,'Snapshot (Volume)'!$A$7:$G$168,7,0)</f>
        <v>17546875</v>
      </c>
      <c r="F111" s="165">
        <f t="shared" si="36"/>
        <v>607500</v>
      </c>
      <c r="G111" s="166">
        <f t="shared" si="37"/>
        <v>3.4621549421193235E-2</v>
      </c>
      <c r="H111" s="165">
        <f>VLOOKUP($B111,'Data shares'!$C:$FB,66)</f>
        <v>24137500</v>
      </c>
      <c r="I111" s="165">
        <f>VLOOKUP($B111,'Data shares'!$C:$FB,67)</f>
        <v>10445625</v>
      </c>
      <c r="J111" s="81">
        <f t="shared" si="38"/>
        <v>131.07760426015676</v>
      </c>
      <c r="K111" s="5">
        <f>VLOOKUP($B111,'Data Vlaue (Cr)'!$C:$FB,99)</f>
        <v>2305</v>
      </c>
      <c r="L111" s="81">
        <f>VLOOKUP(B111,'OI(Value)'!$A$7:$C$232,3,0)</f>
        <v>77</v>
      </c>
      <c r="M111" s="33">
        <f t="shared" si="31"/>
        <v>3.3405639913232101</v>
      </c>
      <c r="N111" s="5">
        <f>VLOOKUP($B111,'Data Vlaue (Cr)'!$C:$FB,67)</f>
        <v>3064</v>
      </c>
      <c r="O111" s="5">
        <f>VLOOKUP($B111,'Data Vlaue (Cr)'!$C:$FB,68)</f>
        <v>1326</v>
      </c>
      <c r="P111" s="5">
        <f t="shared" si="39"/>
        <v>56.723237597911222</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252.74</v>
      </c>
      <c r="D112" s="82">
        <f>VLOOKUP($B112,'Data shares'!$C:$FB,98)</f>
        <v>293108450</v>
      </c>
      <c r="E112" s="165">
        <f>VLOOKUP(B112,'Snapshot (Volume)'!$A$7:$G$168,7,0)</f>
        <v>291700800</v>
      </c>
      <c r="F112" s="165">
        <f t="shared" si="36"/>
        <v>1407650</v>
      </c>
      <c r="G112" s="166">
        <f t="shared" si="37"/>
        <v>4.8256638308842486E-3</v>
      </c>
      <c r="H112" s="165">
        <f>VLOOKUP($B112,'Data shares'!$C:$FB,66)</f>
        <v>101376650</v>
      </c>
      <c r="I112" s="165">
        <f>VLOOKUP($B112,'Data shares'!$C:$FB,67)</f>
        <v>101475350</v>
      </c>
      <c r="J112" s="81">
        <f t="shared" si="38"/>
        <v>-9.726500081054168E-2</v>
      </c>
      <c r="K112" s="5">
        <f>VLOOKUP($B112,'Data Vlaue (Cr)'!$C:$FB,99)</f>
        <v>7457</v>
      </c>
      <c r="L112" s="81">
        <f>VLOOKUP(B112,'OI(Value)'!$A$7:$C$232,3,0)</f>
        <v>36</v>
      </c>
      <c r="M112" s="33">
        <f t="shared" si="31"/>
        <v>0.48276786911626662</v>
      </c>
      <c r="N112" s="5">
        <f>VLOOKUP($B112,'Data Vlaue (Cr)'!$C:$FB,67)</f>
        <v>2579</v>
      </c>
      <c r="O112" s="5">
        <f>VLOOKUP($B112,'Data Vlaue (Cr)'!$C:$FB,68)</f>
        <v>2582</v>
      </c>
      <c r="P112" s="5">
        <f t="shared" si="39"/>
        <v>-0.11632415664986429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562.29999999999995</v>
      </c>
      <c r="D113" s="82">
        <f>VLOOKUP($B113,'Data shares'!$C:$FB,98)</f>
        <v>33501300</v>
      </c>
      <c r="E113" s="165">
        <f>VLOOKUP(B113,'Snapshot (Volume)'!$A$7:$G$168,7,0)</f>
        <v>33218225</v>
      </c>
      <c r="F113" s="165">
        <f t="shared" si="36"/>
        <v>283075</v>
      </c>
      <c r="G113" s="166">
        <f t="shared" si="37"/>
        <v>8.5216774827673661E-3</v>
      </c>
      <c r="H113" s="165">
        <f>VLOOKUP($B113,'Data shares'!$C:$FB,66)</f>
        <v>9951000</v>
      </c>
      <c r="I113" s="165">
        <f>VLOOKUP($B113,'Data shares'!$C:$FB,67)</f>
        <v>10888000</v>
      </c>
      <c r="J113" s="81">
        <f t="shared" si="38"/>
        <v>-8.6058045554739149</v>
      </c>
      <c r="K113" s="5">
        <f>VLOOKUP($B113,'Data Vlaue (Cr)'!$C:$FB,99)</f>
        <v>1891</v>
      </c>
      <c r="L113" s="81">
        <f>VLOOKUP(B113,'OI(Value)'!$A$7:$C$232,3,0)</f>
        <v>16</v>
      </c>
      <c r="M113" s="33">
        <f t="shared" si="31"/>
        <v>0.84611316763617128</v>
      </c>
      <c r="N113" s="5">
        <f>VLOOKUP($B113,'Data Vlaue (Cr)'!$C:$FB,67)</f>
        <v>562</v>
      </c>
      <c r="O113" s="5">
        <f>VLOOKUP($B113,'Data Vlaue (Cr)'!$C:$FB,68)</f>
        <v>615</v>
      </c>
      <c r="P113" s="5">
        <f t="shared" si="39"/>
        <v>-9.4306049822064058</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1266.5999999999999</v>
      </c>
      <c r="D114" s="82">
        <f>VLOOKUP($B114,'Data shares'!$C:$FB,98)</f>
        <v>57477600</v>
      </c>
      <c r="E114" s="165">
        <f>VLOOKUP(B114,'Snapshot (Volume)'!$A$7:$G$168,7,0)</f>
        <v>56607525</v>
      </c>
      <c r="F114" s="165">
        <f t="shared" si="36"/>
        <v>870075</v>
      </c>
      <c r="G114" s="166">
        <f t="shared" si="37"/>
        <v>1.5370306332947784E-2</v>
      </c>
      <c r="H114" s="165">
        <f>VLOOKUP($B114,'Data shares'!$C:$FB,66)</f>
        <v>10905975</v>
      </c>
      <c r="I114" s="165">
        <f>VLOOKUP($B114,'Data shares'!$C:$FB,67)</f>
        <v>8559000</v>
      </c>
      <c r="J114" s="81">
        <f t="shared" si="38"/>
        <v>27.421135646687699</v>
      </c>
      <c r="K114" s="5">
        <f>VLOOKUP($B114,'Data Vlaue (Cr)'!$C:$FB,99)</f>
        <v>7322</v>
      </c>
      <c r="L114" s="81">
        <f>VLOOKUP(B114,'OI(Value)'!$A$7:$C$232,3,0)</f>
        <v>111</v>
      </c>
      <c r="M114" s="33">
        <f t="shared" si="31"/>
        <v>1.5159792406446326</v>
      </c>
      <c r="N114" s="5">
        <f>VLOOKUP($B114,'Data Vlaue (Cr)'!$C:$FB,67)</f>
        <v>1389</v>
      </c>
      <c r="O114" s="5">
        <f>VLOOKUP($B114,'Data Vlaue (Cr)'!$C:$FB,68)</f>
        <v>1090</v>
      </c>
      <c r="P114" s="5">
        <f t="shared" si="39"/>
        <v>21.526277897768178</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476.4</v>
      </c>
      <c r="D115" s="80">
        <f>VLOOKUP($B115,'Data shares'!$C:$FB,98)</f>
        <v>49366250</v>
      </c>
      <c r="E115" s="165">
        <f>VLOOKUP(B115,'Snapshot (Volume)'!$A$7:$G$168,7,0)</f>
        <v>48072500</v>
      </c>
      <c r="F115" s="165">
        <f t="shared" ref="F115:F126" si="40">D115-E115</f>
        <v>1293750</v>
      </c>
      <c r="G115" s="166">
        <f t="shared" ref="G115:G126" si="41">F115/E115</f>
        <v>2.6912475947787198E-2</v>
      </c>
      <c r="H115" s="165">
        <f>VLOOKUP($B115,'Data shares'!$C:$FB,66)</f>
        <v>8050000</v>
      </c>
      <c r="I115" s="165">
        <f>VLOOKUP($B115,'Data shares'!$C:$FB,67)</f>
        <v>7735000</v>
      </c>
      <c r="J115" s="81">
        <f t="shared" ref="J115:J126" si="42">(H115-I115)/I115*100</f>
        <v>4.0723981900452486</v>
      </c>
      <c r="K115" s="81">
        <f>VLOOKUP($B115,'Data Vlaue (Cr)'!$C:$FB,99)</f>
        <v>2351</v>
      </c>
      <c r="L115" s="81">
        <f>VLOOKUP(B115,'OI(Value)'!$A$7:$C$232,3,0)</f>
        <v>62</v>
      </c>
      <c r="M115" s="81">
        <f t="shared" si="31"/>
        <v>2.6371756699276903</v>
      </c>
      <c r="N115" s="81">
        <f>VLOOKUP($B115,'Data Vlaue (Cr)'!$C:$FB,67)</f>
        <v>383</v>
      </c>
      <c r="O115" s="81">
        <f>VLOOKUP($B115,'Data Vlaue (Cr)'!$C:$FB,68)</f>
        <v>368</v>
      </c>
      <c r="P115" s="81">
        <f t="shared" ref="P115:P126" si="43">(N115-O115)/N115*100</f>
        <v>3.9164490861618799</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413.3</v>
      </c>
      <c r="D116" s="82">
        <f>VLOOKUP($B116,'Data shares'!$C:$FB,98)</f>
        <v>35103175</v>
      </c>
      <c r="E116" s="165">
        <f>VLOOKUP(B116,'Snapshot (Volume)'!$A$7:$G$168,7,0)</f>
        <v>33569275</v>
      </c>
      <c r="F116" s="165">
        <f t="shared" si="40"/>
        <v>1533900</v>
      </c>
      <c r="G116" s="166">
        <f t="shared" si="41"/>
        <v>4.5693569491745058E-2</v>
      </c>
      <c r="H116" s="165">
        <f>VLOOKUP($B116,'Data shares'!$C:$FB,66)</f>
        <v>9954600</v>
      </c>
      <c r="I116" s="165">
        <f>VLOOKUP($B116,'Data shares'!$C:$FB,67)</f>
        <v>11332875</v>
      </c>
      <c r="J116" s="81">
        <f t="shared" si="42"/>
        <v>-12.161741835147746</v>
      </c>
      <c r="K116" s="5">
        <f>VLOOKUP($B116,'Data Vlaue (Cr)'!$C:$FB,99)</f>
        <v>1458</v>
      </c>
      <c r="L116" s="81">
        <f>VLOOKUP(B116,'OI(Value)'!$A$7:$C$232,3,0)</f>
        <v>64</v>
      </c>
      <c r="M116" s="33">
        <f t="shared" si="31"/>
        <v>4.3895747599451296</v>
      </c>
      <c r="N116" s="5">
        <f>VLOOKUP($B116,'Data Vlaue (Cr)'!$C:$FB,67)</f>
        <v>413</v>
      </c>
      <c r="O116" s="5">
        <f>VLOOKUP($B116,'Data Vlaue (Cr)'!$C:$FB,68)</f>
        <v>471</v>
      </c>
      <c r="P116" s="5">
        <f t="shared" si="43"/>
        <v>-14.043583535108958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4098.8999999999996</v>
      </c>
      <c r="D117" s="82">
        <f>VLOOKUP($B117,'Data shares'!$C:$FB,98)</f>
        <v>4389100</v>
      </c>
      <c r="E117" s="165">
        <f>VLOOKUP(B117,'Snapshot (Volume)'!$A$7:$G$168,7,0)</f>
        <v>4240800</v>
      </c>
      <c r="F117" s="165">
        <f t="shared" si="40"/>
        <v>148300</v>
      </c>
      <c r="G117" s="166">
        <f t="shared" si="41"/>
        <v>3.496981701565742E-2</v>
      </c>
      <c r="H117" s="165">
        <f>VLOOKUP($B117,'Data shares'!$C:$FB,66)</f>
        <v>1652400</v>
      </c>
      <c r="I117" s="165">
        <f>VLOOKUP($B117,'Data shares'!$C:$FB,67)</f>
        <v>2101100</v>
      </c>
      <c r="J117" s="81">
        <f t="shared" si="42"/>
        <v>-21.355480462614821</v>
      </c>
      <c r="K117" s="5">
        <f>VLOOKUP($B117,'Data Vlaue (Cr)'!$C:$FB,99)</f>
        <v>1802</v>
      </c>
      <c r="L117" s="81">
        <f>VLOOKUP(B117,'OI(Value)'!$A$7:$C$232,3,0)</f>
        <v>61</v>
      </c>
      <c r="M117" s="33">
        <f t="shared" si="31"/>
        <v>3.3851276359600444</v>
      </c>
      <c r="N117" s="5">
        <f>VLOOKUP($B117,'Data Vlaue (Cr)'!$C:$FB,67)</f>
        <v>678</v>
      </c>
      <c r="O117" s="5">
        <f>VLOOKUP($B117,'Data Vlaue (Cr)'!$C:$FB,68)</f>
        <v>862</v>
      </c>
      <c r="P117" s="5">
        <f t="shared" si="43"/>
        <v>-27.138643067846608</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5058.3</v>
      </c>
      <c r="D118" s="82">
        <f>VLOOKUP($B118,'Data shares'!$C:$FB,98)</f>
        <v>2657200</v>
      </c>
      <c r="E118" s="165">
        <f>VLOOKUP(B118,'Snapshot (Volume)'!$A$7:$G$168,7,0)</f>
        <v>2217250</v>
      </c>
      <c r="F118" s="165">
        <f t="shared" si="40"/>
        <v>439950</v>
      </c>
      <c r="G118" s="166">
        <f t="shared" si="41"/>
        <v>0.19842146803472771</v>
      </c>
      <c r="H118" s="165">
        <f>VLOOKUP($B118,'Data shares'!$C:$FB,66)</f>
        <v>3271800</v>
      </c>
      <c r="I118" s="165">
        <f>VLOOKUP($B118,'Data shares'!$C:$FB,67)</f>
        <v>1556275</v>
      </c>
      <c r="J118" s="81">
        <f t="shared" si="42"/>
        <v>110.2327673451029</v>
      </c>
      <c r="K118" s="5">
        <f>VLOOKUP($B118,'Data Vlaue (Cr)'!$C:$FB,99)</f>
        <v>1352</v>
      </c>
      <c r="L118" s="81">
        <f>VLOOKUP(B118,'OI(Value)'!$A$7:$C$232,3,0)</f>
        <v>224</v>
      </c>
      <c r="M118" s="33">
        <f t="shared" si="31"/>
        <v>16.568047337278109</v>
      </c>
      <c r="N118" s="5">
        <f>VLOOKUP($B118,'Data Vlaue (Cr)'!$C:$FB,67)</f>
        <v>1664</v>
      </c>
      <c r="O118" s="5">
        <f>VLOOKUP($B118,'Data Vlaue (Cr)'!$C:$FB,68)</f>
        <v>792</v>
      </c>
      <c r="P118" s="5">
        <f t="shared" si="43"/>
        <v>52.403846153846153</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863.95</v>
      </c>
      <c r="D119" s="82">
        <f>VLOOKUP($B119,'Data shares'!$C:$FB,98)</f>
        <v>13494175</v>
      </c>
      <c r="E119" s="165">
        <f>VLOOKUP(B119,'Snapshot (Volume)'!$A$7:$G$168,7,0)</f>
        <v>11856475</v>
      </c>
      <c r="F119" s="165">
        <f t="shared" si="40"/>
        <v>1637700</v>
      </c>
      <c r="G119" s="166">
        <f t="shared" si="41"/>
        <v>0.13812705715653262</v>
      </c>
      <c r="H119" s="165">
        <f>VLOOKUP($B119,'Data shares'!$C:$FB,66)</f>
        <v>11238500</v>
      </c>
      <c r="I119" s="165">
        <f>VLOOKUP($B119,'Data shares'!$C:$FB,67)</f>
        <v>34884000</v>
      </c>
      <c r="J119" s="81">
        <f t="shared" si="42"/>
        <v>-67.783224400871461</v>
      </c>
      <c r="K119" s="5">
        <f>VLOOKUP($B119,'Data Vlaue (Cr)'!$C:$FB,99)</f>
        <v>1156</v>
      </c>
      <c r="L119" s="81">
        <f>VLOOKUP(B119,'OI(Value)'!$A$7:$C$232,3,0)</f>
        <v>140</v>
      </c>
      <c r="M119" s="33">
        <f t="shared" si="31"/>
        <v>12.110726643598616</v>
      </c>
      <c r="N119" s="5">
        <f>VLOOKUP($B119,'Data Vlaue (Cr)'!$C:$FB,67)</f>
        <v>963</v>
      </c>
      <c r="O119" s="5">
        <f>VLOOKUP($B119,'Data Vlaue (Cr)'!$C:$FB,68)</f>
        <v>2988</v>
      </c>
      <c r="P119" s="5">
        <f t="shared" si="43"/>
        <v>-210.28037383177571</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371.65</v>
      </c>
      <c r="D120" s="82">
        <f>VLOOKUP($B120,'Data shares'!$C:$FB,98)</f>
        <v>308854000</v>
      </c>
      <c r="E120" s="165">
        <f>VLOOKUP(B120,'Snapshot (Volume)'!$A$7:$G$168,7,0)</f>
        <v>303524000</v>
      </c>
      <c r="F120" s="165">
        <f t="shared" si="40"/>
        <v>5330000</v>
      </c>
      <c r="G120" s="166">
        <f t="shared" si="41"/>
        <v>1.7560390611615555E-2</v>
      </c>
      <c r="H120" s="165">
        <f>VLOOKUP($B120,'Data shares'!$C:$FB,66)</f>
        <v>315304000</v>
      </c>
      <c r="I120" s="165">
        <f>VLOOKUP($B120,'Data shares'!$C:$FB,67)</f>
        <v>115304000</v>
      </c>
      <c r="J120" s="81">
        <f t="shared" si="42"/>
        <v>173.45452022479705</v>
      </c>
      <c r="K120" s="5">
        <f>VLOOKUP($B120,'Data Vlaue (Cr)'!$C:$FB,99)</f>
        <v>11505</v>
      </c>
      <c r="L120" s="81">
        <f>VLOOKUP(B120,'OI(Value)'!$A$7:$C$232,3,0)</f>
        <v>199</v>
      </c>
      <c r="M120" s="33">
        <f t="shared" si="31"/>
        <v>1.7296827466318991</v>
      </c>
      <c r="N120" s="5">
        <f>VLOOKUP($B120,'Data Vlaue (Cr)'!$C:$FB,67)</f>
        <v>11745</v>
      </c>
      <c r="O120" s="5">
        <f>VLOOKUP($B120,'Data Vlaue (Cr)'!$C:$FB,68)</f>
        <v>4295</v>
      </c>
      <c r="P120" s="5">
        <f t="shared" si="43"/>
        <v>63.431247339293314</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768.55</v>
      </c>
      <c r="D121" s="82">
        <f>VLOOKUP($B121,'Data shares'!$C:$FB,98)</f>
        <v>10204100</v>
      </c>
      <c r="E121" s="165">
        <f>VLOOKUP(B121,'Snapshot (Volume)'!$A$7:$G$168,7,0)</f>
        <v>9317700</v>
      </c>
      <c r="F121" s="165">
        <f t="shared" si="40"/>
        <v>886400</v>
      </c>
      <c r="G121" s="166">
        <f t="shared" si="41"/>
        <v>9.5130772615559633E-2</v>
      </c>
      <c r="H121" s="165">
        <f>VLOOKUP($B121,'Data shares'!$C:$FB,66)</f>
        <v>7343575</v>
      </c>
      <c r="I121" s="165">
        <f>VLOOKUP($B121,'Data shares'!$C:$FB,67)</f>
        <v>9612650</v>
      </c>
      <c r="J121" s="81">
        <f t="shared" si="42"/>
        <v>-23.605093288531258</v>
      </c>
      <c r="K121" s="5">
        <f>VLOOKUP($B121,'Data Vlaue (Cr)'!$C:$FB,99)</f>
        <v>785</v>
      </c>
      <c r="L121" s="81">
        <f>VLOOKUP(B121,'OI(Value)'!$A$7:$C$232,3,0)</f>
        <v>68</v>
      </c>
      <c r="M121" s="33">
        <f t="shared" si="31"/>
        <v>8.6624203821656049</v>
      </c>
      <c r="N121" s="5">
        <f>VLOOKUP($B121,'Data Vlaue (Cr)'!$C:$FB,67)</f>
        <v>565</v>
      </c>
      <c r="O121" s="5">
        <f>VLOOKUP($B121,'Data Vlaue (Cr)'!$C:$FB,68)</f>
        <v>740</v>
      </c>
      <c r="P121" s="5">
        <f t="shared" si="43"/>
        <v>-30.973451327433626</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1166.4000000000001</v>
      </c>
      <c r="D122" s="82">
        <f>VLOOKUP($B122,'Data shares'!$C:$FB,98)</f>
        <v>27562100</v>
      </c>
      <c r="E122" s="165">
        <f>VLOOKUP(B122,'Snapshot (Volume)'!$A$7:$G$168,7,0)</f>
        <v>26152800</v>
      </c>
      <c r="F122" s="165">
        <f t="shared" si="40"/>
        <v>1409300</v>
      </c>
      <c r="G122" s="166">
        <f t="shared" si="41"/>
        <v>5.3887155486219446E-2</v>
      </c>
      <c r="H122" s="165">
        <f>VLOOKUP($B122,'Data shares'!$C:$FB,66)</f>
        <v>47520950</v>
      </c>
      <c r="I122" s="165">
        <f>VLOOKUP($B122,'Data shares'!$C:$FB,67)</f>
        <v>20425500</v>
      </c>
      <c r="J122" s="81">
        <f t="shared" si="42"/>
        <v>132.65501456512692</v>
      </c>
      <c r="K122" s="5">
        <f>VLOOKUP($B122,'Data Vlaue (Cr)'!$C:$FB,99)</f>
        <v>3230</v>
      </c>
      <c r="L122" s="81">
        <f>VLOOKUP(B122,'OI(Value)'!$A$7:$C$232,3,0)</f>
        <v>165</v>
      </c>
      <c r="M122" s="33">
        <f t="shared" si="31"/>
        <v>5.1083591331269353</v>
      </c>
      <c r="N122" s="5">
        <f>VLOOKUP($B122,'Data Vlaue (Cr)'!$C:$FB,67)</f>
        <v>5569</v>
      </c>
      <c r="O122" s="5">
        <f>VLOOKUP($B122,'Data Vlaue (Cr)'!$C:$FB,68)</f>
        <v>2394</v>
      </c>
      <c r="P122" s="5">
        <f t="shared" si="43"/>
        <v>57.01203088525768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557</v>
      </c>
      <c r="D123" s="82">
        <f>VLOOKUP($B123,'Data shares'!$C:$FB,98)</f>
        <v>38906000</v>
      </c>
      <c r="E123" s="165">
        <f>VLOOKUP(B123,'Snapshot (Volume)'!$A$7:$G$168,7,0)</f>
        <v>38201000</v>
      </c>
      <c r="F123" s="165">
        <f t="shared" si="40"/>
        <v>705000</v>
      </c>
      <c r="G123" s="166">
        <f t="shared" si="41"/>
        <v>1.8455014266642235E-2</v>
      </c>
      <c r="H123" s="165">
        <f>VLOOKUP($B123,'Data shares'!$C:$FB,66)</f>
        <v>6031000</v>
      </c>
      <c r="I123" s="165">
        <f>VLOOKUP($B123,'Data shares'!$C:$FB,67)</f>
        <v>8372000</v>
      </c>
      <c r="J123" s="81">
        <f t="shared" si="42"/>
        <v>-27.962255136168178</v>
      </c>
      <c r="K123" s="5">
        <f>VLOOKUP($B123,'Data Vlaue (Cr)'!$C:$FB,99)</f>
        <v>2180</v>
      </c>
      <c r="L123" s="81">
        <f>VLOOKUP(B123,'OI(Value)'!$A$7:$C$232,3,0)</f>
        <v>39</v>
      </c>
      <c r="M123" s="33">
        <f t="shared" ref="M123:M144" si="44">L123/K123*100</f>
        <v>1.7889908256880735</v>
      </c>
      <c r="N123" s="5">
        <f>VLOOKUP($B123,'Data Vlaue (Cr)'!$C:$FB,67)</f>
        <v>338</v>
      </c>
      <c r="O123" s="5">
        <f>VLOOKUP($B123,'Data Vlaue (Cr)'!$C:$FB,68)</f>
        <v>469</v>
      </c>
      <c r="P123" s="5">
        <f t="shared" si="43"/>
        <v>-38.757396449704139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802</v>
      </c>
      <c r="D124" s="82">
        <f>VLOOKUP($B124,'Data shares'!$C:$FB,98)</f>
        <v>19342400</v>
      </c>
      <c r="E124" s="165">
        <f>VLOOKUP(B124,'Snapshot (Volume)'!$A$7:$G$168,7,0)</f>
        <v>18350500</v>
      </c>
      <c r="F124" s="165">
        <f t="shared" si="40"/>
        <v>991900</v>
      </c>
      <c r="G124" s="166">
        <f t="shared" si="41"/>
        <v>5.4053023078390237E-2</v>
      </c>
      <c r="H124" s="165">
        <f>VLOOKUP($B124,'Data shares'!$C:$FB,66)</f>
        <v>5765900</v>
      </c>
      <c r="I124" s="165">
        <f>VLOOKUP($B124,'Data shares'!$C:$FB,67)</f>
        <v>7324100</v>
      </c>
      <c r="J124" s="81">
        <f t="shared" si="42"/>
        <v>-21.274968938163049</v>
      </c>
      <c r="K124" s="5">
        <f>VLOOKUP($B124,'Data Vlaue (Cr)'!$C:$FB,99)</f>
        <v>1545</v>
      </c>
      <c r="L124" s="81">
        <f>VLOOKUP(B124,'OI(Value)'!$A$7:$C$232,3,0)</f>
        <v>79</v>
      </c>
      <c r="M124" s="33">
        <f t="shared" si="44"/>
        <v>5.1132686084142396</v>
      </c>
      <c r="N124" s="5">
        <f>VLOOKUP($B124,'Data Vlaue (Cr)'!$C:$FB,67)</f>
        <v>461</v>
      </c>
      <c r="O124" s="5">
        <f>VLOOKUP($B124,'Data Vlaue (Cr)'!$C:$FB,68)</f>
        <v>585</v>
      </c>
      <c r="P124" s="5">
        <f t="shared" si="43"/>
        <v>-26.898047722342731</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923.6</v>
      </c>
      <c r="D125" s="82">
        <f>VLOOKUP($B125,'Data shares'!$C:$FB,98)</f>
        <v>19060575</v>
      </c>
      <c r="E125" s="165">
        <f>VLOOKUP(B125,'Snapshot (Volume)'!$A$7:$G$168,7,0)</f>
        <v>19351450</v>
      </c>
      <c r="F125" s="165">
        <f t="shared" si="40"/>
        <v>-290875</v>
      </c>
      <c r="G125" s="166">
        <f t="shared" si="41"/>
        <v>-1.5031173374605003E-2</v>
      </c>
      <c r="H125" s="165">
        <f>VLOOKUP($B125,'Data shares'!$C:$FB,66)</f>
        <v>7695000</v>
      </c>
      <c r="I125" s="165">
        <f>VLOOKUP($B125,'Data shares'!$C:$FB,67)</f>
        <v>7397550</v>
      </c>
      <c r="J125" s="81">
        <f t="shared" si="42"/>
        <v>4.0209258470709903</v>
      </c>
      <c r="K125" s="5">
        <f>VLOOKUP($B125,'Data Vlaue (Cr)'!$C:$FB,99)</f>
        <v>1766</v>
      </c>
      <c r="L125" s="81">
        <f>VLOOKUP(B125,'OI(Value)'!$A$7:$C$232,3,0)</f>
        <v>-27</v>
      </c>
      <c r="M125" s="33">
        <f t="shared" si="44"/>
        <v>-1.5288788221970555</v>
      </c>
      <c r="N125" s="5">
        <f>VLOOKUP($B125,'Data Vlaue (Cr)'!$C:$FB,67)</f>
        <v>713</v>
      </c>
      <c r="O125" s="5">
        <f>VLOOKUP($B125,'Data Vlaue (Cr)'!$C:$FB,68)</f>
        <v>685</v>
      </c>
      <c r="P125" s="5">
        <f t="shared" si="43"/>
        <v>3.9270687237026647</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4100.8</v>
      </c>
      <c r="D126" s="82">
        <f>VLOOKUP($B126,'Data shares'!$C:$FB,98)</f>
        <v>23251375</v>
      </c>
      <c r="E126" s="165">
        <f>VLOOKUP(B126,'Snapshot (Volume)'!$A$7:$G$168,7,0)</f>
        <v>21916475</v>
      </c>
      <c r="F126" s="165">
        <f t="shared" si="40"/>
        <v>1334900</v>
      </c>
      <c r="G126" s="166">
        <f t="shared" si="41"/>
        <v>6.0908517450913066E-2</v>
      </c>
      <c r="H126" s="165">
        <f>VLOOKUP($B126,'Data shares'!$C:$FB,66)</f>
        <v>15457225</v>
      </c>
      <c r="I126" s="165">
        <f>VLOOKUP($B126,'Data shares'!$C:$FB,67)</f>
        <v>10101000</v>
      </c>
      <c r="J126" s="81">
        <f t="shared" si="42"/>
        <v>53.026680526680522</v>
      </c>
      <c r="K126" s="5">
        <f>VLOOKUP($B126,'Data Vlaue (Cr)'!$C:$FB,99)</f>
        <v>9580</v>
      </c>
      <c r="L126" s="81">
        <f>VLOOKUP(B126,'OI(Value)'!$A$7:$C$232,3,0)</f>
        <v>550</v>
      </c>
      <c r="M126" s="33">
        <f t="shared" si="44"/>
        <v>5.7411273486430066</v>
      </c>
      <c r="N126" s="5">
        <f>VLOOKUP($B126,'Data Vlaue (Cr)'!$C:$FB,67)</f>
        <v>6369</v>
      </c>
      <c r="O126" s="5">
        <f>VLOOKUP($B126,'Data Vlaue (Cr)'!$C:$FB,68)</f>
        <v>4162</v>
      </c>
      <c r="P126" s="5">
        <f t="shared" si="43"/>
        <v>34.652221698853822</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285.64999999999998</v>
      </c>
      <c r="D127" s="82">
        <f>VLOOKUP($B127,'Data shares'!$C:$FB,98)</f>
        <v>69414750</v>
      </c>
      <c r="E127" s="165">
        <f>VLOOKUP(B127,'Snapshot (Volume)'!$A$7:$G$168,7,0)</f>
        <v>66586500</v>
      </c>
      <c r="F127" s="165">
        <f>D127-E127</f>
        <v>2828250</v>
      </c>
      <c r="G127" s="166">
        <f>F127/E127</f>
        <v>4.2474825978238831E-2</v>
      </c>
      <c r="H127" s="165">
        <f>VLOOKUP($B127,'Data shares'!$C:$FB,66)</f>
        <v>18819000</v>
      </c>
      <c r="I127" s="165">
        <f>VLOOKUP($B127,'Data shares'!$C:$FB,67)</f>
        <v>16425000</v>
      </c>
      <c r="J127" s="81">
        <f>(H127-I127)/I127*100</f>
        <v>14.575342465753424</v>
      </c>
      <c r="K127" s="5">
        <f>VLOOKUP($B127,'Data Vlaue (Cr)'!$C:$FB,99)</f>
        <v>1976</v>
      </c>
      <c r="L127" s="81">
        <f>VLOOKUP(B127,'OI(Value)'!$A$7:$C$232,3,0)</f>
        <v>81</v>
      </c>
      <c r="M127" s="33">
        <f t="shared" si="44"/>
        <v>4.0991902834008096</v>
      </c>
      <c r="N127" s="5">
        <f>VLOOKUP($B127,'Data Vlaue (Cr)'!$C:$FB,67)</f>
        <v>536</v>
      </c>
      <c r="O127" s="5">
        <f>VLOOKUP($B127,'Data Vlaue (Cr)'!$C:$FB,68)</f>
        <v>468</v>
      </c>
      <c r="P127" s="5">
        <f>(N127-O127)/N127*100</f>
        <v>12.686567164179104</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LTM</v>
      </c>
      <c r="C128" s="4">
        <f>VLOOKUP($B128,'Data shares'!$C:$FB,7)</f>
        <v>4202.7</v>
      </c>
      <c r="D128" s="82">
        <f>VLOOKUP($B128,'Data shares'!$C:$FB,98)</f>
        <v>4805700</v>
      </c>
      <c r="E128" s="165">
        <f>VLOOKUP(B128,'Snapshot (Volume)'!$A$7:$G$168,7,0)</f>
        <v>4639350</v>
      </c>
      <c r="F128" s="165">
        <f>D128-E128</f>
        <v>166350</v>
      </c>
      <c r="G128" s="166">
        <f>F128/E128</f>
        <v>3.5856316078761032E-2</v>
      </c>
      <c r="H128" s="165">
        <f>VLOOKUP($B128,'Data shares'!$C:$FB,66)</f>
        <v>1441350</v>
      </c>
      <c r="I128" s="165">
        <f>VLOOKUP($B128,'Data shares'!$C:$FB,67)</f>
        <v>1520700</v>
      </c>
      <c r="J128" s="81">
        <f>(H128-I128)/I128*100</f>
        <v>-5.2179917143420793</v>
      </c>
      <c r="K128" s="5">
        <f>VLOOKUP($B128,'Data Vlaue (Cr)'!$C:$FB,99)</f>
        <v>2013</v>
      </c>
      <c r="L128" s="81">
        <f>VLOOKUP(B128,'OI(Value)'!$A$7:$C$232,3,0)</f>
        <v>70</v>
      </c>
      <c r="M128" s="33">
        <f t="shared" si="44"/>
        <v>3.4773969200198707</v>
      </c>
      <c r="N128" s="5">
        <f>VLOOKUP($B128,'Data Vlaue (Cr)'!$C:$FB,67)</f>
        <v>604</v>
      </c>
      <c r="O128" s="5">
        <f>VLOOKUP($B128,'Data Vlaue (Cr)'!$C:$FB,68)</f>
        <v>637</v>
      </c>
      <c r="P128" s="5">
        <f>(N128-O128)/N128*100</f>
        <v>-5.4635761589403975</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2348.8000000000002</v>
      </c>
      <c r="D129" s="82">
        <f>VLOOKUP($B129,'Data shares'!$C:$FB,98)</f>
        <v>11816700</v>
      </c>
      <c r="E129" s="165">
        <f>VLOOKUP(B129,'Snapshot (Volume)'!$A$7:$G$168,7,0)</f>
        <v>10279475</v>
      </c>
      <c r="F129" s="165">
        <f>D129-E129</f>
        <v>1537225</v>
      </c>
      <c r="G129" s="166">
        <f>F129/E129</f>
        <v>0.14954314301070823</v>
      </c>
      <c r="H129" s="165">
        <f>VLOOKUP($B129,'Data shares'!$C:$FB,66)</f>
        <v>10106075</v>
      </c>
      <c r="I129" s="165">
        <f>VLOOKUP($B129,'Data shares'!$C:$FB,67)</f>
        <v>4063000</v>
      </c>
      <c r="J129" s="81">
        <f>(H129-I129)/I129*100</f>
        <v>148.73430962343096</v>
      </c>
      <c r="K129" s="5">
        <f>VLOOKUP($B129,'Data Vlaue (Cr)'!$C:$FB,99)</f>
        <v>2779</v>
      </c>
      <c r="L129" s="81">
        <f>VLOOKUP(B129,'OI(Value)'!$A$7:$C$232,3,0)</f>
        <v>361</v>
      </c>
      <c r="M129" s="33">
        <f t="shared" si="44"/>
        <v>12.990284274919036</v>
      </c>
      <c r="N129" s="5">
        <f>VLOOKUP($B129,'Data Vlaue (Cr)'!$C:$FB,67)</f>
        <v>2376</v>
      </c>
      <c r="O129" s="5">
        <f>VLOOKUP($B129,'Data Vlaue (Cr)'!$C:$FB,68)</f>
        <v>955</v>
      </c>
      <c r="P129" s="5">
        <f>(N129-O129)/N129*100</f>
        <v>59.806397306397308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3106.5</v>
      </c>
      <c r="D130" s="82">
        <f>VLOOKUP($B130,'Data shares'!$C:$FB,98)</f>
        <v>28714600</v>
      </c>
      <c r="E130" s="165">
        <f>VLOOKUP(B130,'Snapshot (Volume)'!$A$7:$G$168,7,0)</f>
        <v>26667600</v>
      </c>
      <c r="F130" s="165">
        <f>D130-E130</f>
        <v>2047000</v>
      </c>
      <c r="G130" s="166">
        <f>F130/E130</f>
        <v>7.6759813406530777E-2</v>
      </c>
      <c r="H130" s="165">
        <f>VLOOKUP($B130,'Data shares'!$C:$FB,66)</f>
        <v>15511600</v>
      </c>
      <c r="I130" s="165">
        <f>VLOOKUP($B130,'Data shares'!$C:$FB,67)</f>
        <v>10154400</v>
      </c>
      <c r="J130" s="81">
        <f>(H130-I130)/I130*100</f>
        <v>52.757425352556531</v>
      </c>
      <c r="K130" s="5">
        <f>VLOOKUP($B130,'Data Vlaue (Cr)'!$C:$FB,99)</f>
        <v>8960</v>
      </c>
      <c r="L130" s="81">
        <f>VLOOKUP(B130,'OI(Value)'!$A$7:$C$232,3,0)</f>
        <v>639</v>
      </c>
      <c r="M130" s="33">
        <f t="shared" si="44"/>
        <v>7.1316964285714279</v>
      </c>
      <c r="N130" s="5">
        <f>VLOOKUP($B130,'Data Vlaue (Cr)'!$C:$FB,67)</f>
        <v>4840</v>
      </c>
      <c r="O130" s="5">
        <f>VLOOKUP($B130,'Data Vlaue (Cr)'!$C:$FB,68)</f>
        <v>3168</v>
      </c>
      <c r="P130" s="5">
        <f>(N130-O130)/N130*100</f>
        <v>34.545454545454547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305.14999999999998</v>
      </c>
      <c r="D131" s="82">
        <f>VLOOKUP($B131,'Data shares'!$C:$FB,98)</f>
        <v>74247000</v>
      </c>
      <c r="E131" s="165">
        <f>VLOOKUP(B131,'Snapshot (Volume)'!$A$7:$G$168,7,0)</f>
        <v>67554000</v>
      </c>
      <c r="F131" s="165">
        <f>D131-E131</f>
        <v>6693000</v>
      </c>
      <c r="G131" s="166">
        <f>F131/E131</f>
        <v>9.9076294519939601E-2</v>
      </c>
      <c r="H131" s="165">
        <f>VLOOKUP($B131,'Data shares'!$C:$FB,66)</f>
        <v>74253000</v>
      </c>
      <c r="I131" s="165">
        <f>VLOOKUP($B131,'Data shares'!$C:$FB,67)</f>
        <v>18120000</v>
      </c>
      <c r="J131" s="81">
        <f>(H131-I131)/I131*100</f>
        <v>309.78476821192055</v>
      </c>
      <c r="K131" s="5">
        <f>VLOOKUP($B131,'Data Vlaue (Cr)'!$C:$FB,99)</f>
        <v>2277</v>
      </c>
      <c r="L131" s="81">
        <f>VLOOKUP(B131,'OI(Value)'!$A$7:$C$232,3,0)</f>
        <v>205</v>
      </c>
      <c r="M131" s="33">
        <f t="shared" si="44"/>
        <v>9.0030742204655247</v>
      </c>
      <c r="N131" s="5">
        <f>VLOOKUP($B131,'Data Vlaue (Cr)'!$C:$FB,67)</f>
        <v>2277</v>
      </c>
      <c r="O131" s="5">
        <f>VLOOKUP($B131,'Data Vlaue (Cr)'!$C:$FB,68)</f>
        <v>556</v>
      </c>
      <c r="P131" s="5">
        <f>(N131-O131)/N131*100</f>
        <v>75.58190601668862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2257.8000000000002</v>
      </c>
      <c r="D132" s="165">
        <f>VLOOKUP($B132,'Data shares'!$C:$FB,98)</f>
        <v>4412700</v>
      </c>
      <c r="E132" s="165">
        <f>VLOOKUP(B132,'Snapshot (Volume)'!$A$7:$G$168,7,0)</f>
        <v>4209075</v>
      </c>
      <c r="F132" s="165">
        <f t="shared" ref="F132:F139" si="45">D132-E132</f>
        <v>203625</v>
      </c>
      <c r="G132" s="166">
        <f t="shared" ref="G132:G139" si="46">F132/E132</f>
        <v>4.8377612658363177E-2</v>
      </c>
      <c r="H132" s="165">
        <f>VLOOKUP($B132,'Data shares'!$C:$FB,66)</f>
        <v>1111725</v>
      </c>
      <c r="I132" s="165">
        <f>VLOOKUP($B132,'Data shares'!$C:$FB,67)</f>
        <v>446850</v>
      </c>
      <c r="J132" s="81">
        <f t="shared" ref="J132:J139" si="47">(H132-I132)/I132*100</f>
        <v>148.79154078549851</v>
      </c>
      <c r="K132" s="81">
        <f>VLOOKUP($B132,'Data Vlaue (Cr)'!$C:$FB,99)</f>
        <v>1002</v>
      </c>
      <c r="L132" s="81">
        <f>VLOOKUP(B132,'OI(Value)'!$A$7:$C$232,3,0)</f>
        <v>46</v>
      </c>
      <c r="M132" s="81">
        <f t="shared" si="44"/>
        <v>4.5908183632734527</v>
      </c>
      <c r="N132" s="81">
        <f>VLOOKUP($B132,'Data Vlaue (Cr)'!$C:$FB,67)</f>
        <v>252</v>
      </c>
      <c r="O132" s="81">
        <f>VLOOKUP($B132,'Data Vlaue (Cr)'!$C:$FB,68)</f>
        <v>101</v>
      </c>
      <c r="P132" s="81">
        <f t="shared" ref="P132:P139" si="48">(N132-O132)/N132*100</f>
        <v>59.920634920634917</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784.55</v>
      </c>
      <c r="D133" s="165">
        <f>VLOOKUP($B133,'Data shares'!$C:$FB,98)</f>
        <v>27924000</v>
      </c>
      <c r="E133" s="165">
        <f>VLOOKUP(B133,'Snapshot (Volume)'!$A$7:$G$168,7,0)</f>
        <v>26574000</v>
      </c>
      <c r="F133" s="165">
        <f t="shared" si="45"/>
        <v>1350000</v>
      </c>
      <c r="G133" s="166">
        <f t="shared" si="46"/>
        <v>5.0801535335290131E-2</v>
      </c>
      <c r="H133" s="165">
        <f>VLOOKUP($B133,'Data shares'!$C:$FB,66)</f>
        <v>7202400</v>
      </c>
      <c r="I133" s="165">
        <f>VLOOKUP($B133,'Data shares'!$C:$FB,67)</f>
        <v>6330000</v>
      </c>
      <c r="J133" s="81">
        <f t="shared" si="47"/>
        <v>13.781990521327014</v>
      </c>
      <c r="K133" s="81">
        <f>VLOOKUP($B133,'Data Vlaue (Cr)'!$C:$FB,99)</f>
        <v>2203</v>
      </c>
      <c r="L133" s="81">
        <f>VLOOKUP(B133,'OI(Value)'!$A$7:$C$232,3,0)</f>
        <v>107</v>
      </c>
      <c r="M133" s="81">
        <f t="shared" si="44"/>
        <v>4.8570131638674532</v>
      </c>
      <c r="N133" s="81">
        <f>VLOOKUP($B133,'Data Vlaue (Cr)'!$C:$FB,67)</f>
        <v>568</v>
      </c>
      <c r="O133" s="81">
        <f>VLOOKUP($B133,'Data Vlaue (Cr)'!$C:$FB,68)</f>
        <v>499</v>
      </c>
      <c r="P133" s="81">
        <f t="shared" si="48"/>
        <v>12.147887323943662</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13580</v>
      </c>
      <c r="D134" s="82">
        <f>VLOOKUP($B134,'Data shares'!$C:$FB,98)</f>
        <v>5947550</v>
      </c>
      <c r="E134" s="165">
        <f>VLOOKUP(B134,'Snapshot (Volume)'!$A$7:$G$168,7,0)</f>
        <v>5463600</v>
      </c>
      <c r="F134" s="165">
        <f t="shared" si="45"/>
        <v>483950</v>
      </c>
      <c r="G134" s="166">
        <f t="shared" si="46"/>
        <v>8.857712863313566E-2</v>
      </c>
      <c r="H134" s="165">
        <f>VLOOKUP($B134,'Data shares'!$C:$FB,66)</f>
        <v>10811400</v>
      </c>
      <c r="I134" s="165">
        <f>VLOOKUP($B134,'Data shares'!$C:$FB,67)</f>
        <v>5926200</v>
      </c>
      <c r="J134" s="81">
        <f t="shared" si="47"/>
        <v>82.43393743039384</v>
      </c>
      <c r="K134" s="5">
        <f>VLOOKUP($B134,'Data Vlaue (Cr)'!$C:$FB,99)</f>
        <v>8122</v>
      </c>
      <c r="L134" s="81">
        <f>VLOOKUP(B134,'OI(Value)'!$A$7:$C$232,3,0)</f>
        <v>661</v>
      </c>
      <c r="M134" s="33">
        <f t="shared" si="44"/>
        <v>8.1383895592218654</v>
      </c>
      <c r="N134" s="5">
        <f>VLOOKUP($B134,'Data Vlaue (Cr)'!$C:$FB,67)</f>
        <v>14764</v>
      </c>
      <c r="O134" s="5">
        <f>VLOOKUP($B134,'Data Vlaue (Cr)'!$C:$FB,68)</f>
        <v>8093</v>
      </c>
      <c r="P134" s="5">
        <f t="shared" si="48"/>
        <v>45.184231915470065</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1011.55</v>
      </c>
      <c r="D135" s="82">
        <f>VLOOKUP($B135,'Data shares'!$C:$FB,98)</f>
        <v>16648800</v>
      </c>
      <c r="E135" s="165">
        <f>VLOOKUP(B135,'Snapshot (Volume)'!$A$7:$G$168,7,0)</f>
        <v>15876000</v>
      </c>
      <c r="F135" s="165">
        <f t="shared" si="45"/>
        <v>772800</v>
      </c>
      <c r="G135" s="166">
        <f t="shared" si="46"/>
        <v>4.867724867724868E-2</v>
      </c>
      <c r="H135" s="165">
        <f>VLOOKUP($B135,'Data shares'!$C:$FB,66)</f>
        <v>6404475</v>
      </c>
      <c r="I135" s="165">
        <f>VLOOKUP($B135,'Data shares'!$C:$FB,67)</f>
        <v>5383875</v>
      </c>
      <c r="J135" s="81">
        <f t="shared" si="47"/>
        <v>18.956606533398343</v>
      </c>
      <c r="K135" s="5">
        <f>VLOOKUP($B135,'Data Vlaue (Cr)'!$C:$FB,99)</f>
        <v>1694</v>
      </c>
      <c r="L135" s="81">
        <f>VLOOKUP(B135,'OI(Value)'!$A$7:$C$232,3,0)</f>
        <v>79</v>
      </c>
      <c r="M135" s="33">
        <f t="shared" si="44"/>
        <v>4.6635182998819369</v>
      </c>
      <c r="N135" s="5">
        <f>VLOOKUP($B135,'Data Vlaue (Cr)'!$C:$FB,67)</f>
        <v>652</v>
      </c>
      <c r="O135" s="5">
        <f>VLOOKUP($B135,'Data Vlaue (Cr)'!$C:$FB,68)</f>
        <v>548</v>
      </c>
      <c r="P135" s="5">
        <f t="shared" si="48"/>
        <v>15.950920245398773</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2611.6</v>
      </c>
      <c r="D136" s="82">
        <f>VLOOKUP($B136,'Data shares'!$C:$FB,98)</f>
        <v>11171950</v>
      </c>
      <c r="E136" s="165">
        <f>VLOOKUP(B136,'Snapshot (Volume)'!$A$7:$G$168,7,0)</f>
        <v>8303425</v>
      </c>
      <c r="F136" s="165">
        <f t="shared" si="45"/>
        <v>2868525</v>
      </c>
      <c r="G136" s="166">
        <f t="shared" si="46"/>
        <v>0.34546286622688832</v>
      </c>
      <c r="H136" s="165">
        <f>VLOOKUP($B136,'Data shares'!$C:$FB,66)</f>
        <v>17192000</v>
      </c>
      <c r="I136" s="165">
        <f>VLOOKUP($B136,'Data shares'!$C:$FB,67)</f>
        <v>6613200</v>
      </c>
      <c r="J136" s="81">
        <f t="shared" si="47"/>
        <v>159.96491864755339</v>
      </c>
      <c r="K136" s="5">
        <f>VLOOKUP($B136,'Data Vlaue (Cr)'!$C:$FB,99)</f>
        <v>2933</v>
      </c>
      <c r="L136" s="81">
        <f>VLOOKUP(B136,'OI(Value)'!$A$7:$C$232,3,0)</f>
        <v>753</v>
      </c>
      <c r="M136" s="33">
        <f t="shared" si="44"/>
        <v>25.673371974087967</v>
      </c>
      <c r="N136" s="5">
        <f>VLOOKUP($B136,'Data Vlaue (Cr)'!$C:$FB,67)</f>
        <v>4513</v>
      </c>
      <c r="O136" s="5">
        <f>VLOOKUP($B136,'Data Vlaue (Cr)'!$C:$FB,68)</f>
        <v>1736</v>
      </c>
      <c r="P136" s="5">
        <f t="shared" si="48"/>
        <v>61.533348105473074</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2912.9</v>
      </c>
      <c r="D137" s="82">
        <f>VLOOKUP($B137,'Data shares'!$C:$FB,98)</f>
        <v>20730625</v>
      </c>
      <c r="E137" s="165">
        <f>VLOOKUP(B137,'Snapshot (Volume)'!$A$7:$G$168,7,0)</f>
        <v>19623150</v>
      </c>
      <c r="F137" s="165">
        <f t="shared" si="45"/>
        <v>1107475</v>
      </c>
      <c r="G137" s="166">
        <f t="shared" si="46"/>
        <v>5.6437167325327484E-2</v>
      </c>
      <c r="H137" s="165">
        <f>VLOOKUP($B137,'Data shares'!$C:$FB,66)</f>
        <v>22602500</v>
      </c>
      <c r="I137" s="165">
        <f>VLOOKUP($B137,'Data shares'!$C:$FB,67)</f>
        <v>17009375</v>
      </c>
      <c r="J137" s="81">
        <f t="shared" si="47"/>
        <v>32.882601506522143</v>
      </c>
      <c r="K137" s="5">
        <f>VLOOKUP($B137,'Data Vlaue (Cr)'!$C:$FB,99)</f>
        <v>6073</v>
      </c>
      <c r="L137" s="81">
        <f>VLOOKUP(B137,'OI(Value)'!$A$7:$C$232,3,0)</f>
        <v>324</v>
      </c>
      <c r="M137" s="33">
        <f t="shared" si="44"/>
        <v>5.3350897414786758</v>
      </c>
      <c r="N137" s="5">
        <f>VLOOKUP($B137,'Data Vlaue (Cr)'!$C:$FB,67)</f>
        <v>6621</v>
      </c>
      <c r="O137" s="5">
        <f>VLOOKUP($B137,'Data Vlaue (Cr)'!$C:$FB,68)</f>
        <v>4983</v>
      </c>
      <c r="P137" s="5">
        <f t="shared" si="48"/>
        <v>24.739465337562301</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1606.7</v>
      </c>
      <c r="D138" s="82">
        <f>VLOOKUP($B138,'Data shares'!$C:$FB,98)</f>
        <v>9849600</v>
      </c>
      <c r="E138" s="165">
        <f>VLOOKUP(B138,'Snapshot (Volume)'!$A$7:$G$168,7,0)</f>
        <v>9666800</v>
      </c>
      <c r="F138" s="165">
        <f t="shared" si="45"/>
        <v>182800</v>
      </c>
      <c r="G138" s="166">
        <f t="shared" si="46"/>
        <v>1.8910083998841396E-2</v>
      </c>
      <c r="H138" s="165">
        <f>VLOOKUP($B138,'Data shares'!$C:$FB,66)</f>
        <v>1053600</v>
      </c>
      <c r="I138" s="165">
        <f>VLOOKUP($B138,'Data shares'!$C:$FB,67)</f>
        <v>551200</v>
      </c>
      <c r="J138" s="81">
        <f t="shared" si="47"/>
        <v>91.146589259796812</v>
      </c>
      <c r="K138" s="5">
        <f>VLOOKUP($B138,'Data Vlaue (Cr)'!$C:$FB,99)</f>
        <v>1591</v>
      </c>
      <c r="L138" s="81">
        <f>VLOOKUP(B138,'OI(Value)'!$A$7:$C$232,3,0)</f>
        <v>30</v>
      </c>
      <c r="M138" s="33">
        <f t="shared" si="44"/>
        <v>1.8856065367693273</v>
      </c>
      <c r="N138" s="5">
        <f>VLOOKUP($B138,'Data Vlaue (Cr)'!$C:$FB,67)</f>
        <v>170</v>
      </c>
      <c r="O138" s="5">
        <f>VLOOKUP($B138,'Data Vlaue (Cr)'!$C:$FB,68)</f>
        <v>89</v>
      </c>
      <c r="P138" s="5">
        <f t="shared" si="48"/>
        <v>47.647058823529406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13930.2</v>
      </c>
      <c r="D139" s="82">
        <f>VLOOKUP($B139,'Data shares'!$C:$FB,98)</f>
        <v>9549720</v>
      </c>
      <c r="E139" s="165">
        <f>VLOOKUP(B139,'Snapshot (Volume)'!$A$7:$G$168,7,0)</f>
        <v>8384760</v>
      </c>
      <c r="F139" s="165">
        <f t="shared" si="45"/>
        <v>1164960</v>
      </c>
      <c r="G139" s="166">
        <f t="shared" si="46"/>
        <v>0.13893778712807522</v>
      </c>
      <c r="H139" s="165">
        <f>VLOOKUP($B139,'Data shares'!$C:$FB,66)</f>
        <v>13769160</v>
      </c>
      <c r="I139" s="165">
        <f>VLOOKUP($B139,'Data shares'!$C:$FB,67)</f>
        <v>13611120</v>
      </c>
      <c r="J139" s="81">
        <f t="shared" si="47"/>
        <v>1.1611094458060762</v>
      </c>
      <c r="K139" s="5">
        <f>VLOOKUP($B139,'Data Vlaue (Cr)'!$C:$FB,99)</f>
        <v>13336</v>
      </c>
      <c r="L139" s="81">
        <f>VLOOKUP(B139,'OI(Value)'!$A$7:$C$232,3,0)</f>
        <v>1627</v>
      </c>
      <c r="M139" s="33">
        <f t="shared" si="44"/>
        <v>12.200059988002399</v>
      </c>
      <c r="N139" s="5">
        <f>VLOOKUP($B139,'Data Vlaue (Cr)'!$C:$FB,67)</f>
        <v>19228</v>
      </c>
      <c r="O139" s="5">
        <f>VLOOKUP($B139,'Data Vlaue (Cr)'!$C:$FB,68)</f>
        <v>19007</v>
      </c>
      <c r="P139" s="5">
        <f t="shared" si="48"/>
        <v>1.1493655086332433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120.21</v>
      </c>
      <c r="D140" s="165">
        <f>VLOOKUP($B140,'Data shares'!$C:$FB,98)</f>
        <v>178860450</v>
      </c>
      <c r="E140" s="165">
        <f>VLOOKUP(B140,'Snapshot (Volume)'!$A$7:$G$168,7,0)</f>
        <v>174407850</v>
      </c>
      <c r="F140" s="165">
        <f>D140-E140</f>
        <v>4452600</v>
      </c>
      <c r="G140" s="166">
        <f>F140/E140</f>
        <v>2.552981416834162E-2</v>
      </c>
      <c r="H140" s="165">
        <f>VLOOKUP($B140,'Data shares'!$C:$FB,66)</f>
        <v>33511350</v>
      </c>
      <c r="I140" s="165">
        <f>VLOOKUP($B140,'Data shares'!$C:$FB,67)</f>
        <v>59224500</v>
      </c>
      <c r="J140" s="81">
        <f>(H140-I140)/I140*100</f>
        <v>-43.416407061266874</v>
      </c>
      <c r="K140" s="81">
        <f>VLOOKUP($B140,'Data Vlaue (Cr)'!$C:$FB,99)</f>
        <v>2160</v>
      </c>
      <c r="L140" s="81">
        <f>VLOOKUP(B140,'OI(Value)'!$A$7:$C$232,3,0)</f>
        <v>54</v>
      </c>
      <c r="M140" s="81">
        <f t="shared" si="44"/>
        <v>2.5</v>
      </c>
      <c r="N140" s="81">
        <f>VLOOKUP($B140,'Data Vlaue (Cr)'!$C:$FB,67)</f>
        <v>405</v>
      </c>
      <c r="O140" s="81">
        <f>VLOOKUP($B140,'Data Vlaue (Cr)'!$C:$FB,68)</f>
        <v>715</v>
      </c>
      <c r="P140" s="81">
        <f>(N140-O140)/N140*100</f>
        <v>-76.543209876543202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Finance</v>
      </c>
      <c r="B141" s="79" t="str">
        <f>'Data shares'!C136</f>
        <v>MOTILALOFS</v>
      </c>
      <c r="C141" s="4">
        <f>VLOOKUP($B141,'Data shares'!$C:$FB,7)</f>
        <v>836.6</v>
      </c>
      <c r="D141" s="82">
        <f>VLOOKUP($B141,'Data shares'!$C:$FB,98)</f>
        <v>6244175</v>
      </c>
      <c r="E141" s="165">
        <f>VLOOKUP(B141,'Snapshot (Volume)'!$A$7:$G$168,7,0)</f>
        <v>5953550</v>
      </c>
      <c r="F141" s="165">
        <f>D141-E141</f>
        <v>290625</v>
      </c>
      <c r="G141" s="166">
        <f>F141/E141</f>
        <v>4.8815412652954956E-2</v>
      </c>
      <c r="H141" s="165">
        <f>VLOOKUP($B141,'Data shares'!$C:$FB,66)</f>
        <v>8339000</v>
      </c>
      <c r="I141" s="165">
        <f>VLOOKUP($B141,'Data shares'!$C:$FB,67)</f>
        <v>16047150</v>
      </c>
      <c r="J141" s="81">
        <f>(H141-I141)/I141*100</f>
        <v>-48.034386168260404</v>
      </c>
      <c r="K141" s="5">
        <f>VLOOKUP($B141,'Data Vlaue (Cr)'!$C:$FB,99)</f>
        <v>525</v>
      </c>
      <c r="L141" s="81">
        <f>VLOOKUP(B141,'OI(Value)'!$A$7:$C$232,3,0)</f>
        <v>24</v>
      </c>
      <c r="M141" s="33">
        <f t="shared" si="44"/>
        <v>4.5714285714285712</v>
      </c>
      <c r="N141" s="5">
        <f>VLOOKUP($B141,'Data Vlaue (Cr)'!$C:$FB,67)</f>
        <v>701</v>
      </c>
      <c r="O141" s="5">
        <f>VLOOKUP($B141,'Data Vlaue (Cr)'!$C:$FB,68)</f>
        <v>1349</v>
      </c>
      <c r="P141" s="5">
        <f>(N141-O141)/N141*100</f>
        <v>-92.43937232524965</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Technology</v>
      </c>
      <c r="B142" s="79" t="str">
        <f>'Data shares'!C137</f>
        <v>MPHASIS</v>
      </c>
      <c r="C142" s="4">
        <f>VLOOKUP($B142,'Data shares'!$C:$FB,7)</f>
        <v>2276.6</v>
      </c>
      <c r="D142" s="82">
        <f>VLOOKUP($B142,'Data shares'!$C:$FB,98)</f>
        <v>7153300</v>
      </c>
      <c r="E142" s="165">
        <f>VLOOKUP(B142,'Snapshot (Volume)'!$A$7:$G$168,7,0)</f>
        <v>7349100</v>
      </c>
      <c r="F142" s="165">
        <f>D142-E142</f>
        <v>-195800</v>
      </c>
      <c r="G142" s="166">
        <f>F142/E142</f>
        <v>-2.6642718155964674E-2</v>
      </c>
      <c r="H142" s="165">
        <f>VLOOKUP($B142,'Data shares'!$C:$FB,66)</f>
        <v>2750825</v>
      </c>
      <c r="I142" s="165">
        <f>VLOOKUP($B142,'Data shares'!$C:$FB,67)</f>
        <v>17318400</v>
      </c>
      <c r="J142" s="81">
        <f>(H142-I142)/I142*100</f>
        <v>-84.116171239837399</v>
      </c>
      <c r="K142" s="5">
        <f>VLOOKUP($B142,'Data Vlaue (Cr)'!$C:$FB,99)</f>
        <v>1634</v>
      </c>
      <c r="L142" s="81">
        <f>VLOOKUP(B142,'OI(Value)'!$A$7:$C$232,3,0)</f>
        <v>-45</v>
      </c>
      <c r="M142" s="33">
        <f t="shared" si="44"/>
        <v>-2.7539779681762546</v>
      </c>
      <c r="N142" s="5">
        <f>VLOOKUP($B142,'Data Vlaue (Cr)'!$C:$FB,67)</f>
        <v>628</v>
      </c>
      <c r="O142" s="5">
        <f>VLOOKUP($B142,'Data Vlaue (Cr)'!$C:$FB,68)</f>
        <v>3956</v>
      </c>
      <c r="P142" s="5">
        <f>(N142-O142)/N142*100</f>
        <v>-529.93630573248402</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MUTHOOTFIN</v>
      </c>
      <c r="C143" s="4">
        <f>VLOOKUP($B143,'Data shares'!$C:$FB,7)</f>
        <v>3487.7</v>
      </c>
      <c r="D143" s="82">
        <f>VLOOKUP($B143,'Data shares'!$C:$FB,98)</f>
        <v>5396600</v>
      </c>
      <c r="E143" s="165">
        <f>VLOOKUP(B143,'Snapshot (Volume)'!$A$7:$G$168,7,0)</f>
        <v>5114450</v>
      </c>
      <c r="F143" s="165">
        <f>D143-E143</f>
        <v>282150</v>
      </c>
      <c r="G143" s="166">
        <f>F143/E143</f>
        <v>5.51672222819658E-2</v>
      </c>
      <c r="H143" s="165">
        <f>VLOOKUP($B143,'Data shares'!$C:$FB,66)</f>
        <v>2223925</v>
      </c>
      <c r="I143" s="165">
        <f>VLOOKUP($B143,'Data shares'!$C:$FB,67)</f>
        <v>1442650</v>
      </c>
      <c r="J143" s="81">
        <f>(H143-I143)/I143*100</f>
        <v>54.155547083492181</v>
      </c>
      <c r="K143" s="5">
        <f>VLOOKUP($B143,'Data Vlaue (Cr)'!$C:$FB,99)</f>
        <v>1891</v>
      </c>
      <c r="L143" s="81">
        <f>VLOOKUP(B143,'OI(Value)'!$A$7:$C$232,3,0)</f>
        <v>99</v>
      </c>
      <c r="M143" s="33">
        <f t="shared" si="44"/>
        <v>5.2353252247488102</v>
      </c>
      <c r="N143" s="5">
        <f>VLOOKUP($B143,'Data Vlaue (Cr)'!$C:$FB,67)</f>
        <v>779</v>
      </c>
      <c r="O143" s="5">
        <f>VLOOKUP($B143,'Data Vlaue (Cr)'!$C:$FB,68)</f>
        <v>505</v>
      </c>
      <c r="P143" s="5">
        <f>(N143-O143)/N143*100</f>
        <v>35.173299101412063</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NAM-INDIA</v>
      </c>
      <c r="C144" s="4">
        <f>VLOOKUP($B144,'Data shares'!$C:$FB,7)</f>
        <v>1019.3</v>
      </c>
      <c r="D144" s="82">
        <f>VLOOKUP($B144,'Data shares'!$C:$FB,98)</f>
        <v>5109375</v>
      </c>
      <c r="E144" s="165">
        <f>VLOOKUP(B144,'Snapshot (Volume)'!$A$7:$G$168,7,0)</f>
        <v>5000625</v>
      </c>
      <c r="F144" s="165">
        <f>D144-E144</f>
        <v>108750</v>
      </c>
      <c r="G144" s="166">
        <f>F144/E144</f>
        <v>2.1747281589801274E-2</v>
      </c>
      <c r="H144" s="165">
        <f>VLOOKUP($B144,'Data shares'!$C:$FB,66)</f>
        <v>1692500</v>
      </c>
      <c r="I144" s="165">
        <f>VLOOKUP($B144,'Data shares'!$C:$FB,67)</f>
        <v>3342500</v>
      </c>
      <c r="J144" s="81">
        <f>(H144-I144)/I144*100</f>
        <v>-49.364248317127895</v>
      </c>
      <c r="K144" s="5">
        <f>VLOOKUP($B144,'Data Vlaue (Cr)'!$C:$FB,99)</f>
        <v>522</v>
      </c>
      <c r="L144" s="81">
        <f>VLOOKUP(B144,'OI(Value)'!$A$7:$C$232,3,0)</f>
        <v>11</v>
      </c>
      <c r="M144" s="33">
        <f t="shared" si="44"/>
        <v>2.1072796934865901</v>
      </c>
      <c r="N144" s="5">
        <f>VLOOKUP($B144,'Data Vlaue (Cr)'!$C:$FB,67)</f>
        <v>173</v>
      </c>
      <c r="O144" s="5">
        <f>VLOOKUP($B144,'Data Vlaue (Cr)'!$C:$FB,68)</f>
        <v>341</v>
      </c>
      <c r="P144" s="5">
        <f>(N144-O144)/N144*100</f>
        <v>-97.109826589595372</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Metals</v>
      </c>
      <c r="B145" s="79" t="str">
        <f>'Data shares'!C140</f>
        <v>NATIONALUM</v>
      </c>
      <c r="C145" s="4">
        <f>VLOOKUP($B145,'Data shares'!$C:$FB,7)</f>
        <v>407.8</v>
      </c>
      <c r="D145" s="82">
        <f>VLOOKUP($B145,'Data shares'!$C:$FB,98)</f>
        <v>95660625</v>
      </c>
      <c r="E145" s="165">
        <f>VLOOKUP(B145,'Snapshot (Volume)'!$A$7:$G$168,7,0)</f>
        <v>91365000</v>
      </c>
      <c r="F145" s="165">
        <f t="shared" ref="F145:F152" si="49">D145-E145</f>
        <v>4295625</v>
      </c>
      <c r="G145" s="166">
        <f t="shared" ref="G145:G153" si="50">F145/E145</f>
        <v>4.7016089312099822E-2</v>
      </c>
      <c r="H145" s="165">
        <f>VLOOKUP($B145,'Data shares'!$C:$FB,66)</f>
        <v>99039375</v>
      </c>
      <c r="I145" s="165">
        <f>VLOOKUP($B145,'Data shares'!$C:$FB,67)</f>
        <v>124876875</v>
      </c>
      <c r="J145" s="81">
        <f t="shared" ref="J145:J153" si="51">(H145-I145)/I145*100</f>
        <v>-20.690380024323961</v>
      </c>
      <c r="K145" s="5">
        <f>VLOOKUP($B145,'Data Vlaue (Cr)'!$C:$FB,99)</f>
        <v>3911</v>
      </c>
      <c r="L145" s="81">
        <f>VLOOKUP(B145,'OI(Value)'!$A$7:$C$232,3,0)</f>
        <v>176</v>
      </c>
      <c r="M145" s="33">
        <f t="shared" ref="M145:M153" si="52">L145/K145*100</f>
        <v>4.500127844541038</v>
      </c>
      <c r="N145" s="5">
        <f>VLOOKUP($B145,'Data Vlaue (Cr)'!$C:$FB,67)</f>
        <v>4049</v>
      </c>
      <c r="O145" s="5">
        <f>VLOOKUP($B145,'Data Vlaue (Cr)'!$C:$FB,68)</f>
        <v>5106</v>
      </c>
      <c r="P145" s="5">
        <f t="shared" ref="P145:P152" si="53">(N145-O145)/N145*100</f>
        <v>-26.105211163250186</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New_Age</v>
      </c>
      <c r="B146" s="79" t="str">
        <f>'Data shares'!C141</f>
        <v>NAUKRI</v>
      </c>
      <c r="C146" s="4">
        <f>VLOOKUP($B146,'Data shares'!$C:$FB,7)</f>
        <v>976.65</v>
      </c>
      <c r="D146" s="82">
        <f>VLOOKUP($B146,'Data shares'!$C:$FB,98)</f>
        <v>13502450</v>
      </c>
      <c r="E146" s="165">
        <f>VLOOKUP(B146,'Snapshot (Volume)'!$A$7:$G$168,7,0)</f>
        <v>13392200</v>
      </c>
      <c r="F146" s="165">
        <f t="shared" si="49"/>
        <v>110250</v>
      </c>
      <c r="G146" s="166">
        <f t="shared" si="50"/>
        <v>8.2324039366198226E-3</v>
      </c>
      <c r="H146" s="165">
        <f>VLOOKUP($B146,'Data shares'!$C:$FB,66)</f>
        <v>2520375</v>
      </c>
      <c r="I146" s="165">
        <f>VLOOKUP($B146,'Data shares'!$C:$FB,67)</f>
        <v>4059000</v>
      </c>
      <c r="J146" s="81">
        <f t="shared" si="51"/>
        <v>-37.90650406504065</v>
      </c>
      <c r="K146" s="5">
        <f>VLOOKUP($B146,'Data Vlaue (Cr)'!$C:$FB,99)</f>
        <v>1326</v>
      </c>
      <c r="L146" s="81">
        <f>VLOOKUP(B146,'OI(Value)'!$A$7:$C$232,3,0)</f>
        <v>11</v>
      </c>
      <c r="M146" s="33">
        <f t="shared" si="52"/>
        <v>0.82956259426847667</v>
      </c>
      <c r="N146" s="5">
        <f>VLOOKUP($B146,'Data Vlaue (Cr)'!$C:$FB,67)</f>
        <v>248</v>
      </c>
      <c r="O146" s="5">
        <f>VLOOKUP($B146,'Data Vlaue (Cr)'!$C:$FB,68)</f>
        <v>399</v>
      </c>
      <c r="P146" s="5">
        <f t="shared" si="53"/>
        <v>-60.887096774193552</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Realty</v>
      </c>
      <c r="B147" s="79" t="str">
        <f>'Data shares'!C142</f>
        <v>NBCC</v>
      </c>
      <c r="C147" s="4">
        <f>VLOOKUP($B147,'Data shares'!$C:$FB,7)</f>
        <v>92.52</v>
      </c>
      <c r="D147" s="82">
        <f>VLOOKUP($B147,'Data shares'!$C:$FB,98)</f>
        <v>100165000</v>
      </c>
      <c r="E147" s="165">
        <f>VLOOKUP(B147,'Snapshot (Volume)'!$A$7:$G$168,7,0)</f>
        <v>95784000</v>
      </c>
      <c r="F147" s="165">
        <f t="shared" si="49"/>
        <v>4381000</v>
      </c>
      <c r="G147" s="166">
        <f t="shared" si="50"/>
        <v>4.5738327904451682E-2</v>
      </c>
      <c r="H147" s="165">
        <f>VLOOKUP($B147,'Data shares'!$C:$FB,66)</f>
        <v>20065500</v>
      </c>
      <c r="I147" s="165">
        <f>VLOOKUP($B147,'Data shares'!$C:$FB,67)</f>
        <v>26182000</v>
      </c>
      <c r="J147" s="81">
        <f t="shared" si="51"/>
        <v>-23.361469712015889</v>
      </c>
      <c r="K147" s="5">
        <f>VLOOKUP($B147,'Data Vlaue (Cr)'!$C:$FB,99)</f>
        <v>933</v>
      </c>
      <c r="L147" s="81">
        <f>VLOOKUP(B147,'OI(Value)'!$A$7:$C$232,3,0)</f>
        <v>41</v>
      </c>
      <c r="M147" s="33">
        <f t="shared" si="52"/>
        <v>4.394426580921758</v>
      </c>
      <c r="N147" s="5">
        <f>VLOOKUP($B147,'Data Vlaue (Cr)'!$C:$FB,67)</f>
        <v>187</v>
      </c>
      <c r="O147" s="5">
        <f>VLOOKUP($B147,'Data Vlaue (Cr)'!$C:$FB,68)</f>
        <v>244</v>
      </c>
      <c r="P147" s="5">
        <f t="shared" si="53"/>
        <v>-30.481283422459892</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FMCG</v>
      </c>
      <c r="B148" s="79" t="str">
        <f>'Data shares'!C143</f>
        <v>NESTLEIND</v>
      </c>
      <c r="C148" s="4">
        <f>VLOOKUP($B148,'Data shares'!$C:$FB,7)</f>
        <v>1457.1</v>
      </c>
      <c r="D148" s="82">
        <f>VLOOKUP($B148,'Data shares'!$C:$FB,98)</f>
        <v>21420500</v>
      </c>
      <c r="E148" s="165">
        <f>VLOOKUP(B148,'Snapshot (Volume)'!$A$7:$G$168,7,0)</f>
        <v>21296500</v>
      </c>
      <c r="F148" s="165">
        <f t="shared" si="49"/>
        <v>124000</v>
      </c>
      <c r="G148" s="166">
        <f t="shared" si="50"/>
        <v>5.8225530016669403E-3</v>
      </c>
      <c r="H148" s="165">
        <f>VLOOKUP($B148,'Data shares'!$C:$FB,66)</f>
        <v>7324500</v>
      </c>
      <c r="I148" s="165">
        <f>VLOOKUP($B148,'Data shares'!$C:$FB,67)</f>
        <v>10733500</v>
      </c>
      <c r="J148" s="81">
        <f t="shared" si="51"/>
        <v>-31.760376391670935</v>
      </c>
      <c r="K148" s="5">
        <f>VLOOKUP($B148,'Data Vlaue (Cr)'!$C:$FB,99)</f>
        <v>3128</v>
      </c>
      <c r="L148" s="81">
        <f>VLOOKUP(B148,'OI(Value)'!$A$7:$C$232,3,0)</f>
        <v>18</v>
      </c>
      <c r="M148" s="33">
        <f t="shared" si="52"/>
        <v>0.57544757033248084</v>
      </c>
      <c r="N148" s="5">
        <f>VLOOKUP($B148,'Data Vlaue (Cr)'!$C:$FB,67)</f>
        <v>1069</v>
      </c>
      <c r="O148" s="5">
        <f>VLOOKUP($B148,'Data Vlaue (Cr)'!$C:$FB,68)</f>
        <v>1567</v>
      </c>
      <c r="P148" s="5">
        <f t="shared" si="53"/>
        <v>-46.585594013096355</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Power</v>
      </c>
      <c r="B149" s="79" t="str">
        <f>'Data shares'!C144</f>
        <v>NHPC</v>
      </c>
      <c r="C149" s="4">
        <f>VLOOKUP($B149,'Data shares'!$C:$FB,7)</f>
        <v>83.28</v>
      </c>
      <c r="D149" s="82">
        <f>VLOOKUP($B149,'Data shares'!$C:$FB,98)</f>
        <v>157934150</v>
      </c>
      <c r="E149" s="165">
        <f>VLOOKUP(B149,'Snapshot (Volume)'!$A$7:$G$168,7,0)</f>
        <v>150857750</v>
      </c>
      <c r="F149" s="165">
        <f t="shared" si="49"/>
        <v>7076400</v>
      </c>
      <c r="G149" s="166">
        <f t="shared" si="50"/>
        <v>4.690776575946546E-2</v>
      </c>
      <c r="H149" s="165">
        <f>VLOOKUP($B149,'Data shares'!$C:$FB,66)</f>
        <v>53606400</v>
      </c>
      <c r="I149" s="165">
        <f>VLOOKUP($B149,'Data shares'!$C:$FB,67)</f>
        <v>58912000</v>
      </c>
      <c r="J149" s="81">
        <f t="shared" si="51"/>
        <v>-9.005975013579576</v>
      </c>
      <c r="K149" s="5">
        <f>VLOOKUP($B149,'Data Vlaue (Cr)'!$C:$FB,99)</f>
        <v>1306</v>
      </c>
      <c r="L149" s="81">
        <f>VLOOKUP(B149,'OI(Value)'!$A$7:$C$232,3,0)</f>
        <v>59</v>
      </c>
      <c r="M149" s="33">
        <f t="shared" si="52"/>
        <v>4.5176110260336904</v>
      </c>
      <c r="N149" s="5">
        <f>VLOOKUP($B149,'Data Vlaue (Cr)'!$C:$FB,67)</f>
        <v>443</v>
      </c>
      <c r="O149" s="5">
        <f>VLOOKUP($B149,'Data Vlaue (Cr)'!$C:$FB,68)</f>
        <v>487</v>
      </c>
      <c r="P149" s="5">
        <f t="shared" si="53"/>
        <v>-9.932279909706546</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v>
      </c>
      <c r="C150" s="4">
        <f>VLOOKUP($B150,'Data shares'!$C:$FB,7)</f>
        <v>24119.3</v>
      </c>
      <c r="D150" s="82">
        <f>VLOOKUP($B150,'Data shares'!$C:$FB,98)</f>
        <v>560265400</v>
      </c>
      <c r="E150" s="165">
        <f>VLOOKUP(B150,'Snapshot (Volume)'!$A$7:$G$168,7,0)</f>
        <v>418842100</v>
      </c>
      <c r="F150" s="165">
        <f t="shared" si="49"/>
        <v>141423300</v>
      </c>
      <c r="G150" s="166">
        <f t="shared" si="50"/>
        <v>0.33765302007606207</v>
      </c>
      <c r="H150" s="165">
        <f>VLOOKUP($B150,'Data shares'!$C:$FB,66)</f>
        <v>11303527690</v>
      </c>
      <c r="I150" s="165">
        <f>VLOOKUP($B150,'Data shares'!$C:$FB,67)</f>
        <v>3273439455</v>
      </c>
      <c r="J150" s="81">
        <f t="shared" si="51"/>
        <v>245.31042487236104</v>
      </c>
      <c r="K150" s="5">
        <f>VLOOKUP($B150,'Data Vlaue (Cr)'!$C:$FB,99)</f>
        <v>1356178</v>
      </c>
      <c r="L150" s="81">
        <f>VLOOKUP(B150,'OI(Value)'!$A$7:$C$232,3,0)</f>
        <v>342329</v>
      </c>
      <c r="M150" s="33">
        <f t="shared" si="52"/>
        <v>25.242187972375309</v>
      </c>
      <c r="N150" s="5">
        <f>VLOOKUP($B150,'Data Vlaue (Cr)'!$C:$FB,67)</f>
        <v>27361319</v>
      </c>
      <c r="O150" s="5">
        <f>VLOOKUP($B150,'Data Vlaue (Cr)'!$C:$FB,68)</f>
        <v>7923688</v>
      </c>
      <c r="P150" s="5">
        <f t="shared" si="53"/>
        <v>71.040548154860517</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Index</v>
      </c>
      <c r="B151" s="79" t="str">
        <f>'Data shares'!C146</f>
        <v>NIFTYNXT50</v>
      </c>
      <c r="C151" s="4">
        <f>VLOOKUP($B151,'Data shares'!$C:$FB,7)</f>
        <v>70283.850000000006</v>
      </c>
      <c r="D151" s="82">
        <f>VLOOKUP($B151,'Data shares'!$C:$FB,98)</f>
        <v>20225</v>
      </c>
      <c r="E151" s="165">
        <f>VLOOKUP(B151,'Snapshot (Volume)'!$A$7:$G$168,7,0)</f>
        <v>19175</v>
      </c>
      <c r="F151" s="165">
        <f t="shared" si="49"/>
        <v>1050</v>
      </c>
      <c r="G151" s="166">
        <f t="shared" si="50"/>
        <v>5.4758800521512385E-2</v>
      </c>
      <c r="H151" s="165">
        <f>VLOOKUP($B151,'Data shares'!$C:$FB,66)</f>
        <v>8850</v>
      </c>
      <c r="I151" s="165">
        <f>VLOOKUP($B151,'Data shares'!$C:$FB,67)</f>
        <v>6600</v>
      </c>
      <c r="J151" s="81">
        <f t="shared" si="51"/>
        <v>34.090909090909086</v>
      </c>
      <c r="K151" s="5">
        <f>VLOOKUP($B151,'Data Vlaue (Cr)'!$C:$FB,99)</f>
        <v>143</v>
      </c>
      <c r="L151" s="81">
        <f>VLOOKUP(B151,'OI(Value)'!$A$7:$C$232,3,0)</f>
        <v>7</v>
      </c>
      <c r="M151" s="33">
        <f t="shared" si="52"/>
        <v>4.895104895104895</v>
      </c>
      <c r="N151" s="5">
        <f>VLOOKUP($B151,'Data Vlaue (Cr)'!$C:$FB,67)</f>
        <v>62</v>
      </c>
      <c r="O151" s="5">
        <f>VLOOKUP($B151,'Data Vlaue (Cr)'!$C:$FB,68)</f>
        <v>47</v>
      </c>
      <c r="P151" s="5">
        <f t="shared" si="53"/>
        <v>24.193548387096776</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Metals</v>
      </c>
      <c r="B152" s="79" t="str">
        <f>'Data shares'!C147</f>
        <v>NMDC</v>
      </c>
      <c r="C152" s="4">
        <f>VLOOKUP($B152,'Data shares'!$C:$FB,7)</f>
        <v>89.09</v>
      </c>
      <c r="D152" s="82">
        <f>VLOOKUP($B152,'Data shares'!$C:$FB,98)</f>
        <v>419438250</v>
      </c>
      <c r="E152" s="165">
        <f>VLOOKUP(B152,'Snapshot (Volume)'!$A$7:$G$168,7,0)</f>
        <v>409509000</v>
      </c>
      <c r="F152" s="165">
        <f t="shared" si="49"/>
        <v>9929250</v>
      </c>
      <c r="G152" s="166">
        <f t="shared" si="50"/>
        <v>2.4246719852310937E-2</v>
      </c>
      <c r="H152" s="165">
        <f>VLOOKUP($B152,'Data shares'!$C:$FB,66)</f>
        <v>92913750</v>
      </c>
      <c r="I152" s="165">
        <f>VLOOKUP($B152,'Data shares'!$C:$FB,67)</f>
        <v>83760750</v>
      </c>
      <c r="J152" s="81">
        <f t="shared" si="51"/>
        <v>10.927552582802806</v>
      </c>
      <c r="K152" s="5">
        <f>VLOOKUP($B152,'Data Vlaue (Cr)'!$C:$FB,99)</f>
        <v>3762</v>
      </c>
      <c r="L152" s="81">
        <f>VLOOKUP(B152,'OI(Value)'!$A$7:$C$232,3,0)</f>
        <v>89</v>
      </c>
      <c r="M152" s="33">
        <f t="shared" si="52"/>
        <v>2.3657628920786813</v>
      </c>
      <c r="N152" s="5">
        <f>VLOOKUP($B152,'Data Vlaue (Cr)'!$C:$FB,67)</f>
        <v>833</v>
      </c>
      <c r="O152" s="5">
        <f>VLOOKUP($B152,'Data Vlaue (Cr)'!$C:$FB,68)</f>
        <v>751</v>
      </c>
      <c r="P152" s="5">
        <f t="shared" si="53"/>
        <v>9.8439375750300115</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Power</v>
      </c>
      <c r="B153" s="79" t="str">
        <f>'Data shares'!C148</f>
        <v>NTPC</v>
      </c>
      <c r="C153" s="4">
        <f>VLOOKUP($B153,'Data shares'!$C:$FB,7)</f>
        <v>400.05</v>
      </c>
      <c r="D153" s="82">
        <f>VLOOKUP($B153,'Data shares'!$C:$FB,98)</f>
        <v>157033500</v>
      </c>
      <c r="E153" s="165">
        <f>VLOOKUP(B153,'Snapshot (Volume)'!$A$7:$G$168,7,0)</f>
        <v>153456000</v>
      </c>
      <c r="F153" s="165">
        <f>D153-E153</f>
        <v>3577500</v>
      </c>
      <c r="G153" s="166">
        <f t="shared" si="50"/>
        <v>2.3312871441976853E-2</v>
      </c>
      <c r="H153" s="165">
        <f>VLOOKUP($B153,'Data shares'!$C:$FB,66)</f>
        <v>41892000</v>
      </c>
      <c r="I153" s="165">
        <f>VLOOKUP($B153,'Data shares'!$C:$FB,67)</f>
        <v>61567500</v>
      </c>
      <c r="J153" s="81">
        <f t="shared" si="51"/>
        <v>-31.957607503959068</v>
      </c>
      <c r="K153" s="5">
        <f>VLOOKUP($B153,'Data Vlaue (Cr)'!$C:$FB,99)</f>
        <v>6316</v>
      </c>
      <c r="L153" s="81">
        <f>VLOOKUP(B153,'OI(Value)'!$A$7:$C$232,3,0)</f>
        <v>144</v>
      </c>
      <c r="M153" s="33">
        <f t="shared" si="52"/>
        <v>2.279924002533249</v>
      </c>
      <c r="N153" s="5">
        <f>VLOOKUP($B153,'Data Vlaue (Cr)'!$C:$FB,67)</f>
        <v>1685</v>
      </c>
      <c r="O153" s="5">
        <f>VLOOKUP($B153,'Data Vlaue (Cr)'!$C:$FB,68)</f>
        <v>2476</v>
      </c>
      <c r="P153" s="5">
        <f>(N153-O153)/N153*100</f>
        <v>-46.943620178041542</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Finance</v>
      </c>
      <c r="B154" s="79" t="str">
        <f>'Data shares'!C149</f>
        <v>NUVAMA</v>
      </c>
      <c r="C154" s="4">
        <f>VLOOKUP($B154,'Data shares'!$C:$FB,7)</f>
        <v>1329.3</v>
      </c>
      <c r="D154" s="82">
        <f>VLOOKUP($B154,'Data shares'!$C:$FB,98)</f>
        <v>2104500</v>
      </c>
      <c r="E154" s="165">
        <f>VLOOKUP(B154,'Snapshot (Volume)'!$A$7:$G$168,7,0)</f>
        <v>2010000</v>
      </c>
      <c r="F154" s="165">
        <f t="shared" ref="F154:F166" si="54">D154-E154</f>
        <v>94500</v>
      </c>
      <c r="G154" s="166">
        <f t="shared" ref="G154:G166" si="55">F154/E154</f>
        <v>4.7014925373134328E-2</v>
      </c>
      <c r="H154" s="165">
        <f>VLOOKUP($B154,'Data shares'!$C:$FB,66)</f>
        <v>1267000</v>
      </c>
      <c r="I154" s="165">
        <f>VLOOKUP($B154,'Data shares'!$C:$FB,67)</f>
        <v>1046500</v>
      </c>
      <c r="J154" s="81">
        <f t="shared" ref="J154:J166" si="56">(H154-I154)/I154*100</f>
        <v>21.070234113712374</v>
      </c>
      <c r="K154" s="5">
        <f>VLOOKUP($B154,'Data Vlaue (Cr)'!$C:$FB,99)</f>
        <v>282</v>
      </c>
      <c r="L154" s="81">
        <f>VLOOKUP(B154,'OI(Value)'!$A$7:$C$232,3,0)</f>
        <v>13</v>
      </c>
      <c r="M154" s="33">
        <f t="shared" ref="M154:M166" si="57">L154/K154*100</f>
        <v>4.6099290780141837</v>
      </c>
      <c r="N154" s="5">
        <f>VLOOKUP($B154,'Data Vlaue (Cr)'!$C:$FB,67)</f>
        <v>170</v>
      </c>
      <c r="O154" s="5">
        <f>VLOOKUP($B154,'Data Vlaue (Cr)'!$C:$FB,68)</f>
        <v>140</v>
      </c>
      <c r="P154" s="5">
        <f t="shared" ref="P154:P161" si="58">(N154-O154)/N154*100</f>
        <v>17.647058823529413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New_Age</v>
      </c>
      <c r="B155" s="79" t="str">
        <f>'Data shares'!C150</f>
        <v>NYKAA</v>
      </c>
      <c r="C155" s="4">
        <f>VLOOKUP($B155,'Data shares'!$C:$FB,7)</f>
        <v>264.85000000000002</v>
      </c>
      <c r="D155" s="82">
        <f>VLOOKUP($B155,'Data shares'!$C:$FB,98)</f>
        <v>55231250</v>
      </c>
      <c r="E155" s="165">
        <f>VLOOKUP(B155,'Snapshot (Volume)'!$A$7:$G$168,7,0)</f>
        <v>53615625</v>
      </c>
      <c r="F155" s="165">
        <f t="shared" si="54"/>
        <v>1615625</v>
      </c>
      <c r="G155" s="166">
        <f t="shared" si="55"/>
        <v>3.0133473217928541E-2</v>
      </c>
      <c r="H155" s="165">
        <f>VLOOKUP($B155,'Data shares'!$C:$FB,66)</f>
        <v>7487500</v>
      </c>
      <c r="I155" s="165">
        <f>VLOOKUP($B155,'Data shares'!$C:$FB,67)</f>
        <v>7446875</v>
      </c>
      <c r="J155" s="81">
        <f t="shared" si="56"/>
        <v>0.54553084347461178</v>
      </c>
      <c r="K155" s="5">
        <f>VLOOKUP($B155,'Data Vlaue (Cr)'!$C:$FB,99)</f>
        <v>1471</v>
      </c>
      <c r="L155" s="81">
        <f>VLOOKUP(B155,'OI(Value)'!$A$7:$C$232,3,0)</f>
        <v>43</v>
      </c>
      <c r="M155" s="33">
        <f t="shared" si="57"/>
        <v>2.9231815091774305</v>
      </c>
      <c r="N155" s="5">
        <f>VLOOKUP($B155,'Data Vlaue (Cr)'!$C:$FB,67)</f>
        <v>199</v>
      </c>
      <c r="O155" s="5">
        <f>VLOOKUP($B155,'Data Vlaue (Cr)'!$C:$FB,68)</f>
        <v>198</v>
      </c>
      <c r="P155" s="5">
        <f t="shared" si="58"/>
        <v>0.50251256281407031</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Realty</v>
      </c>
      <c r="B156" s="79" t="str">
        <f>'Data shares'!C151</f>
        <v>OBEROIRLTY</v>
      </c>
      <c r="C156" s="4">
        <f>VLOOKUP($B156,'Data shares'!$C:$FB,7)</f>
        <v>1693.7</v>
      </c>
      <c r="D156" s="82">
        <f>VLOOKUP($B156,'Data shares'!$C:$FB,98)</f>
        <v>8325450</v>
      </c>
      <c r="E156" s="165">
        <f>VLOOKUP(B156,'Snapshot (Volume)'!$A$7:$G$168,7,0)</f>
        <v>8194900</v>
      </c>
      <c r="F156" s="165">
        <f t="shared" si="54"/>
        <v>130550</v>
      </c>
      <c r="G156" s="166">
        <f t="shared" si="55"/>
        <v>1.5930639788160929E-2</v>
      </c>
      <c r="H156" s="165">
        <f>VLOOKUP($B156,'Data shares'!$C:$FB,66)</f>
        <v>1207850</v>
      </c>
      <c r="I156" s="165">
        <f>VLOOKUP($B156,'Data shares'!$C:$FB,67)</f>
        <v>1269100</v>
      </c>
      <c r="J156" s="81">
        <f t="shared" si="56"/>
        <v>-4.8262548262548259</v>
      </c>
      <c r="K156" s="5">
        <f>VLOOKUP($B156,'Data Vlaue (Cr)'!$C:$FB,99)</f>
        <v>1417</v>
      </c>
      <c r="L156" s="81">
        <f>VLOOKUP(B156,'OI(Value)'!$A$7:$C$232,3,0)</f>
        <v>22</v>
      </c>
      <c r="M156" s="33">
        <f t="shared" si="57"/>
        <v>1.5525758645024701</v>
      </c>
      <c r="N156" s="5">
        <f>VLOOKUP($B156,'Data Vlaue (Cr)'!$C:$FB,67)</f>
        <v>206</v>
      </c>
      <c r="O156" s="5">
        <f>VLOOKUP($B156,'Data Vlaue (Cr)'!$C:$FB,68)</f>
        <v>216</v>
      </c>
      <c r="P156" s="5">
        <f t="shared" si="58"/>
        <v>-4.8543689320388346</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Technology</v>
      </c>
      <c r="B157" s="79" t="str">
        <f>'Data shares'!C152</f>
        <v>OFSS</v>
      </c>
      <c r="C157" s="4">
        <f>VLOOKUP($B157,'Data shares'!$C:$FB,7)</f>
        <v>9730</v>
      </c>
      <c r="D157" s="82">
        <f>VLOOKUP($B157,'Data shares'!$C:$FB,98)</f>
        <v>2544800</v>
      </c>
      <c r="E157" s="165">
        <f>VLOOKUP(B157,'Snapshot (Volume)'!$A$7:$G$168,7,0)</f>
        <v>2496800</v>
      </c>
      <c r="F157" s="165">
        <f t="shared" si="54"/>
        <v>48000</v>
      </c>
      <c r="G157" s="166">
        <f t="shared" si="55"/>
        <v>1.9224607497596923E-2</v>
      </c>
      <c r="H157" s="165">
        <f>VLOOKUP($B157,'Data shares'!$C:$FB,66)</f>
        <v>1861875</v>
      </c>
      <c r="I157" s="165">
        <f>VLOOKUP($B157,'Data shares'!$C:$FB,67)</f>
        <v>2247975</v>
      </c>
      <c r="J157" s="81">
        <f t="shared" si="56"/>
        <v>-17.175457912120908</v>
      </c>
      <c r="K157" s="5">
        <f>VLOOKUP($B157,'Data Vlaue (Cr)'!$C:$FB,99)</f>
        <v>2450</v>
      </c>
      <c r="L157" s="81">
        <f>VLOOKUP(B157,'OI(Value)'!$A$7:$C$232,3,0)</f>
        <v>46</v>
      </c>
      <c r="M157" s="33">
        <f t="shared" si="57"/>
        <v>1.8775510204081631</v>
      </c>
      <c r="N157" s="5">
        <f>VLOOKUP($B157,'Data Vlaue (Cr)'!$C:$FB,67)</f>
        <v>1793</v>
      </c>
      <c r="O157" s="5">
        <f>VLOOKUP($B157,'Data Vlaue (Cr)'!$C:$FB,68)</f>
        <v>2164</v>
      </c>
      <c r="P157" s="5">
        <f t="shared" si="58"/>
        <v>-20.691578360290016</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OIL</v>
      </c>
      <c r="C158" s="4">
        <f>VLOOKUP($B158,'Data shares'!$C:$FB,7)</f>
        <v>475.1</v>
      </c>
      <c r="D158" s="82">
        <f>VLOOKUP($B158,'Data shares'!$C:$FB,98)</f>
        <v>32233600</v>
      </c>
      <c r="E158" s="165">
        <f>VLOOKUP(B158,'Snapshot (Volume)'!$A$7:$G$168,7,0)</f>
        <v>31896200</v>
      </c>
      <c r="F158" s="165">
        <f t="shared" si="54"/>
        <v>337400</v>
      </c>
      <c r="G158" s="166">
        <f t="shared" si="55"/>
        <v>1.0578062590528025E-2</v>
      </c>
      <c r="H158" s="165">
        <f>VLOOKUP($B158,'Data shares'!$C:$FB,66)</f>
        <v>19989200</v>
      </c>
      <c r="I158" s="165">
        <f>VLOOKUP($B158,'Data shares'!$C:$FB,67)</f>
        <v>17973200</v>
      </c>
      <c r="J158" s="81">
        <f t="shared" si="56"/>
        <v>11.216700420626266</v>
      </c>
      <c r="K158" s="5">
        <f>VLOOKUP($B158,'Data Vlaue (Cr)'!$C:$FB,99)</f>
        <v>1540</v>
      </c>
      <c r="L158" s="81">
        <f>VLOOKUP(B158,'OI(Value)'!$A$7:$C$232,3,0)</f>
        <v>16</v>
      </c>
      <c r="M158" s="33">
        <f t="shared" si="57"/>
        <v>1.0389610389610389</v>
      </c>
      <c r="N158" s="5">
        <f>VLOOKUP($B158,'Data Vlaue (Cr)'!$C:$FB,67)</f>
        <v>955</v>
      </c>
      <c r="O158" s="5">
        <f>VLOOKUP($B158,'Data Vlaue (Cr)'!$C:$FB,68)</f>
        <v>859</v>
      </c>
      <c r="P158" s="5">
        <f t="shared" si="58"/>
        <v>10.052356020942408</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ONGC</v>
      </c>
      <c r="C159" s="4">
        <f>VLOOKUP($B159,'Data shares'!$C:$FB,7)</f>
        <v>292.89999999999998</v>
      </c>
      <c r="D159" s="82">
        <f>VLOOKUP($B159,'Data shares'!$C:$FB,98)</f>
        <v>162976500</v>
      </c>
      <c r="E159" s="165">
        <f>VLOOKUP(B159,'Snapshot (Volume)'!$A$7:$G$168,7,0)</f>
        <v>158334750</v>
      </c>
      <c r="F159" s="165">
        <f t="shared" si="54"/>
        <v>4641750</v>
      </c>
      <c r="G159" s="166">
        <f t="shared" si="55"/>
        <v>2.9316053487942476E-2</v>
      </c>
      <c r="H159" s="165">
        <f>VLOOKUP($B159,'Data shares'!$C:$FB,66)</f>
        <v>80471250</v>
      </c>
      <c r="I159" s="165">
        <f>VLOOKUP($B159,'Data shares'!$C:$FB,67)</f>
        <v>130430250</v>
      </c>
      <c r="J159" s="81">
        <f t="shared" si="56"/>
        <v>-38.303231037278543</v>
      </c>
      <c r="K159" s="5">
        <f>VLOOKUP($B159,'Data Vlaue (Cr)'!$C:$FB,99)</f>
        <v>4800</v>
      </c>
      <c r="L159" s="81">
        <f>VLOOKUP(B159,'OI(Value)'!$A$7:$C$232,3,0)</f>
        <v>137</v>
      </c>
      <c r="M159" s="33">
        <f t="shared" si="57"/>
        <v>2.8541666666666665</v>
      </c>
      <c r="N159" s="5">
        <f>VLOOKUP($B159,'Data Vlaue (Cr)'!$C:$FB,67)</f>
        <v>2370</v>
      </c>
      <c r="O159" s="5">
        <f>VLOOKUP($B159,'Data Vlaue (Cr)'!$C:$FB,68)</f>
        <v>3842</v>
      </c>
      <c r="P159" s="5">
        <f t="shared" si="58"/>
        <v>-62.10970464135022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Textile</v>
      </c>
      <c r="B160" s="79" t="str">
        <f>'Data shares'!C155</f>
        <v>PAGEIND</v>
      </c>
      <c r="C160" s="4">
        <f>VLOOKUP($B160,'Data shares'!$C:$FB,7)</f>
        <v>36955</v>
      </c>
      <c r="D160" s="82">
        <f>VLOOKUP($B160,'Data shares'!$C:$FB,98)</f>
        <v>335695</v>
      </c>
      <c r="E160" s="165">
        <f>VLOOKUP(B160,'Snapshot (Volume)'!$A$7:$G$168,7,0)</f>
        <v>334555</v>
      </c>
      <c r="F160" s="165">
        <f t="shared" si="54"/>
        <v>1140</v>
      </c>
      <c r="G160" s="166">
        <f t="shared" si="55"/>
        <v>3.4075114704607613E-3</v>
      </c>
      <c r="H160" s="165">
        <f>VLOOKUP($B160,'Data shares'!$C:$FB,66)</f>
        <v>40020</v>
      </c>
      <c r="I160" s="165">
        <f>VLOOKUP($B160,'Data shares'!$C:$FB,67)</f>
        <v>56295</v>
      </c>
      <c r="J160" s="81">
        <f t="shared" si="56"/>
        <v>-28.910205169197972</v>
      </c>
      <c r="K160" s="5">
        <f>VLOOKUP($B160,'Data Vlaue (Cr)'!$C:$FB,99)</f>
        <v>1246</v>
      </c>
      <c r="L160" s="81">
        <f>VLOOKUP(B160,'OI(Value)'!$A$7:$C$232,3,0)</f>
        <v>4</v>
      </c>
      <c r="M160" s="33">
        <f t="shared" si="57"/>
        <v>0.32102728731942215</v>
      </c>
      <c r="N160" s="5">
        <f>VLOOKUP($B160,'Data Vlaue (Cr)'!$C:$FB,67)</f>
        <v>148</v>
      </c>
      <c r="O160" s="5">
        <f>VLOOKUP($B160,'Data Vlaue (Cr)'!$C:$FB,68)</f>
        <v>209</v>
      </c>
      <c r="P160" s="5">
        <f t="shared" si="58"/>
        <v>-41.216216216216218</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FMCG</v>
      </c>
      <c r="B161" s="79" t="str">
        <f>'Data shares'!C156</f>
        <v>PATANJALI</v>
      </c>
      <c r="C161" s="4">
        <f>VLOOKUP($B161,'Data shares'!$C:$FB,7)</f>
        <v>456.25</v>
      </c>
      <c r="D161" s="82">
        <f>VLOOKUP($B161,'Data shares'!$C:$FB,98)</f>
        <v>41510125</v>
      </c>
      <c r="E161" s="165">
        <f>VLOOKUP(B161,'Snapshot (Volume)'!$A$7:$G$168,7,0)</f>
        <v>40581875</v>
      </c>
      <c r="F161" s="165">
        <f t="shared" si="54"/>
        <v>928250</v>
      </c>
      <c r="G161" s="166">
        <f t="shared" si="55"/>
        <v>2.2873511881843802E-2</v>
      </c>
      <c r="H161" s="165">
        <f>VLOOKUP($B161,'Data shares'!$C:$FB,66)</f>
        <v>8748000</v>
      </c>
      <c r="I161" s="165">
        <f>VLOOKUP($B161,'Data shares'!$C:$FB,67)</f>
        <v>5510700</v>
      </c>
      <c r="J161" s="81">
        <f t="shared" si="56"/>
        <v>58.745712885840277</v>
      </c>
      <c r="K161" s="5">
        <f>VLOOKUP($B161,'Data Vlaue (Cr)'!$C:$FB,99)</f>
        <v>1902</v>
      </c>
      <c r="L161" s="81">
        <f>VLOOKUP(B161,'OI(Value)'!$A$7:$C$232,3,0)</f>
        <v>43</v>
      </c>
      <c r="M161" s="33">
        <f t="shared" si="57"/>
        <v>2.2607781282860149</v>
      </c>
      <c r="N161" s="5">
        <f>VLOOKUP($B161,'Data Vlaue (Cr)'!$C:$FB,67)</f>
        <v>401</v>
      </c>
      <c r="O161" s="5">
        <f>VLOOKUP($B161,'Data Vlaue (Cr)'!$C:$FB,68)</f>
        <v>252</v>
      </c>
      <c r="P161" s="5">
        <f t="shared" si="58"/>
        <v>37.1571072319202</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New_Age</v>
      </c>
      <c r="B162" s="79" t="str">
        <f>'Data shares'!C157</f>
        <v>PAYTM</v>
      </c>
      <c r="C162" s="4">
        <f>VLOOKUP($B162,'Data shares'!$C:$FB,7)</f>
        <v>1115.8</v>
      </c>
      <c r="D162" s="82">
        <f>VLOOKUP($B162,'Data shares'!$C:$FB,98)</f>
        <v>24512250</v>
      </c>
      <c r="E162" s="165">
        <f>VLOOKUP(B162,'Snapshot (Volume)'!$A$7:$G$168,7,0)</f>
        <v>23894550</v>
      </c>
      <c r="F162" s="165">
        <f t="shared" si="54"/>
        <v>617700</v>
      </c>
      <c r="G162" s="166">
        <f t="shared" si="55"/>
        <v>2.5851083196795924E-2</v>
      </c>
      <c r="H162" s="165">
        <f>VLOOKUP($B162,'Data shares'!$C:$FB,66)</f>
        <v>8866025</v>
      </c>
      <c r="I162" s="165">
        <f>VLOOKUP($B162,'Data shares'!$C:$FB,67)</f>
        <v>10789450</v>
      </c>
      <c r="J162" s="81">
        <f t="shared" si="56"/>
        <v>-17.826904985888994</v>
      </c>
      <c r="K162" s="5">
        <f>VLOOKUP($B162,'Data Vlaue (Cr)'!$C:$FB,99)</f>
        <v>2744</v>
      </c>
      <c r="L162" s="81">
        <f>VLOOKUP(B162,'OI(Value)'!$A$7:$C$232,3,0)</f>
        <v>69</v>
      </c>
      <c r="M162" s="33">
        <f t="shared" si="57"/>
        <v>2.5145772594752187</v>
      </c>
      <c r="N162" s="5">
        <f>VLOOKUP($B162,'Data Vlaue (Cr)'!$C:$FB,67)</f>
        <v>993</v>
      </c>
      <c r="O162" s="5">
        <f>VLOOKUP($B162,'Data Vlaue (Cr)'!$C:$FB,68)</f>
        <v>1208</v>
      </c>
      <c r="P162" s="5">
        <f>(N162-O162)/N162*100</f>
        <v>-21.651560926485399</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Technology</v>
      </c>
      <c r="B163" s="79" t="str">
        <f>'Data shares'!C158</f>
        <v>PERSISTENT</v>
      </c>
      <c r="C163" s="4">
        <f>VLOOKUP($B163,'Data shares'!$C:$FB,7)</f>
        <v>4788.1000000000004</v>
      </c>
      <c r="D163" s="82">
        <f>VLOOKUP($B163,'Data shares'!$C:$FB,98)</f>
        <v>6582350</v>
      </c>
      <c r="E163" s="165">
        <f>VLOOKUP(B163,'Snapshot (Volume)'!$A$7:$G$168,7,0)</f>
        <v>6506100</v>
      </c>
      <c r="F163" s="165">
        <f t="shared" si="54"/>
        <v>76250</v>
      </c>
      <c r="G163" s="166">
        <f t="shared" si="55"/>
        <v>1.1719770676749511E-2</v>
      </c>
      <c r="H163" s="165">
        <f>VLOOKUP($B163,'Data shares'!$C:$FB,66)</f>
        <v>2082400</v>
      </c>
      <c r="I163" s="165">
        <f>VLOOKUP($B163,'Data shares'!$C:$FB,67)</f>
        <v>1853900</v>
      </c>
      <c r="J163" s="81">
        <f t="shared" si="56"/>
        <v>12.325368142834026</v>
      </c>
      <c r="K163" s="5">
        <f>VLOOKUP($B163,'Data Vlaue (Cr)'!$C:$FB,99)</f>
        <v>3165</v>
      </c>
      <c r="L163" s="81">
        <f>VLOOKUP(B163,'OI(Value)'!$A$7:$C$232,3,0)</f>
        <v>37</v>
      </c>
      <c r="M163" s="33">
        <f t="shared" si="57"/>
        <v>1.1690363349131121</v>
      </c>
      <c r="N163" s="5">
        <f>VLOOKUP($B163,'Data Vlaue (Cr)'!$C:$FB,67)</f>
        <v>1001</v>
      </c>
      <c r="O163" s="5">
        <f>VLOOKUP($B163,'Data Vlaue (Cr)'!$C:$FB,68)</f>
        <v>891</v>
      </c>
      <c r="P163" s="5">
        <f>(N163-O163)/N163*100</f>
        <v>10.989010989010989</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Oil_Gas</v>
      </c>
      <c r="B164" s="79" t="str">
        <f>'Data shares'!C159</f>
        <v>PETRONET</v>
      </c>
      <c r="C164" s="4">
        <f>VLOOKUP($B164,'Data shares'!$C:$FB,7)</f>
        <v>276.7</v>
      </c>
      <c r="D164" s="82">
        <f>VLOOKUP($B164,'Data shares'!$C:$FB,98)</f>
        <v>50445000</v>
      </c>
      <c r="E164" s="165">
        <f>VLOOKUP(B164,'Snapshot (Volume)'!$A$7:$G$168,7,0)</f>
        <v>45860300</v>
      </c>
      <c r="F164" s="165">
        <f t="shared" si="54"/>
        <v>4584700</v>
      </c>
      <c r="G164" s="166">
        <f t="shared" si="55"/>
        <v>9.9970998881385428E-2</v>
      </c>
      <c r="H164" s="165">
        <f>VLOOKUP($B164,'Data shares'!$C:$FB,66)</f>
        <v>20630200</v>
      </c>
      <c r="I164" s="165">
        <f>VLOOKUP($B164,'Data shares'!$C:$FB,67)</f>
        <v>10353100</v>
      </c>
      <c r="J164" s="81">
        <f t="shared" si="56"/>
        <v>99.265920352358222</v>
      </c>
      <c r="K164" s="5">
        <f>VLOOKUP($B164,'Data Vlaue (Cr)'!$C:$FB,99)</f>
        <v>1404</v>
      </c>
      <c r="L164" s="81">
        <f>VLOOKUP(B164,'OI(Value)'!$A$7:$C$232,3,0)</f>
        <v>128</v>
      </c>
      <c r="M164" s="33">
        <f t="shared" si="57"/>
        <v>9.116809116809117</v>
      </c>
      <c r="N164" s="5">
        <f>VLOOKUP($B164,'Data Vlaue (Cr)'!$C:$FB,67)</f>
        <v>574</v>
      </c>
      <c r="O164" s="5">
        <f>VLOOKUP($B164,'Data Vlaue (Cr)'!$C:$FB,68)</f>
        <v>288</v>
      </c>
      <c r="P164" s="5">
        <f>(N164-O164)/N164*100</f>
        <v>49.825783972125436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VLOOKUP(B165,'OI(Value)'!$A$7:$C$232,3,0)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902.35</v>
      </c>
      <c r="D166" s="82">
        <f>VLOOKUP($B166,'Data shares'!$C:$FB,98)</f>
        <v>14681700</v>
      </c>
      <c r="E166" s="165" t="e">
        <f>VLOOKUP(B166,'Snapshot (Volume)'!$A$7:$G$168,7,0)</f>
        <v>#N/A</v>
      </c>
      <c r="F166" s="165" t="e">
        <f t="shared" si="54"/>
        <v>#N/A</v>
      </c>
      <c r="G166" s="166" t="e">
        <f t="shared" si="55"/>
        <v>#N/A</v>
      </c>
      <c r="H166" s="165">
        <f>VLOOKUP($B166,'Data shares'!$C:$FB,66)</f>
        <v>2919600</v>
      </c>
      <c r="I166" s="165">
        <f>VLOOKUP($B166,'Data shares'!$C:$FB,67)</f>
        <v>3986100</v>
      </c>
      <c r="J166" s="81">
        <f t="shared" si="56"/>
        <v>-26.755475276586139</v>
      </c>
      <c r="K166" s="5">
        <f>VLOOKUP($B166,'Data Vlaue (Cr)'!$C:$FB,99)</f>
        <v>1331</v>
      </c>
      <c r="L166" s="81">
        <f>VLOOKUP(B166,'OI(Value)'!$A$7:$C$232,3,0)</f>
        <v>30</v>
      </c>
      <c r="M166" s="33">
        <f t="shared" si="57"/>
        <v>2.2539444027047333</v>
      </c>
      <c r="N166" s="5">
        <f>VLOOKUP($B166,'Data Vlaue (Cr)'!$C:$FB,67)</f>
        <v>265</v>
      </c>
      <c r="O166" s="5">
        <f>VLOOKUP($B166,'Data Vlaue (Cr)'!$C:$FB,68)</f>
        <v>361</v>
      </c>
      <c r="P166" s="5">
        <f>(N166-O166)/N166*100</f>
        <v>-36.226415094339622</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zoomScale="85" zoomScaleNormal="85" workbookViewId="0">
      <pane ySplit="6" topLeftCell="A196" activePane="bottomLeft" state="frozen"/>
      <selection activeCell="Q163" sqref="Q163"/>
      <selection pane="bottomLeft" activeCell="H244" sqref="H244"/>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5" t="s">
        <v>334</v>
      </c>
      <c r="B3" s="276"/>
      <c r="C3" s="276"/>
      <c r="D3" s="277"/>
      <c r="E3" s="278"/>
      <c r="F3" s="278"/>
      <c r="G3" s="278"/>
      <c r="H3" s="278"/>
      <c r="I3" s="278"/>
      <c r="J3" s="278"/>
      <c r="K3" s="278"/>
      <c r="L3" s="278"/>
      <c r="M3" s="278"/>
      <c r="N3" s="278"/>
      <c r="O3" s="279"/>
    </row>
    <row r="4" spans="1:15" s="84" customFormat="1" x14ac:dyDescent="0.25">
      <c r="A4" s="272" t="s">
        <v>330</v>
      </c>
      <c r="B4" s="272" t="s">
        <v>340</v>
      </c>
      <c r="C4" s="272"/>
      <c r="D4" s="272"/>
      <c r="E4" s="272"/>
      <c r="F4" s="272"/>
      <c r="G4" s="272"/>
      <c r="H4" s="272"/>
      <c r="I4" s="272"/>
      <c r="J4" s="272"/>
      <c r="K4" s="272"/>
      <c r="L4" s="272"/>
      <c r="M4" s="272"/>
      <c r="N4" s="272"/>
      <c r="O4" s="272"/>
    </row>
    <row r="5" spans="1:15" s="84" customFormat="1" x14ac:dyDescent="0.25">
      <c r="A5" s="273"/>
      <c r="B5" s="273" t="s">
        <v>314</v>
      </c>
      <c r="C5" s="273"/>
      <c r="D5" s="273"/>
      <c r="E5" s="273" t="s">
        <v>341</v>
      </c>
      <c r="F5" s="273"/>
      <c r="G5" s="273"/>
      <c r="H5" s="273" t="s">
        <v>336</v>
      </c>
      <c r="I5" s="273"/>
      <c r="J5" s="273"/>
      <c r="K5" s="273" t="s">
        <v>342</v>
      </c>
      <c r="L5" s="273"/>
      <c r="M5" s="273"/>
      <c r="N5" s="273" t="s">
        <v>338</v>
      </c>
      <c r="O5" s="273"/>
    </row>
    <row r="6" spans="1:15" s="84" customFormat="1" x14ac:dyDescent="0.25">
      <c r="A6" s="71" t="s">
        <v>318</v>
      </c>
      <c r="B6" s="66">
        <f>'OI(Value)'!B6</f>
        <v>46146</v>
      </c>
      <c r="C6" s="71" t="s">
        <v>333</v>
      </c>
      <c r="D6" s="71" t="s">
        <v>328</v>
      </c>
      <c r="E6" s="66">
        <f>B6</f>
        <v>46146</v>
      </c>
      <c r="F6" s="71" t="s">
        <v>333</v>
      </c>
      <c r="G6" s="71" t="s">
        <v>328</v>
      </c>
      <c r="H6" s="66">
        <f>B6</f>
        <v>46146</v>
      </c>
      <c r="I6" s="71" t="s">
        <v>333</v>
      </c>
      <c r="J6" s="71" t="s">
        <v>328</v>
      </c>
      <c r="K6" s="66">
        <f>B6</f>
        <v>46146</v>
      </c>
      <c r="L6" s="71" t="s">
        <v>333</v>
      </c>
      <c r="M6" s="71" t="s">
        <v>328</v>
      </c>
      <c r="N6" s="71" t="s">
        <v>339</v>
      </c>
      <c r="O6" s="71" t="s">
        <v>328</v>
      </c>
    </row>
    <row r="7" spans="1:15" x14ac:dyDescent="0.25">
      <c r="A7" s="100" t="str">
        <f>'Data Vlaue (Cr)'!C2</f>
        <v>360ONE</v>
      </c>
      <c r="B7" s="82">
        <f>VLOOKUP(A7,'Data shares'!$C$2:$CV$216,98,0)</f>
        <v>5843500</v>
      </c>
      <c r="C7" s="82">
        <f>VLOOKUP(A7,'Data shares'!$C$2:$CX$216,100,0)</f>
        <v>268500</v>
      </c>
      <c r="D7" s="141">
        <f>VLOOKUP(A7,'Data shares'!$C$2:$CY$539,101,0)</f>
        <v>4.82E-2</v>
      </c>
      <c r="E7" s="86">
        <f>VLOOKUP($A7,'Data shares'!$C:$FA,74)</f>
        <v>4168500</v>
      </c>
      <c r="F7" s="86">
        <f>VLOOKUP($A7,'Data shares'!$C:$FA,76)</f>
        <v>122500</v>
      </c>
      <c r="G7" s="87">
        <f>VLOOKUP(A7,'Data shares'!$C$2:$CA$216,77,0)</f>
        <v>3.0300000000000001E-2</v>
      </c>
      <c r="H7" s="86">
        <f>VLOOKUP($A7,'Data shares'!$C:$FA,90)</f>
        <v>1117500</v>
      </c>
      <c r="I7" s="86">
        <f>VLOOKUP($A7,'Data shares'!$C:$FA,92)</f>
        <v>94000</v>
      </c>
      <c r="J7" s="87">
        <f>VLOOKUP($A7,'Data shares'!$C:$FA,93)</f>
        <v>9.1800000000000007E-2</v>
      </c>
      <c r="K7" s="86">
        <f>VLOOKUP($A7,'Data shares'!$C:$FA,94)</f>
        <v>557500</v>
      </c>
      <c r="L7" s="86">
        <f>VLOOKUP($A7,'Data shares'!$C:$FA,96)</f>
        <v>52000</v>
      </c>
      <c r="M7" s="87">
        <f>VLOOKUP($A7,'Data shares'!$C:$FA,97)</f>
        <v>0.10290000000000001</v>
      </c>
      <c r="N7" s="86">
        <f>VLOOKUP($A7,'Data shares'!$C:$FA,78)</f>
        <v>4129000</v>
      </c>
      <c r="O7" s="87">
        <f>VLOOKUP($A7,'Data shares'!$C:$FA,81)</f>
        <v>3.0599999999999999E-2</v>
      </c>
    </row>
    <row r="8" spans="1:15" x14ac:dyDescent="0.25">
      <c r="A8" s="100" t="str">
        <f>'Data Vlaue (Cr)'!C3</f>
        <v>ABB</v>
      </c>
      <c r="B8" s="82">
        <f>VLOOKUP(A8,'Data shares'!$C$2:$CV$216,98,0)</f>
        <v>3547375</v>
      </c>
      <c r="C8" s="82">
        <f>VLOOKUP(A8,'Data shares'!$C$2:$CX$216,100,0)</f>
        <v>346625</v>
      </c>
      <c r="D8" s="141">
        <f>VLOOKUP(A8,'Data shares'!$C$2:$CY$539,101,0)</f>
        <v>0.10829999999999999</v>
      </c>
      <c r="E8" s="86">
        <f>VLOOKUP($A8,'Data shares'!$C:$FA,74)</f>
        <v>2127875</v>
      </c>
      <c r="F8" s="86">
        <f>VLOOKUP($A8,'Data shares'!$C:$FA,76)</f>
        <v>-28500</v>
      </c>
      <c r="G8" s="87">
        <f>VLOOKUP(A8,'Data shares'!$C$2:$CA$216,77,0)</f>
        <v>-1.32E-2</v>
      </c>
      <c r="H8" s="86">
        <f>VLOOKUP($A8,'Data shares'!$C:$FA,90)</f>
        <v>936625</v>
      </c>
      <c r="I8" s="86">
        <f>VLOOKUP($A8,'Data shares'!$C:$FA,92)</f>
        <v>303250</v>
      </c>
      <c r="J8" s="87">
        <f>VLOOKUP($A8,'Data shares'!$C:$FA,93)</f>
        <v>0.4788</v>
      </c>
      <c r="K8" s="86">
        <f>VLOOKUP($A8,'Data shares'!$C:$FA,94)</f>
        <v>482875</v>
      </c>
      <c r="L8" s="86">
        <f>VLOOKUP($A8,'Data shares'!$C:$FA,96)</f>
        <v>71875</v>
      </c>
      <c r="M8" s="87">
        <f>VLOOKUP($A8,'Data shares'!$C:$FA,97)</f>
        <v>0.1749</v>
      </c>
      <c r="N8" s="86">
        <f>VLOOKUP($A8,'Data shares'!$C:$FA,78)</f>
        <v>2088000</v>
      </c>
      <c r="O8" s="87">
        <f>VLOOKUP($A8,'Data shares'!$C:$FA,81)</f>
        <v>-1.6799999999999999E-2</v>
      </c>
    </row>
    <row r="9" spans="1:15" x14ac:dyDescent="0.25">
      <c r="A9" s="100" t="str">
        <f>'Data Vlaue (Cr)'!C4</f>
        <v>ABCAPITAL</v>
      </c>
      <c r="B9" s="82">
        <f>VLOOKUP(A9,'Data shares'!$C$2:$CV$216,98,0)</f>
        <v>71833200</v>
      </c>
      <c r="C9" s="82">
        <f>VLOOKUP(A9,'Data shares'!$C$2:$CX$216,100,0)</f>
        <v>13475700</v>
      </c>
      <c r="D9" s="141">
        <f>VLOOKUP(A9,'Data shares'!$C$2:$CY$539,101,0)</f>
        <v>0.23089999999999999</v>
      </c>
      <c r="E9" s="86">
        <f>VLOOKUP($A9,'Data shares'!$C:$FA,74)</f>
        <v>45039900</v>
      </c>
      <c r="F9" s="86">
        <f>VLOOKUP($A9,'Data shares'!$C:$FA,76)</f>
        <v>629300</v>
      </c>
      <c r="G9" s="87">
        <f>VLOOKUP(A9,'Data shares'!$C$2:$CA$216,77,0)</f>
        <v>1.4200000000000001E-2</v>
      </c>
      <c r="H9" s="86">
        <f>VLOOKUP($A9,'Data shares'!$C:$FA,90)</f>
        <v>15741800</v>
      </c>
      <c r="I9" s="86">
        <f>VLOOKUP($A9,'Data shares'!$C:$FA,92)</f>
        <v>8968300</v>
      </c>
      <c r="J9" s="87">
        <f>VLOOKUP($A9,'Data shares'!$C:$FA,93)</f>
        <v>1.3240000000000001</v>
      </c>
      <c r="K9" s="86">
        <f>VLOOKUP($A9,'Data shares'!$C:$FA,94)</f>
        <v>11051500</v>
      </c>
      <c r="L9" s="86">
        <f>VLOOKUP($A9,'Data shares'!$C:$FA,96)</f>
        <v>3878100</v>
      </c>
      <c r="M9" s="87">
        <f>VLOOKUP($A9,'Data shares'!$C:$FA,97)</f>
        <v>0.54059999999999997</v>
      </c>
      <c r="N9" s="86">
        <f>VLOOKUP($A9,'Data shares'!$C:$FA,78)</f>
        <v>44193600</v>
      </c>
      <c r="O9" s="87">
        <f>VLOOKUP($A9,'Data shares'!$C:$FA,81)</f>
        <v>1.1599999999999999E-2</v>
      </c>
    </row>
    <row r="10" spans="1:15" x14ac:dyDescent="0.25">
      <c r="A10" s="100" t="str">
        <f>'Data Vlaue (Cr)'!C5</f>
        <v>ADANIENSOL</v>
      </c>
      <c r="B10" s="82">
        <f>VLOOKUP(A10,'Data shares'!$C$2:$CV$216,98,0)</f>
        <v>28958175</v>
      </c>
      <c r="C10" s="82">
        <f>VLOOKUP(A10,'Data shares'!$C$2:$CX$216,100,0)</f>
        <v>1229175</v>
      </c>
      <c r="D10" s="141">
        <f>VLOOKUP(A10,'Data shares'!$C$2:$CY$539,101,0)</f>
        <v>4.4299999999999999E-2</v>
      </c>
      <c r="E10" s="86">
        <f>VLOOKUP($A10,'Data shares'!$C:$FA,74)</f>
        <v>19521000</v>
      </c>
      <c r="F10" s="86">
        <f>VLOOKUP($A10,'Data shares'!$C:$FA,76)</f>
        <v>1043550</v>
      </c>
      <c r="G10" s="87">
        <f>VLOOKUP(A10,'Data shares'!$C$2:$CA$216,77,0)</f>
        <v>5.6500000000000002E-2</v>
      </c>
      <c r="H10" s="86">
        <f>VLOOKUP($A10,'Data shares'!$C:$FA,90)</f>
        <v>5191425</v>
      </c>
      <c r="I10" s="86">
        <f>VLOOKUP($A10,'Data shares'!$C:$FA,92)</f>
        <v>-429300</v>
      </c>
      <c r="J10" s="87">
        <f>VLOOKUP($A10,'Data shares'!$C:$FA,93)</f>
        <v>-7.6399999999999996E-2</v>
      </c>
      <c r="K10" s="86">
        <f>VLOOKUP($A10,'Data shares'!$C:$FA,94)</f>
        <v>4245750</v>
      </c>
      <c r="L10" s="86">
        <f>VLOOKUP($A10,'Data shares'!$C:$FA,96)</f>
        <v>614925</v>
      </c>
      <c r="M10" s="87">
        <f>VLOOKUP($A10,'Data shares'!$C:$FA,97)</f>
        <v>0.1694</v>
      </c>
      <c r="N10" s="86">
        <f>VLOOKUP($A10,'Data shares'!$C:$FA,78)</f>
        <v>19351575</v>
      </c>
      <c r="O10" s="87">
        <f>VLOOKUP($A10,'Data shares'!$C:$FA,81)</f>
        <v>5.67E-2</v>
      </c>
    </row>
    <row r="11" spans="1:15" x14ac:dyDescent="0.25">
      <c r="A11" s="100" t="str">
        <f>'Data Vlaue (Cr)'!C6</f>
        <v>ADANIENT</v>
      </c>
      <c r="B11" s="82">
        <f>VLOOKUP(A11,'Data shares'!$C$2:$CV$216,98,0)</f>
        <v>32587449</v>
      </c>
      <c r="C11" s="82">
        <f>VLOOKUP(A11,'Data shares'!$C$2:$CX$216,100,0)</f>
        <v>1596294</v>
      </c>
      <c r="D11" s="141">
        <f>VLOOKUP(A11,'Data shares'!$C$2:$CY$539,101,0)</f>
        <v>5.1499999999999997E-2</v>
      </c>
      <c r="E11" s="86">
        <f>VLOOKUP($A11,'Data shares'!$C:$FA,74)</f>
        <v>19658889</v>
      </c>
      <c r="F11" s="86">
        <f>VLOOKUP($A11,'Data shares'!$C:$FA,76)</f>
        <v>107841</v>
      </c>
      <c r="G11" s="87">
        <f>VLOOKUP(A11,'Data shares'!$C$2:$CA$216,77,0)</f>
        <v>5.4999999999999997E-3</v>
      </c>
      <c r="H11" s="86">
        <f>VLOOKUP($A11,'Data shares'!$C:$FA,90)</f>
        <v>7337205</v>
      </c>
      <c r="I11" s="86">
        <f>VLOOKUP($A11,'Data shares'!$C:$FA,92)</f>
        <v>799074</v>
      </c>
      <c r="J11" s="87">
        <f>VLOOKUP($A11,'Data shares'!$C:$FA,93)</f>
        <v>0.1222</v>
      </c>
      <c r="K11" s="86">
        <f>VLOOKUP($A11,'Data shares'!$C:$FA,94)</f>
        <v>5591355</v>
      </c>
      <c r="L11" s="86">
        <f>VLOOKUP($A11,'Data shares'!$C:$FA,96)</f>
        <v>689379</v>
      </c>
      <c r="M11" s="87">
        <f>VLOOKUP($A11,'Data shares'!$C:$FA,97)</f>
        <v>0.1406</v>
      </c>
      <c r="N11" s="86">
        <f>VLOOKUP($A11,'Data shares'!$C:$FA,78)</f>
        <v>19236795</v>
      </c>
      <c r="O11" s="87">
        <f>VLOOKUP($A11,'Data shares'!$C:$FA,81)</f>
        <v>4.3E-3</v>
      </c>
    </row>
    <row r="12" spans="1:15" x14ac:dyDescent="0.25">
      <c r="A12" s="100" t="str">
        <f>'Data Vlaue (Cr)'!C7</f>
        <v>ADANIGREEN</v>
      </c>
      <c r="B12" s="82">
        <f>VLOOKUP(A12,'Data shares'!$C$2:$CV$216,98,0)</f>
        <v>32397000</v>
      </c>
      <c r="C12" s="82">
        <f>VLOOKUP(A12,'Data shares'!$C$2:$CX$216,100,0)</f>
        <v>2438400</v>
      </c>
      <c r="D12" s="141">
        <f>VLOOKUP(A12,'Data shares'!$C$2:$CY$539,101,0)</f>
        <v>8.14E-2</v>
      </c>
      <c r="E12" s="86">
        <f>VLOOKUP($A12,'Data shares'!$C:$FA,74)</f>
        <v>21171000</v>
      </c>
      <c r="F12" s="86">
        <f>VLOOKUP($A12,'Data shares'!$C:$FA,76)</f>
        <v>1036800</v>
      </c>
      <c r="G12" s="87">
        <f>VLOOKUP(A12,'Data shares'!$C$2:$CA$216,77,0)</f>
        <v>5.1499999999999997E-2</v>
      </c>
      <c r="H12" s="86">
        <f>VLOOKUP($A12,'Data shares'!$C:$FA,90)</f>
        <v>6364800</v>
      </c>
      <c r="I12" s="86">
        <f>VLOOKUP($A12,'Data shares'!$C:$FA,92)</f>
        <v>730200</v>
      </c>
      <c r="J12" s="87">
        <f>VLOOKUP($A12,'Data shares'!$C:$FA,93)</f>
        <v>0.12959999999999999</v>
      </c>
      <c r="K12" s="86">
        <f>VLOOKUP($A12,'Data shares'!$C:$FA,94)</f>
        <v>4861200</v>
      </c>
      <c r="L12" s="86">
        <f>VLOOKUP($A12,'Data shares'!$C:$FA,96)</f>
        <v>671400</v>
      </c>
      <c r="M12" s="87">
        <f>VLOOKUP($A12,'Data shares'!$C:$FA,97)</f>
        <v>0.16020000000000001</v>
      </c>
      <c r="N12" s="86">
        <f>VLOOKUP($A12,'Data shares'!$C:$FA,78)</f>
        <v>20903400</v>
      </c>
      <c r="O12" s="87">
        <f>VLOOKUP($A12,'Data shares'!$C:$FA,81)</f>
        <v>0.05</v>
      </c>
    </row>
    <row r="13" spans="1:15" x14ac:dyDescent="0.25">
      <c r="A13" s="100" t="str">
        <f>'Data Vlaue (Cr)'!C8</f>
        <v>ADANIPORTS</v>
      </c>
      <c r="B13" s="82">
        <f>VLOOKUP(A13,'Data shares'!$C$2:$CV$216,98,0)</f>
        <v>36706100</v>
      </c>
      <c r="C13" s="82">
        <f>VLOOKUP(A13,'Data shares'!$C$2:$CX$216,100,0)</f>
        <v>5093425</v>
      </c>
      <c r="D13" s="141">
        <f>VLOOKUP(A13,'Data shares'!$C$2:$CY$539,101,0)</f>
        <v>0.16109999999999999</v>
      </c>
      <c r="E13" s="86">
        <f>VLOOKUP($A13,'Data shares'!$C:$FA,74)</f>
        <v>22219550</v>
      </c>
      <c r="F13" s="86">
        <f>VLOOKUP($A13,'Data shares'!$C:$FA,76)</f>
        <v>1442100</v>
      </c>
      <c r="G13" s="87">
        <f>VLOOKUP(A13,'Data shares'!$C$2:$CA$216,77,0)</f>
        <v>6.9400000000000003E-2</v>
      </c>
      <c r="H13" s="86">
        <f>VLOOKUP($A13,'Data shares'!$C:$FA,90)</f>
        <v>7983800</v>
      </c>
      <c r="I13" s="86">
        <f>VLOOKUP($A13,'Data shares'!$C:$FA,92)</f>
        <v>1978375</v>
      </c>
      <c r="J13" s="87">
        <f>VLOOKUP($A13,'Data shares'!$C:$FA,93)</f>
        <v>0.32940000000000003</v>
      </c>
      <c r="K13" s="86">
        <f>VLOOKUP($A13,'Data shares'!$C:$FA,94)</f>
        <v>6502750</v>
      </c>
      <c r="L13" s="86">
        <f>VLOOKUP($A13,'Data shares'!$C:$FA,96)</f>
        <v>1672950</v>
      </c>
      <c r="M13" s="87">
        <f>VLOOKUP($A13,'Data shares'!$C:$FA,97)</f>
        <v>0.34639999999999999</v>
      </c>
      <c r="N13" s="86">
        <f>VLOOKUP($A13,'Data shares'!$C:$FA,78)</f>
        <v>21224900</v>
      </c>
      <c r="O13" s="87">
        <f>VLOOKUP($A13,'Data shares'!$C:$FA,81)</f>
        <v>6.3799999999999996E-2</v>
      </c>
    </row>
    <row r="14" spans="1:15" x14ac:dyDescent="0.25">
      <c r="A14" s="100" t="str">
        <f>'Data Vlaue (Cr)'!C9</f>
        <v>ADANIPOWER</v>
      </c>
      <c r="B14" s="82">
        <f>VLOOKUP(A14,'Data shares'!$C$2:$CV$216,98,0)</f>
        <v>127679300</v>
      </c>
      <c r="C14" s="82">
        <f>VLOOKUP(A14,'Data shares'!$C$2:$CX$216,100,0)</f>
        <v>635450</v>
      </c>
      <c r="D14" s="141">
        <f>VLOOKUP(A14,'Data shares'!$C$2:$CY$539,101,0)</f>
        <v>5.0000000000000001E-3</v>
      </c>
      <c r="E14" s="86">
        <f>VLOOKUP($A14,'Data shares'!$C:$FA,74)</f>
        <v>76711950</v>
      </c>
      <c r="F14" s="86">
        <f>VLOOKUP($A14,'Data shares'!$C:$FA,76)</f>
        <v>1270900</v>
      </c>
      <c r="G14" s="87">
        <f>VLOOKUP(A14,'Data shares'!$C$2:$CA$216,77,0)</f>
        <v>1.6799999999999999E-2</v>
      </c>
      <c r="H14" s="86">
        <f>VLOOKUP($A14,'Data shares'!$C:$FA,90)</f>
        <v>30643600</v>
      </c>
      <c r="I14" s="86">
        <f>VLOOKUP($A14,'Data shares'!$C:$FA,92)</f>
        <v>-788100</v>
      </c>
      <c r="J14" s="87">
        <f>VLOOKUP($A14,'Data shares'!$C:$FA,93)</f>
        <v>-2.5100000000000001E-2</v>
      </c>
      <c r="K14" s="86">
        <f>VLOOKUP($A14,'Data shares'!$C:$FA,94)</f>
        <v>20323750</v>
      </c>
      <c r="L14" s="86">
        <f>VLOOKUP($A14,'Data shares'!$C:$FA,96)</f>
        <v>152650</v>
      </c>
      <c r="M14" s="87">
        <f>VLOOKUP($A14,'Data shares'!$C:$FA,97)</f>
        <v>7.6E-3</v>
      </c>
      <c r="N14" s="86">
        <f>VLOOKUP($A14,'Data shares'!$C:$FA,78)</f>
        <v>74081400</v>
      </c>
      <c r="O14" s="87">
        <f>VLOOKUP($A14,'Data shares'!$C:$FA,81)</f>
        <v>9.7999999999999997E-3</v>
      </c>
    </row>
    <row r="15" spans="1:15" x14ac:dyDescent="0.25">
      <c r="A15" s="100" t="str">
        <f>'Data Vlaue (Cr)'!C10</f>
        <v>ALKEM</v>
      </c>
      <c r="B15" s="82">
        <f>VLOOKUP(A15,'Data shares'!$C$2:$CV$216,98,0)</f>
        <v>1383375</v>
      </c>
      <c r="C15" s="82">
        <f>VLOOKUP(A15,'Data shares'!$C$2:$CX$216,100,0)</f>
        <v>89500</v>
      </c>
      <c r="D15" s="141">
        <f>VLOOKUP(A15,'Data shares'!$C$2:$CY$539,101,0)</f>
        <v>6.9199999999999998E-2</v>
      </c>
      <c r="E15" s="86">
        <f>VLOOKUP($A15,'Data shares'!$C:$FA,74)</f>
        <v>1058250</v>
      </c>
      <c r="F15" s="86">
        <f>VLOOKUP($A15,'Data shares'!$C:$FA,76)</f>
        <v>8125</v>
      </c>
      <c r="G15" s="87">
        <f>VLOOKUP(A15,'Data shares'!$C$2:$CA$216,77,0)</f>
        <v>7.7000000000000002E-3</v>
      </c>
      <c r="H15" s="86">
        <f>VLOOKUP($A15,'Data shares'!$C:$FA,90)</f>
        <v>196375</v>
      </c>
      <c r="I15" s="86">
        <f>VLOOKUP($A15,'Data shares'!$C:$FA,92)</f>
        <v>65500</v>
      </c>
      <c r="J15" s="87">
        <f>VLOOKUP($A15,'Data shares'!$C:$FA,93)</f>
        <v>0.50049999999999994</v>
      </c>
      <c r="K15" s="86">
        <f>VLOOKUP($A15,'Data shares'!$C:$FA,94)</f>
        <v>128750</v>
      </c>
      <c r="L15" s="86">
        <f>VLOOKUP($A15,'Data shares'!$C:$FA,96)</f>
        <v>15875</v>
      </c>
      <c r="M15" s="87">
        <f>VLOOKUP($A15,'Data shares'!$C:$FA,97)</f>
        <v>0.1406</v>
      </c>
      <c r="N15" s="86">
        <f>VLOOKUP($A15,'Data shares'!$C:$FA,78)</f>
        <v>1051375</v>
      </c>
      <c r="O15" s="87">
        <f>VLOOKUP($A15,'Data shares'!$C:$FA,81)</f>
        <v>4.3E-3</v>
      </c>
    </row>
    <row r="16" spans="1:15" x14ac:dyDescent="0.25">
      <c r="A16" s="100" t="str">
        <f>'Data Vlaue (Cr)'!C11</f>
        <v>AMBER</v>
      </c>
      <c r="B16" s="82">
        <f>VLOOKUP(A16,'Data shares'!$C$2:$CV$216,98,0)</f>
        <v>1842200</v>
      </c>
      <c r="C16" s="82">
        <f>VLOOKUP(A16,'Data shares'!$C$2:$CX$216,100,0)</f>
        <v>85100</v>
      </c>
      <c r="D16" s="141">
        <f>VLOOKUP(A16,'Data shares'!$C$2:$CY$539,101,0)</f>
        <v>4.8399999999999999E-2</v>
      </c>
      <c r="E16" s="86">
        <f>VLOOKUP($A16,'Data shares'!$C:$FA,74)</f>
        <v>1210000</v>
      </c>
      <c r="F16" s="86">
        <f>VLOOKUP($A16,'Data shares'!$C:$FA,76)</f>
        <v>26900</v>
      </c>
      <c r="G16" s="87">
        <f>VLOOKUP(A16,'Data shares'!$C$2:$CA$216,77,0)</f>
        <v>2.2700000000000001E-2</v>
      </c>
      <c r="H16" s="86">
        <f>VLOOKUP($A16,'Data shares'!$C:$FA,90)</f>
        <v>422200</v>
      </c>
      <c r="I16" s="86">
        <f>VLOOKUP($A16,'Data shares'!$C:$FA,92)</f>
        <v>46600</v>
      </c>
      <c r="J16" s="87">
        <f>VLOOKUP($A16,'Data shares'!$C:$FA,93)</f>
        <v>0.1241</v>
      </c>
      <c r="K16" s="86">
        <f>VLOOKUP($A16,'Data shares'!$C:$FA,94)</f>
        <v>210000</v>
      </c>
      <c r="L16" s="86">
        <f>VLOOKUP($A16,'Data shares'!$C:$FA,96)</f>
        <v>11600</v>
      </c>
      <c r="M16" s="87">
        <f>VLOOKUP($A16,'Data shares'!$C:$FA,97)</f>
        <v>5.8500000000000003E-2</v>
      </c>
      <c r="N16" s="86">
        <f>VLOOKUP($A16,'Data shares'!$C:$FA,78)</f>
        <v>1191200</v>
      </c>
      <c r="O16" s="87">
        <f>VLOOKUP($A16,'Data shares'!$C:$FA,81)</f>
        <v>2.29E-2</v>
      </c>
    </row>
    <row r="17" spans="1:15" x14ac:dyDescent="0.25">
      <c r="A17" s="100" t="str">
        <f>'Data Vlaue (Cr)'!C12</f>
        <v>AMBUJACEM</v>
      </c>
      <c r="B17" s="82">
        <f>VLOOKUP(A17,'Data shares'!$C$2:$CV$216,98,0)</f>
        <v>100213200</v>
      </c>
      <c r="C17" s="82">
        <f>VLOOKUP(A17,'Data shares'!$C$2:$CX$216,100,0)</f>
        <v>17198400</v>
      </c>
      <c r="D17" s="141">
        <f>VLOOKUP(A17,'Data shares'!$C$2:$CY$539,101,0)</f>
        <v>0.2072</v>
      </c>
      <c r="E17" s="86">
        <f>VLOOKUP($A17,'Data shares'!$C:$FA,74)</f>
        <v>70679850</v>
      </c>
      <c r="F17" s="86">
        <f>VLOOKUP($A17,'Data shares'!$C:$FA,76)</f>
        <v>8116950</v>
      </c>
      <c r="G17" s="87">
        <f>VLOOKUP(A17,'Data shares'!$C$2:$CA$216,77,0)</f>
        <v>0.12970000000000001</v>
      </c>
      <c r="H17" s="86">
        <f>VLOOKUP($A17,'Data shares'!$C:$FA,90)</f>
        <v>18998700</v>
      </c>
      <c r="I17" s="86">
        <f>VLOOKUP($A17,'Data shares'!$C:$FA,92)</f>
        <v>7684950</v>
      </c>
      <c r="J17" s="87">
        <f>VLOOKUP($A17,'Data shares'!$C:$FA,93)</f>
        <v>0.67930000000000001</v>
      </c>
      <c r="K17" s="86">
        <f>VLOOKUP($A17,'Data shares'!$C:$FA,94)</f>
        <v>10534650</v>
      </c>
      <c r="L17" s="86">
        <f>VLOOKUP($A17,'Data shares'!$C:$FA,96)</f>
        <v>1396500</v>
      </c>
      <c r="M17" s="87">
        <f>VLOOKUP($A17,'Data shares'!$C:$FA,97)</f>
        <v>0.15279999999999999</v>
      </c>
      <c r="N17" s="86">
        <f>VLOOKUP($A17,'Data shares'!$C:$FA,78)</f>
        <v>69297900</v>
      </c>
      <c r="O17" s="87">
        <f>VLOOKUP($A17,'Data shares'!$C:$FA,81)</f>
        <v>0.12720000000000001</v>
      </c>
    </row>
    <row r="18" spans="1:15" x14ac:dyDescent="0.25">
      <c r="A18" s="100" t="str">
        <f>'Data Vlaue (Cr)'!C13</f>
        <v>ANGELONE</v>
      </c>
      <c r="B18" s="82">
        <f>VLOOKUP(A18,'Data shares'!$C$2:$CV$216,98,0)</f>
        <v>42785000</v>
      </c>
      <c r="C18" s="82">
        <f>VLOOKUP(A18,'Data shares'!$C$2:$CX$216,100,0)</f>
        <v>3770000</v>
      </c>
      <c r="D18" s="141">
        <f>VLOOKUP(A18,'Data shares'!$C$2:$CY$539,101,0)</f>
        <v>9.6600000000000005E-2</v>
      </c>
      <c r="E18" s="86">
        <f>VLOOKUP($A18,'Data shares'!$C:$FA,74)</f>
        <v>23957500</v>
      </c>
      <c r="F18" s="86">
        <f>VLOOKUP($A18,'Data shares'!$C:$FA,76)</f>
        <v>1937500</v>
      </c>
      <c r="G18" s="87">
        <f>VLOOKUP(A18,'Data shares'!$C$2:$CA$216,77,0)</f>
        <v>8.7999999999999995E-2</v>
      </c>
      <c r="H18" s="86">
        <f>VLOOKUP($A18,'Data shares'!$C:$FA,90)</f>
        <v>11672500</v>
      </c>
      <c r="I18" s="86">
        <f>VLOOKUP($A18,'Data shares'!$C:$FA,92)</f>
        <v>1562500</v>
      </c>
      <c r="J18" s="87">
        <f>VLOOKUP($A18,'Data shares'!$C:$FA,93)</f>
        <v>0.1545</v>
      </c>
      <c r="K18" s="86">
        <f>VLOOKUP($A18,'Data shares'!$C:$FA,94)</f>
        <v>7155000</v>
      </c>
      <c r="L18" s="86">
        <f>VLOOKUP($A18,'Data shares'!$C:$FA,96)</f>
        <v>270000</v>
      </c>
      <c r="M18" s="87">
        <f>VLOOKUP($A18,'Data shares'!$C:$FA,97)</f>
        <v>3.9199999999999999E-2</v>
      </c>
      <c r="N18" s="86">
        <f>VLOOKUP($A18,'Data shares'!$C:$FA,78)</f>
        <v>23275000</v>
      </c>
      <c r="O18" s="87">
        <f>VLOOKUP($A18,'Data shares'!$C:$FA,81)</f>
        <v>8.6199999999999999E-2</v>
      </c>
    </row>
    <row r="19" spans="1:15" x14ac:dyDescent="0.25">
      <c r="A19" s="100" t="str">
        <f>'Data Vlaue (Cr)'!C14</f>
        <v>APLAPOLLO</v>
      </c>
      <c r="B19" s="82">
        <f>VLOOKUP(A19,'Data shares'!$C$2:$CV$216,98,0)</f>
        <v>8285550</v>
      </c>
      <c r="C19" s="82">
        <f>VLOOKUP(A19,'Data shares'!$C$2:$CX$216,100,0)</f>
        <v>1681050</v>
      </c>
      <c r="D19" s="141">
        <f>VLOOKUP(A19,'Data shares'!$C$2:$CY$539,101,0)</f>
        <v>0.2545</v>
      </c>
      <c r="E19" s="86">
        <f>VLOOKUP($A19,'Data shares'!$C:$FA,74)</f>
        <v>5790050</v>
      </c>
      <c r="F19" s="86">
        <f>VLOOKUP($A19,'Data shares'!$C:$FA,76)</f>
        <v>618100</v>
      </c>
      <c r="G19" s="87">
        <f>VLOOKUP(A19,'Data shares'!$C$2:$CA$216,77,0)</f>
        <v>0.1195</v>
      </c>
      <c r="H19" s="86">
        <f>VLOOKUP($A19,'Data shares'!$C:$FA,90)</f>
        <v>1591800</v>
      </c>
      <c r="I19" s="86">
        <f>VLOOKUP($A19,'Data shares'!$C:$FA,92)</f>
        <v>779450</v>
      </c>
      <c r="J19" s="87">
        <f>VLOOKUP($A19,'Data shares'!$C:$FA,93)</f>
        <v>0.95950000000000002</v>
      </c>
      <c r="K19" s="86">
        <f>VLOOKUP($A19,'Data shares'!$C:$FA,94)</f>
        <v>903700</v>
      </c>
      <c r="L19" s="86">
        <f>VLOOKUP($A19,'Data shares'!$C:$FA,96)</f>
        <v>283500</v>
      </c>
      <c r="M19" s="87">
        <f>VLOOKUP($A19,'Data shares'!$C:$FA,97)</f>
        <v>0.45710000000000001</v>
      </c>
      <c r="N19" s="86">
        <f>VLOOKUP($A19,'Data shares'!$C:$FA,78)</f>
        <v>5248600</v>
      </c>
      <c r="O19" s="87">
        <f>VLOOKUP($A19,'Data shares'!$C:$FA,81)</f>
        <v>0.1273</v>
      </c>
    </row>
    <row r="20" spans="1:15" x14ac:dyDescent="0.25">
      <c r="A20" s="100" t="str">
        <f>'Data Vlaue (Cr)'!C15</f>
        <v>APOLLOHOSP</v>
      </c>
      <c r="B20" s="82">
        <f>VLOOKUP(A20,'Data shares'!$C$2:$CV$216,98,0)</f>
        <v>3083250</v>
      </c>
      <c r="C20" s="82">
        <f>VLOOKUP(A20,'Data shares'!$C$2:$CX$216,100,0)</f>
        <v>147125</v>
      </c>
      <c r="D20" s="141">
        <f>VLOOKUP(A20,'Data shares'!$C$2:$CY$539,101,0)</f>
        <v>5.0099999999999999E-2</v>
      </c>
      <c r="E20" s="86">
        <f>VLOOKUP($A20,'Data shares'!$C:$FA,74)</f>
        <v>2022000</v>
      </c>
      <c r="F20" s="86">
        <f>VLOOKUP($A20,'Data shares'!$C:$FA,76)</f>
        <v>10375</v>
      </c>
      <c r="G20" s="87">
        <f>VLOOKUP(A20,'Data shares'!$C$2:$CA$216,77,0)</f>
        <v>5.1999999999999998E-3</v>
      </c>
      <c r="H20" s="86">
        <f>VLOOKUP($A20,'Data shares'!$C:$FA,90)</f>
        <v>644750</v>
      </c>
      <c r="I20" s="86">
        <f>VLOOKUP($A20,'Data shares'!$C:$FA,92)</f>
        <v>85375</v>
      </c>
      <c r="J20" s="87">
        <f>VLOOKUP($A20,'Data shares'!$C:$FA,93)</f>
        <v>0.15260000000000001</v>
      </c>
      <c r="K20" s="86">
        <f>VLOOKUP($A20,'Data shares'!$C:$FA,94)</f>
        <v>416500</v>
      </c>
      <c r="L20" s="86">
        <f>VLOOKUP($A20,'Data shares'!$C:$FA,96)</f>
        <v>51375</v>
      </c>
      <c r="M20" s="87">
        <f>VLOOKUP($A20,'Data shares'!$C:$FA,97)</f>
        <v>0.14069999999999999</v>
      </c>
      <c r="N20" s="86">
        <f>VLOOKUP($A20,'Data shares'!$C:$FA,78)</f>
        <v>1848625</v>
      </c>
      <c r="O20" s="87">
        <f>VLOOKUP($A20,'Data shares'!$C:$FA,81)</f>
        <v>3.0999999999999999E-3</v>
      </c>
    </row>
    <row r="21" spans="1:15" x14ac:dyDescent="0.25">
      <c r="A21" s="100" t="str">
        <f>'Data Vlaue (Cr)'!C16</f>
        <v>ASHOKLEY</v>
      </c>
      <c r="B21" s="82">
        <f>VLOOKUP(A21,'Data shares'!$C$2:$CV$216,98,0)</f>
        <v>265995000</v>
      </c>
      <c r="C21" s="82">
        <f>VLOOKUP(A21,'Data shares'!$C$2:$CX$216,100,0)</f>
        <v>15130000</v>
      </c>
      <c r="D21" s="141">
        <f>VLOOKUP(A21,'Data shares'!$C$2:$CY$539,101,0)</f>
        <v>6.0299999999999999E-2</v>
      </c>
      <c r="E21" s="86">
        <f>VLOOKUP($A21,'Data shares'!$C:$FA,74)</f>
        <v>137420000</v>
      </c>
      <c r="F21" s="86">
        <f>VLOOKUP($A21,'Data shares'!$C:$FA,76)</f>
        <v>3000000</v>
      </c>
      <c r="G21" s="87">
        <f>VLOOKUP(A21,'Data shares'!$C$2:$CA$216,77,0)</f>
        <v>2.23E-2</v>
      </c>
      <c r="H21" s="86">
        <f>VLOOKUP($A21,'Data shares'!$C:$FA,90)</f>
        <v>80415000</v>
      </c>
      <c r="I21" s="86">
        <f>VLOOKUP($A21,'Data shares'!$C:$FA,92)</f>
        <v>9665000</v>
      </c>
      <c r="J21" s="87">
        <f>VLOOKUP($A21,'Data shares'!$C:$FA,93)</f>
        <v>0.1366</v>
      </c>
      <c r="K21" s="86">
        <f>VLOOKUP($A21,'Data shares'!$C:$FA,94)</f>
        <v>48160000</v>
      </c>
      <c r="L21" s="86">
        <f>VLOOKUP($A21,'Data shares'!$C:$FA,96)</f>
        <v>2465000</v>
      </c>
      <c r="M21" s="87">
        <f>VLOOKUP($A21,'Data shares'!$C:$FA,97)</f>
        <v>5.3900000000000003E-2</v>
      </c>
      <c r="N21" s="86">
        <f>VLOOKUP($A21,'Data shares'!$C:$FA,78)</f>
        <v>128615000</v>
      </c>
      <c r="O21" s="87">
        <f>VLOOKUP($A21,'Data shares'!$C:$FA,81)</f>
        <v>1.4E-2</v>
      </c>
    </row>
    <row r="22" spans="1:15" x14ac:dyDescent="0.25">
      <c r="A22" s="100" t="str">
        <f>'Data Vlaue (Cr)'!C17</f>
        <v>ASIANPAINT</v>
      </c>
      <c r="B22" s="82">
        <f>VLOOKUP(A22,'Data shares'!$C$2:$CV$216,98,0)</f>
        <v>21128750</v>
      </c>
      <c r="C22" s="82">
        <f>VLOOKUP(A22,'Data shares'!$C$2:$CX$216,100,0)</f>
        <v>1836500</v>
      </c>
      <c r="D22" s="141">
        <f>VLOOKUP(A22,'Data shares'!$C$2:$CY$539,101,0)</f>
        <v>9.5200000000000007E-2</v>
      </c>
      <c r="E22" s="86">
        <f>VLOOKUP($A22,'Data shares'!$C:$FA,74)</f>
        <v>14212250</v>
      </c>
      <c r="F22" s="86">
        <f>VLOOKUP($A22,'Data shares'!$C:$FA,76)</f>
        <v>305000</v>
      </c>
      <c r="G22" s="87">
        <f>VLOOKUP(A22,'Data shares'!$C$2:$CA$216,77,0)</f>
        <v>2.1899999999999999E-2</v>
      </c>
      <c r="H22" s="86">
        <f>VLOOKUP($A22,'Data shares'!$C:$FA,90)</f>
        <v>3746500</v>
      </c>
      <c r="I22" s="86">
        <f>VLOOKUP($A22,'Data shares'!$C:$FA,92)</f>
        <v>1108500</v>
      </c>
      <c r="J22" s="87">
        <f>VLOOKUP($A22,'Data shares'!$C:$FA,93)</f>
        <v>0.42020000000000002</v>
      </c>
      <c r="K22" s="86">
        <f>VLOOKUP($A22,'Data shares'!$C:$FA,94)</f>
        <v>3170000</v>
      </c>
      <c r="L22" s="86">
        <f>VLOOKUP($A22,'Data shares'!$C:$FA,96)</f>
        <v>423000</v>
      </c>
      <c r="M22" s="87">
        <f>VLOOKUP($A22,'Data shares'!$C:$FA,97)</f>
        <v>0.154</v>
      </c>
      <c r="N22" s="86">
        <f>VLOOKUP($A22,'Data shares'!$C:$FA,78)</f>
        <v>13051250</v>
      </c>
      <c r="O22" s="87">
        <f>VLOOKUP($A22,'Data shares'!$C:$FA,81)</f>
        <v>2.0500000000000001E-2</v>
      </c>
    </row>
    <row r="23" spans="1:15" x14ac:dyDescent="0.25">
      <c r="A23" s="100" t="str">
        <f>'Data Vlaue (Cr)'!C18</f>
        <v>ASTRAL</v>
      </c>
      <c r="B23" s="82">
        <f>VLOOKUP(A23,'Data shares'!$C$2:$CV$216,98,0)</f>
        <v>11419325</v>
      </c>
      <c r="C23" s="82">
        <f>VLOOKUP(A23,'Data shares'!$C$2:$CX$216,100,0)</f>
        <v>198050</v>
      </c>
      <c r="D23" s="141">
        <f>VLOOKUP(A23,'Data shares'!$C$2:$CY$539,101,0)</f>
        <v>1.7600000000000001E-2</v>
      </c>
      <c r="E23" s="86">
        <f>VLOOKUP($A23,'Data shares'!$C:$FA,74)</f>
        <v>9134950</v>
      </c>
      <c r="F23" s="86">
        <f>VLOOKUP($A23,'Data shares'!$C:$FA,76)</f>
        <v>113050</v>
      </c>
      <c r="G23" s="87">
        <f>VLOOKUP(A23,'Data shares'!$C$2:$CA$216,77,0)</f>
        <v>1.2500000000000001E-2</v>
      </c>
      <c r="H23" s="86">
        <f>VLOOKUP($A23,'Data shares'!$C:$FA,90)</f>
        <v>1356600</v>
      </c>
      <c r="I23" s="86">
        <f>VLOOKUP($A23,'Data shares'!$C:$FA,92)</f>
        <v>75650</v>
      </c>
      <c r="J23" s="87">
        <f>VLOOKUP($A23,'Data shares'!$C:$FA,93)</f>
        <v>5.91E-2</v>
      </c>
      <c r="K23" s="86">
        <f>VLOOKUP($A23,'Data shares'!$C:$FA,94)</f>
        <v>927775</v>
      </c>
      <c r="L23" s="86">
        <f>VLOOKUP($A23,'Data shares'!$C:$FA,96)</f>
        <v>9350</v>
      </c>
      <c r="M23" s="87">
        <f>VLOOKUP($A23,'Data shares'!$C:$FA,97)</f>
        <v>1.0200000000000001E-2</v>
      </c>
      <c r="N23" s="86">
        <f>VLOOKUP($A23,'Data shares'!$C:$FA,78)</f>
        <v>8698475</v>
      </c>
      <c r="O23" s="87">
        <f>VLOOKUP($A23,'Data shares'!$C:$FA,81)</f>
        <v>4.0000000000000002E-4</v>
      </c>
    </row>
    <row r="24" spans="1:15" x14ac:dyDescent="0.25">
      <c r="A24" s="100" t="str">
        <f>'Data Vlaue (Cr)'!C19</f>
        <v>AUBANK</v>
      </c>
      <c r="B24" s="82">
        <f>VLOOKUP(A24,'Data shares'!$C$2:$CV$216,98,0)</f>
        <v>38596000</v>
      </c>
      <c r="C24" s="82">
        <f>VLOOKUP(A24,'Data shares'!$C$2:$CX$216,100,0)</f>
        <v>-24000</v>
      </c>
      <c r="D24" s="141">
        <f>VLOOKUP(A24,'Data shares'!$C$2:$CY$539,101,0)</f>
        <v>-5.9999999999999995E-4</v>
      </c>
      <c r="E24" s="86">
        <f>VLOOKUP($A24,'Data shares'!$C:$FA,74)</f>
        <v>26943000</v>
      </c>
      <c r="F24" s="86">
        <f>VLOOKUP($A24,'Data shares'!$C:$FA,76)</f>
        <v>167000</v>
      </c>
      <c r="G24" s="87">
        <f>VLOOKUP(A24,'Data shares'!$C$2:$CA$216,77,0)</f>
        <v>6.1999999999999998E-3</v>
      </c>
      <c r="H24" s="86">
        <f>VLOOKUP($A24,'Data shares'!$C:$FA,90)</f>
        <v>7492000</v>
      </c>
      <c r="I24" s="86">
        <f>VLOOKUP($A24,'Data shares'!$C:$FA,92)</f>
        <v>-191000</v>
      </c>
      <c r="J24" s="87">
        <f>VLOOKUP($A24,'Data shares'!$C:$FA,93)</f>
        <v>-2.4899999999999999E-2</v>
      </c>
      <c r="K24" s="86">
        <f>VLOOKUP($A24,'Data shares'!$C:$FA,94)</f>
        <v>4161000</v>
      </c>
      <c r="L24" s="86">
        <f>VLOOKUP($A24,'Data shares'!$C:$FA,96)</f>
        <v>0</v>
      </c>
      <c r="M24" s="87">
        <f>VLOOKUP($A24,'Data shares'!$C:$FA,97)</f>
        <v>0</v>
      </c>
      <c r="N24" s="86">
        <f>VLOOKUP($A24,'Data shares'!$C:$FA,78)</f>
        <v>25704000</v>
      </c>
      <c r="O24" s="87">
        <f>VLOOKUP($A24,'Data shares'!$C:$FA,81)</f>
        <v>1.2999999999999999E-3</v>
      </c>
    </row>
    <row r="25" spans="1:15" x14ac:dyDescent="0.25">
      <c r="A25" s="100" t="str">
        <f>'Data Vlaue (Cr)'!C20</f>
        <v>AUROPHARMA</v>
      </c>
      <c r="B25" s="82">
        <f>VLOOKUP(A25,'Data shares'!$C$2:$CV$216,98,0)</f>
        <v>23969550</v>
      </c>
      <c r="C25" s="82">
        <f>VLOOKUP(A25,'Data shares'!$C$2:$CX$216,100,0)</f>
        <v>558250</v>
      </c>
      <c r="D25" s="141">
        <f>VLOOKUP(A25,'Data shares'!$C$2:$CY$539,101,0)</f>
        <v>2.3800000000000002E-2</v>
      </c>
      <c r="E25" s="86">
        <f>VLOOKUP($A25,'Data shares'!$C:$FA,74)</f>
        <v>19611900</v>
      </c>
      <c r="F25" s="86">
        <f>VLOOKUP($A25,'Data shares'!$C:$FA,76)</f>
        <v>113850</v>
      </c>
      <c r="G25" s="87">
        <f>VLOOKUP(A25,'Data shares'!$C$2:$CA$216,77,0)</f>
        <v>5.7999999999999996E-3</v>
      </c>
      <c r="H25" s="86">
        <f>VLOOKUP($A25,'Data shares'!$C:$FA,90)</f>
        <v>2778050</v>
      </c>
      <c r="I25" s="86">
        <f>VLOOKUP($A25,'Data shares'!$C:$FA,92)</f>
        <v>333850</v>
      </c>
      <c r="J25" s="87">
        <f>VLOOKUP($A25,'Data shares'!$C:$FA,93)</f>
        <v>0.1366</v>
      </c>
      <c r="K25" s="86">
        <f>VLOOKUP($A25,'Data shares'!$C:$FA,94)</f>
        <v>1579600</v>
      </c>
      <c r="L25" s="86">
        <f>VLOOKUP($A25,'Data shares'!$C:$FA,96)</f>
        <v>110550</v>
      </c>
      <c r="M25" s="87">
        <f>VLOOKUP($A25,'Data shares'!$C:$FA,97)</f>
        <v>7.5300000000000006E-2</v>
      </c>
      <c r="N25" s="86">
        <f>VLOOKUP($A25,'Data shares'!$C:$FA,78)</f>
        <v>19562400</v>
      </c>
      <c r="O25" s="87">
        <f>VLOOKUP($A25,'Data shares'!$C:$FA,81)</f>
        <v>5.1999999999999998E-3</v>
      </c>
    </row>
    <row r="26" spans="1:15" x14ac:dyDescent="0.25">
      <c r="A26" s="100" t="str">
        <f>'Data Vlaue (Cr)'!C21</f>
        <v>AXISBANK</v>
      </c>
      <c r="B26" s="82">
        <f>VLOOKUP(A26,'Data shares'!$C$2:$CV$216,98,0)</f>
        <v>91692500</v>
      </c>
      <c r="C26" s="82">
        <f>VLOOKUP(A26,'Data shares'!$C$2:$CX$216,100,0)</f>
        <v>5829375</v>
      </c>
      <c r="D26" s="141">
        <f>VLOOKUP(A26,'Data shares'!$C$2:$CY$539,101,0)</f>
        <v>6.7900000000000002E-2</v>
      </c>
      <c r="E26" s="86">
        <f>VLOOKUP($A26,'Data shares'!$C:$FA,74)</f>
        <v>66586250</v>
      </c>
      <c r="F26" s="86">
        <f>VLOOKUP($A26,'Data shares'!$C:$FA,76)</f>
        <v>2092500</v>
      </c>
      <c r="G26" s="87">
        <f>VLOOKUP(A26,'Data shares'!$C$2:$CA$216,77,0)</f>
        <v>3.2399999999999998E-2</v>
      </c>
      <c r="H26" s="86">
        <f>VLOOKUP($A26,'Data shares'!$C:$FA,90)</f>
        <v>14793750</v>
      </c>
      <c r="I26" s="86">
        <f>VLOOKUP($A26,'Data shares'!$C:$FA,92)</f>
        <v>2231875</v>
      </c>
      <c r="J26" s="87">
        <f>VLOOKUP($A26,'Data shares'!$C:$FA,93)</f>
        <v>0.1777</v>
      </c>
      <c r="K26" s="86">
        <f>VLOOKUP($A26,'Data shares'!$C:$FA,94)</f>
        <v>10312500</v>
      </c>
      <c r="L26" s="86">
        <f>VLOOKUP($A26,'Data shares'!$C:$FA,96)</f>
        <v>1505000</v>
      </c>
      <c r="M26" s="87">
        <f>VLOOKUP($A26,'Data shares'!$C:$FA,97)</f>
        <v>0.1709</v>
      </c>
      <c r="N26" s="86">
        <f>VLOOKUP($A26,'Data shares'!$C:$FA,78)</f>
        <v>58879375</v>
      </c>
      <c r="O26" s="87">
        <f>VLOOKUP($A26,'Data shares'!$C:$FA,81)</f>
        <v>2.3900000000000001E-2</v>
      </c>
    </row>
    <row r="27" spans="1:15" x14ac:dyDescent="0.25">
      <c r="A27" s="100" t="str">
        <f>'Data Vlaue (Cr)'!C22</f>
        <v>BAJAJ-AUTO</v>
      </c>
      <c r="B27" s="82">
        <f>VLOOKUP(A27,'Data shares'!$C$2:$CV$216,98,0)</f>
        <v>5168550</v>
      </c>
      <c r="C27" s="82">
        <f>VLOOKUP(A27,'Data shares'!$C$2:$CX$216,100,0)</f>
        <v>547200</v>
      </c>
      <c r="D27" s="141">
        <f>VLOOKUP(A27,'Data shares'!$C$2:$CY$539,101,0)</f>
        <v>0.11840000000000001</v>
      </c>
      <c r="E27" s="86">
        <f>VLOOKUP($A27,'Data shares'!$C:$FA,74)</f>
        <v>2600475</v>
      </c>
      <c r="F27" s="86">
        <f>VLOOKUP($A27,'Data shares'!$C:$FA,76)</f>
        <v>28275</v>
      </c>
      <c r="G27" s="87">
        <f>VLOOKUP(A27,'Data shares'!$C$2:$CA$216,77,0)</f>
        <v>1.0999999999999999E-2</v>
      </c>
      <c r="H27" s="86">
        <f>VLOOKUP($A27,'Data shares'!$C:$FA,90)</f>
        <v>1430700</v>
      </c>
      <c r="I27" s="86">
        <f>VLOOKUP($A27,'Data shares'!$C:$FA,92)</f>
        <v>344175</v>
      </c>
      <c r="J27" s="87">
        <f>VLOOKUP($A27,'Data shares'!$C:$FA,93)</f>
        <v>0.31680000000000003</v>
      </c>
      <c r="K27" s="86">
        <f>VLOOKUP($A27,'Data shares'!$C:$FA,94)</f>
        <v>1137375</v>
      </c>
      <c r="L27" s="86">
        <f>VLOOKUP($A27,'Data shares'!$C:$FA,96)</f>
        <v>174750</v>
      </c>
      <c r="M27" s="87">
        <f>VLOOKUP($A27,'Data shares'!$C:$FA,97)</f>
        <v>0.18149999999999999</v>
      </c>
      <c r="N27" s="86">
        <f>VLOOKUP($A27,'Data shares'!$C:$FA,78)</f>
        <v>2485200</v>
      </c>
      <c r="O27" s="87">
        <f>VLOOKUP($A27,'Data shares'!$C:$FA,81)</f>
        <v>6.1000000000000004E-3</v>
      </c>
    </row>
    <row r="28" spans="1:15" x14ac:dyDescent="0.25">
      <c r="A28" s="100" t="str">
        <f>'Data Vlaue (Cr)'!C23</f>
        <v>BAJAJFINSV</v>
      </c>
      <c r="B28" s="82">
        <f>VLOOKUP(A28,'Data shares'!$C$2:$CV$216,98,0)</f>
        <v>17313950</v>
      </c>
      <c r="C28" s="82">
        <f>VLOOKUP(A28,'Data shares'!$C$2:$CX$216,100,0)</f>
        <v>803300</v>
      </c>
      <c r="D28" s="141">
        <f>VLOOKUP(A28,'Data shares'!$C$2:$CY$539,101,0)</f>
        <v>4.87E-2</v>
      </c>
      <c r="E28" s="86">
        <f>VLOOKUP($A28,'Data shares'!$C:$FA,74)</f>
        <v>11619950</v>
      </c>
      <c r="F28" s="86">
        <f>VLOOKUP($A28,'Data shares'!$C:$FA,76)</f>
        <v>390550</v>
      </c>
      <c r="G28" s="87">
        <f>VLOOKUP(A28,'Data shares'!$C$2:$CA$216,77,0)</f>
        <v>3.4799999999999998E-2</v>
      </c>
      <c r="H28" s="86">
        <f>VLOOKUP($A28,'Data shares'!$C:$FA,90)</f>
        <v>2778500</v>
      </c>
      <c r="I28" s="86">
        <f>VLOOKUP($A28,'Data shares'!$C:$FA,92)</f>
        <v>148500</v>
      </c>
      <c r="J28" s="87">
        <f>VLOOKUP($A28,'Data shares'!$C:$FA,93)</f>
        <v>5.6500000000000002E-2</v>
      </c>
      <c r="K28" s="86">
        <f>VLOOKUP($A28,'Data shares'!$C:$FA,94)</f>
        <v>2915500</v>
      </c>
      <c r="L28" s="86">
        <f>VLOOKUP($A28,'Data shares'!$C:$FA,96)</f>
        <v>264250</v>
      </c>
      <c r="M28" s="87">
        <f>VLOOKUP($A28,'Data shares'!$C:$FA,97)</f>
        <v>9.9699999999999997E-2</v>
      </c>
      <c r="N28" s="86">
        <f>VLOOKUP($A28,'Data shares'!$C:$FA,78)</f>
        <v>10593500</v>
      </c>
      <c r="O28" s="87">
        <f>VLOOKUP($A28,'Data shares'!$C:$FA,81)</f>
        <v>2.9100000000000001E-2</v>
      </c>
    </row>
    <row r="29" spans="1:15" x14ac:dyDescent="0.25">
      <c r="A29" s="100" t="str">
        <f>'Data Vlaue (Cr)'!C24</f>
        <v>BAJAJHLDNG</v>
      </c>
      <c r="B29" s="82">
        <f>VLOOKUP(A29,'Data shares'!$C$2:$CV$216,98,0)</f>
        <v>337300</v>
      </c>
      <c r="C29" s="82">
        <f>VLOOKUP(A29,'Data shares'!$C$2:$CX$216,100,0)</f>
        <v>31700</v>
      </c>
      <c r="D29" s="141">
        <f>VLOOKUP(A29,'Data shares'!$C$2:$CY$539,101,0)</f>
        <v>0.1037</v>
      </c>
      <c r="E29" s="86">
        <f>VLOOKUP($A29,'Data shares'!$C:$FA,74)</f>
        <v>257000</v>
      </c>
      <c r="F29" s="86">
        <f>VLOOKUP($A29,'Data shares'!$C:$FA,76)</f>
        <v>4600</v>
      </c>
      <c r="G29" s="87">
        <f>VLOOKUP(A29,'Data shares'!$C$2:$CA$216,77,0)</f>
        <v>1.8200000000000001E-2</v>
      </c>
      <c r="H29" s="86">
        <f>VLOOKUP($A29,'Data shares'!$C:$FA,90)</f>
        <v>55750</v>
      </c>
      <c r="I29" s="86">
        <f>VLOOKUP($A29,'Data shares'!$C:$FA,92)</f>
        <v>19000</v>
      </c>
      <c r="J29" s="87">
        <f>VLOOKUP($A29,'Data shares'!$C:$FA,93)</f>
        <v>0.51700000000000002</v>
      </c>
      <c r="K29" s="86">
        <f>VLOOKUP($A29,'Data shares'!$C:$FA,94)</f>
        <v>24550</v>
      </c>
      <c r="L29" s="86">
        <f>VLOOKUP($A29,'Data shares'!$C:$FA,96)</f>
        <v>8100</v>
      </c>
      <c r="M29" s="87">
        <f>VLOOKUP($A29,'Data shares'!$C:$FA,97)</f>
        <v>0.4924</v>
      </c>
      <c r="N29" s="86">
        <f>VLOOKUP($A29,'Data shares'!$C:$FA,78)</f>
        <v>254400</v>
      </c>
      <c r="O29" s="87">
        <f>VLOOKUP($A29,'Data shares'!$C:$FA,81)</f>
        <v>1.66E-2</v>
      </c>
    </row>
    <row r="30" spans="1:15" x14ac:dyDescent="0.25">
      <c r="A30" s="100" t="str">
        <f>'Data Vlaue (Cr)'!C25</f>
        <v>BAJFINANCE</v>
      </c>
      <c r="B30" s="82">
        <f>VLOOKUP(A30,'Data shares'!$C$2:$CV$216,98,0)</f>
        <v>100515000</v>
      </c>
      <c r="C30" s="82">
        <f>VLOOKUP(A30,'Data shares'!$C$2:$CX$216,100,0)</f>
        <v>-1050750</v>
      </c>
      <c r="D30" s="141">
        <f>VLOOKUP(A30,'Data shares'!$C$2:$CY$539,101,0)</f>
        <v>-1.03E-2</v>
      </c>
      <c r="E30" s="86">
        <f>VLOOKUP($A30,'Data shares'!$C:$FA,74)</f>
        <v>71145000</v>
      </c>
      <c r="F30" s="86">
        <f>VLOOKUP($A30,'Data shares'!$C:$FA,76)</f>
        <v>-343500</v>
      </c>
      <c r="G30" s="87">
        <f>VLOOKUP(A30,'Data shares'!$C$2:$CA$216,77,0)</f>
        <v>-4.7999999999999996E-3</v>
      </c>
      <c r="H30" s="86">
        <f>VLOOKUP($A30,'Data shares'!$C:$FA,90)</f>
        <v>16751250</v>
      </c>
      <c r="I30" s="86">
        <f>VLOOKUP($A30,'Data shares'!$C:$FA,92)</f>
        <v>-872250</v>
      </c>
      <c r="J30" s="87">
        <f>VLOOKUP($A30,'Data shares'!$C:$FA,93)</f>
        <v>-4.9500000000000002E-2</v>
      </c>
      <c r="K30" s="86">
        <f>VLOOKUP($A30,'Data shares'!$C:$FA,94)</f>
        <v>12618750</v>
      </c>
      <c r="L30" s="86">
        <f>VLOOKUP($A30,'Data shares'!$C:$FA,96)</f>
        <v>165000</v>
      </c>
      <c r="M30" s="87">
        <f>VLOOKUP($A30,'Data shares'!$C:$FA,97)</f>
        <v>1.32E-2</v>
      </c>
      <c r="N30" s="86">
        <f>VLOOKUP($A30,'Data shares'!$C:$FA,78)</f>
        <v>60417000</v>
      </c>
      <c r="O30" s="87">
        <f>VLOOKUP($A30,'Data shares'!$C:$FA,81)</f>
        <v>-8.3999999999999995E-3</v>
      </c>
    </row>
    <row r="31" spans="1:15" x14ac:dyDescent="0.25">
      <c r="A31" s="100" t="str">
        <f>'Data Vlaue (Cr)'!C26</f>
        <v>BANDHANBNK</v>
      </c>
      <c r="B31" s="82">
        <f>VLOOKUP(A31,'Data shares'!$C$2:$CV$216,98,0)</f>
        <v>176313600</v>
      </c>
      <c r="C31" s="82">
        <f>VLOOKUP(A31,'Data shares'!$C$2:$CX$216,100,0)</f>
        <v>13726800</v>
      </c>
      <c r="D31" s="141">
        <f>VLOOKUP(A31,'Data shares'!$C$2:$CY$539,101,0)</f>
        <v>8.4400000000000003E-2</v>
      </c>
      <c r="E31" s="86">
        <f>VLOOKUP($A31,'Data shares'!$C:$FA,74)</f>
        <v>95623200</v>
      </c>
      <c r="F31" s="86">
        <f>VLOOKUP($A31,'Data shares'!$C:$FA,76)</f>
        <v>1648800</v>
      </c>
      <c r="G31" s="87">
        <f>VLOOKUP(A31,'Data shares'!$C$2:$CA$216,77,0)</f>
        <v>1.7500000000000002E-2</v>
      </c>
      <c r="H31" s="86">
        <f>VLOOKUP($A31,'Data shares'!$C:$FA,90)</f>
        <v>46432800</v>
      </c>
      <c r="I31" s="86">
        <f>VLOOKUP($A31,'Data shares'!$C:$FA,92)</f>
        <v>4132800</v>
      </c>
      <c r="J31" s="87">
        <f>VLOOKUP($A31,'Data shares'!$C:$FA,93)</f>
        <v>9.7699999999999995E-2</v>
      </c>
      <c r="K31" s="86">
        <f>VLOOKUP($A31,'Data shares'!$C:$FA,94)</f>
        <v>34257600</v>
      </c>
      <c r="L31" s="86">
        <f>VLOOKUP($A31,'Data shares'!$C:$FA,96)</f>
        <v>7945200</v>
      </c>
      <c r="M31" s="87">
        <f>VLOOKUP($A31,'Data shares'!$C:$FA,97)</f>
        <v>0.30199999999999999</v>
      </c>
      <c r="N31" s="86">
        <f>VLOOKUP($A31,'Data shares'!$C:$FA,78)</f>
        <v>93474000</v>
      </c>
      <c r="O31" s="87">
        <f>VLOOKUP($A31,'Data shares'!$C:$FA,81)</f>
        <v>1.66E-2</v>
      </c>
    </row>
    <row r="32" spans="1:15" x14ac:dyDescent="0.25">
      <c r="A32" s="100" t="str">
        <f>'Data Vlaue (Cr)'!C27</f>
        <v>BANKBARODA</v>
      </c>
      <c r="B32" s="82">
        <f>VLOOKUP(A32,'Data shares'!$C$2:$CV$216,98,0)</f>
        <v>171048150</v>
      </c>
      <c r="C32" s="82">
        <f>VLOOKUP(A32,'Data shares'!$C$2:$CX$216,100,0)</f>
        <v>3407625</v>
      </c>
      <c r="D32" s="141">
        <f>VLOOKUP(A32,'Data shares'!$C$2:$CY$539,101,0)</f>
        <v>2.0299999999999999E-2</v>
      </c>
      <c r="E32" s="86">
        <f>VLOOKUP($A32,'Data shares'!$C:$FA,74)</f>
        <v>113849775</v>
      </c>
      <c r="F32" s="86">
        <f>VLOOKUP($A32,'Data shares'!$C:$FA,76)</f>
        <v>1105650</v>
      </c>
      <c r="G32" s="87">
        <f>VLOOKUP(A32,'Data shares'!$C$2:$CA$216,77,0)</f>
        <v>9.7999999999999997E-3</v>
      </c>
      <c r="H32" s="86">
        <f>VLOOKUP($A32,'Data shares'!$C:$FA,90)</f>
        <v>31677750</v>
      </c>
      <c r="I32" s="86">
        <f>VLOOKUP($A32,'Data shares'!$C:$FA,92)</f>
        <v>1836900</v>
      </c>
      <c r="J32" s="87">
        <f>VLOOKUP($A32,'Data shares'!$C:$FA,93)</f>
        <v>6.1600000000000002E-2</v>
      </c>
      <c r="K32" s="86">
        <f>VLOOKUP($A32,'Data shares'!$C:$FA,94)</f>
        <v>25520625</v>
      </c>
      <c r="L32" s="86">
        <f>VLOOKUP($A32,'Data shares'!$C:$FA,96)</f>
        <v>465075</v>
      </c>
      <c r="M32" s="87">
        <f>VLOOKUP($A32,'Data shares'!$C:$FA,97)</f>
        <v>1.8599999999999998E-2</v>
      </c>
      <c r="N32" s="86">
        <f>VLOOKUP($A32,'Data shares'!$C:$FA,78)</f>
        <v>104533650</v>
      </c>
      <c r="O32" s="87">
        <f>VLOOKUP($A32,'Data shares'!$C:$FA,81)</f>
        <v>5.7999999999999996E-3</v>
      </c>
    </row>
    <row r="33" spans="1:15" x14ac:dyDescent="0.25">
      <c r="A33" s="100" t="str">
        <f>'Data Vlaue (Cr)'!C28</f>
        <v>BANKINDIA</v>
      </c>
      <c r="B33" s="82">
        <f>VLOOKUP(A33,'Data shares'!$C$2:$CV$216,98,0)</f>
        <v>87022000</v>
      </c>
      <c r="C33" s="82">
        <f>VLOOKUP(A33,'Data shares'!$C$2:$CX$216,100,0)</f>
        <v>5725200</v>
      </c>
      <c r="D33" s="141">
        <f>VLOOKUP(A33,'Data shares'!$C$2:$CY$539,101,0)</f>
        <v>7.0400000000000004E-2</v>
      </c>
      <c r="E33" s="86">
        <f>VLOOKUP($A33,'Data shares'!$C:$FA,74)</f>
        <v>55551600</v>
      </c>
      <c r="F33" s="86">
        <f>VLOOKUP($A33,'Data shares'!$C:$FA,76)</f>
        <v>2241200</v>
      </c>
      <c r="G33" s="87">
        <f>VLOOKUP(A33,'Data shares'!$C$2:$CA$216,77,0)</f>
        <v>4.2000000000000003E-2</v>
      </c>
      <c r="H33" s="86">
        <f>VLOOKUP($A33,'Data shares'!$C:$FA,90)</f>
        <v>17196400</v>
      </c>
      <c r="I33" s="86">
        <f>VLOOKUP($A33,'Data shares'!$C:$FA,92)</f>
        <v>2418000</v>
      </c>
      <c r="J33" s="87">
        <f>VLOOKUP($A33,'Data shares'!$C:$FA,93)</f>
        <v>0.1636</v>
      </c>
      <c r="K33" s="86">
        <f>VLOOKUP($A33,'Data shares'!$C:$FA,94)</f>
        <v>14274000</v>
      </c>
      <c r="L33" s="86">
        <f>VLOOKUP($A33,'Data shares'!$C:$FA,96)</f>
        <v>1066000</v>
      </c>
      <c r="M33" s="87">
        <f>VLOOKUP($A33,'Data shares'!$C:$FA,97)</f>
        <v>8.0699999999999994E-2</v>
      </c>
      <c r="N33" s="86">
        <f>VLOOKUP($A33,'Data shares'!$C:$FA,78)</f>
        <v>53726400</v>
      </c>
      <c r="O33" s="87">
        <f>VLOOKUP($A33,'Data shares'!$C:$FA,81)</f>
        <v>4.0099999999999997E-2</v>
      </c>
    </row>
    <row r="34" spans="1:15" x14ac:dyDescent="0.25">
      <c r="A34" s="100" t="str">
        <f>'Data Vlaue (Cr)'!C29</f>
        <v>BANKNIFTY</v>
      </c>
      <c r="B34" s="82">
        <f>VLOOKUP(A34,'Data shares'!$C$2:$CV$216,98,0)</f>
        <v>27249840</v>
      </c>
      <c r="C34" s="82">
        <f>VLOOKUP(A34,'Data shares'!$C$2:$CX$216,100,0)</f>
        <v>2120340</v>
      </c>
      <c r="D34" s="141">
        <f>VLOOKUP(A34,'Data shares'!$C$2:$CY$539,101,0)</f>
        <v>8.4400000000000003E-2</v>
      </c>
      <c r="E34" s="86">
        <f>VLOOKUP($A34,'Data shares'!$C:$FA,74)</f>
        <v>2339820</v>
      </c>
      <c r="F34" s="86">
        <f>VLOOKUP($A34,'Data shares'!$C:$FA,76)</f>
        <v>106410</v>
      </c>
      <c r="G34" s="87">
        <f>VLOOKUP(A34,'Data shares'!$C$2:$CA$216,77,0)</f>
        <v>4.7600000000000003E-2</v>
      </c>
      <c r="H34" s="86">
        <f>VLOOKUP($A34,'Data shares'!$C:$FA,90)</f>
        <v>13339140</v>
      </c>
      <c r="I34" s="86">
        <f>VLOOKUP($A34,'Data shares'!$C:$FA,92)</f>
        <v>1292010</v>
      </c>
      <c r="J34" s="87">
        <f>VLOOKUP($A34,'Data shares'!$C:$FA,93)</f>
        <v>0.1072</v>
      </c>
      <c r="K34" s="86">
        <f>VLOOKUP($A34,'Data shares'!$C:$FA,94)</f>
        <v>11570880</v>
      </c>
      <c r="L34" s="86">
        <f>VLOOKUP($A34,'Data shares'!$C:$FA,96)</f>
        <v>721920</v>
      </c>
      <c r="M34" s="87">
        <f>VLOOKUP($A34,'Data shares'!$C:$FA,97)</f>
        <v>6.6500000000000004E-2</v>
      </c>
      <c r="N34" s="86">
        <f>VLOOKUP($A34,'Data shares'!$C:$FA,78)</f>
        <v>2102490</v>
      </c>
      <c r="O34" s="87">
        <f>VLOOKUP($A34,'Data shares'!$C:$FA,81)</f>
        <v>4.7800000000000002E-2</v>
      </c>
    </row>
    <row r="35" spans="1:15" x14ac:dyDescent="0.25">
      <c r="A35" s="100" t="str">
        <f>'Data Vlaue (Cr)'!C30</f>
        <v>BDL</v>
      </c>
      <c r="B35" s="82">
        <f>VLOOKUP(A35,'Data shares'!$C$2:$CV$216,98,0)</f>
        <v>6467000</v>
      </c>
      <c r="C35" s="82">
        <f>VLOOKUP(A35,'Data shares'!$C$2:$CX$216,100,0)</f>
        <v>175650</v>
      </c>
      <c r="D35" s="141">
        <f>VLOOKUP(A35,'Data shares'!$C$2:$CY$539,101,0)</f>
        <v>2.7900000000000001E-2</v>
      </c>
      <c r="E35" s="86">
        <f>VLOOKUP($A35,'Data shares'!$C:$FA,74)</f>
        <v>3347100</v>
      </c>
      <c r="F35" s="86">
        <f>VLOOKUP($A35,'Data shares'!$C:$FA,76)</f>
        <v>-146000</v>
      </c>
      <c r="G35" s="87">
        <f>VLOOKUP(A35,'Data shares'!$C$2:$CA$216,77,0)</f>
        <v>-4.1799999999999997E-2</v>
      </c>
      <c r="H35" s="86">
        <f>VLOOKUP($A35,'Data shares'!$C:$FA,90)</f>
        <v>2024750</v>
      </c>
      <c r="I35" s="86">
        <f>VLOOKUP($A35,'Data shares'!$C:$FA,92)</f>
        <v>236600</v>
      </c>
      <c r="J35" s="87">
        <f>VLOOKUP($A35,'Data shares'!$C:$FA,93)</f>
        <v>0.1323</v>
      </c>
      <c r="K35" s="86">
        <f>VLOOKUP($A35,'Data shares'!$C:$FA,94)</f>
        <v>1095150</v>
      </c>
      <c r="L35" s="86">
        <f>VLOOKUP($A35,'Data shares'!$C:$FA,96)</f>
        <v>85050</v>
      </c>
      <c r="M35" s="87">
        <f>VLOOKUP($A35,'Data shares'!$C:$FA,97)</f>
        <v>8.4199999999999997E-2</v>
      </c>
      <c r="N35" s="86">
        <f>VLOOKUP($A35,'Data shares'!$C:$FA,78)</f>
        <v>3098200</v>
      </c>
      <c r="O35" s="87">
        <f>VLOOKUP($A35,'Data shares'!$C:$FA,81)</f>
        <v>-4.6699999999999998E-2</v>
      </c>
    </row>
    <row r="36" spans="1:15" x14ac:dyDescent="0.25">
      <c r="A36" s="100" t="str">
        <f>'Data Vlaue (Cr)'!C31</f>
        <v>BEL</v>
      </c>
      <c r="B36" s="82">
        <f>VLOOKUP(A36,'Data shares'!$C$2:$CV$216,98,0)</f>
        <v>176607375</v>
      </c>
      <c r="C36" s="82">
        <f>VLOOKUP(A36,'Data shares'!$C$2:$CX$216,100,0)</f>
        <v>7588125</v>
      </c>
      <c r="D36" s="141">
        <f>VLOOKUP(A36,'Data shares'!$C$2:$CY$539,101,0)</f>
        <v>4.4900000000000002E-2</v>
      </c>
      <c r="E36" s="86">
        <f>VLOOKUP($A36,'Data shares'!$C:$FA,74)</f>
        <v>115098675</v>
      </c>
      <c r="F36" s="86">
        <f>VLOOKUP($A36,'Data shares'!$C:$FA,76)</f>
        <v>1640175</v>
      </c>
      <c r="G36" s="87">
        <f>VLOOKUP(A36,'Data shares'!$C$2:$CA$216,77,0)</f>
        <v>1.4500000000000001E-2</v>
      </c>
      <c r="H36" s="86">
        <f>VLOOKUP($A36,'Data shares'!$C:$FA,90)</f>
        <v>37753950</v>
      </c>
      <c r="I36" s="86">
        <f>VLOOKUP($A36,'Data shares'!$C:$FA,92)</f>
        <v>4179525</v>
      </c>
      <c r="J36" s="87">
        <f>VLOOKUP($A36,'Data shares'!$C:$FA,93)</f>
        <v>0.1245</v>
      </c>
      <c r="K36" s="86">
        <f>VLOOKUP($A36,'Data shares'!$C:$FA,94)</f>
        <v>23754750</v>
      </c>
      <c r="L36" s="86">
        <f>VLOOKUP($A36,'Data shares'!$C:$FA,96)</f>
        <v>1768425</v>
      </c>
      <c r="M36" s="87">
        <f>VLOOKUP($A36,'Data shares'!$C:$FA,97)</f>
        <v>8.0399999999999999E-2</v>
      </c>
      <c r="N36" s="86">
        <f>VLOOKUP($A36,'Data shares'!$C:$FA,78)</f>
        <v>101176425</v>
      </c>
      <c r="O36" s="87">
        <f>VLOOKUP($A36,'Data shares'!$C:$FA,81)</f>
        <v>1.0800000000000001E-2</v>
      </c>
    </row>
    <row r="37" spans="1:15" x14ac:dyDescent="0.25">
      <c r="A37" s="100" t="str">
        <f>'Data Vlaue (Cr)'!C32</f>
        <v>BHARATFORG</v>
      </c>
      <c r="B37" s="82">
        <f>VLOOKUP(A37,'Data shares'!$C$2:$CV$216,98,0)</f>
        <v>11471000</v>
      </c>
      <c r="C37" s="82">
        <f>VLOOKUP(A37,'Data shares'!$C$2:$CX$216,100,0)</f>
        <v>815000</v>
      </c>
      <c r="D37" s="141">
        <f>VLOOKUP(A37,'Data shares'!$C$2:$CY$539,101,0)</f>
        <v>7.6499999999999999E-2</v>
      </c>
      <c r="E37" s="86">
        <f>VLOOKUP($A37,'Data shares'!$C:$FA,74)</f>
        <v>7519000</v>
      </c>
      <c r="F37" s="86">
        <f>VLOOKUP($A37,'Data shares'!$C:$FA,76)</f>
        <v>2000</v>
      </c>
      <c r="G37" s="87">
        <f>VLOOKUP(A37,'Data shares'!$C$2:$CA$216,77,0)</f>
        <v>2.9999999999999997E-4</v>
      </c>
      <c r="H37" s="86">
        <f>VLOOKUP($A37,'Data shares'!$C:$FA,90)</f>
        <v>2401500</v>
      </c>
      <c r="I37" s="86">
        <f>VLOOKUP($A37,'Data shares'!$C:$FA,92)</f>
        <v>640500</v>
      </c>
      <c r="J37" s="87">
        <f>VLOOKUP($A37,'Data shares'!$C:$FA,93)</f>
        <v>0.36370000000000002</v>
      </c>
      <c r="K37" s="86">
        <f>VLOOKUP($A37,'Data shares'!$C:$FA,94)</f>
        <v>1550500</v>
      </c>
      <c r="L37" s="86">
        <f>VLOOKUP($A37,'Data shares'!$C:$FA,96)</f>
        <v>172500</v>
      </c>
      <c r="M37" s="87">
        <f>VLOOKUP($A37,'Data shares'!$C:$FA,97)</f>
        <v>0.12520000000000001</v>
      </c>
      <c r="N37" s="86">
        <f>VLOOKUP($A37,'Data shares'!$C:$FA,78)</f>
        <v>7436000</v>
      </c>
      <c r="O37" s="87">
        <f>VLOOKUP($A37,'Data shares'!$C:$FA,81)</f>
        <v>-1.5E-3</v>
      </c>
    </row>
    <row r="38" spans="1:15" x14ac:dyDescent="0.25">
      <c r="A38" s="100" t="str">
        <f>'Data Vlaue (Cr)'!C33</f>
        <v>BHARTIARTL</v>
      </c>
      <c r="B38" s="82">
        <f>VLOOKUP(A38,'Data shares'!$C$2:$CV$216,98,0)</f>
        <v>77065425</v>
      </c>
      <c r="C38" s="82">
        <f>VLOOKUP(A38,'Data shares'!$C$2:$CX$216,100,0)</f>
        <v>7013375</v>
      </c>
      <c r="D38" s="141">
        <f>VLOOKUP(A38,'Data shares'!$C$2:$CY$539,101,0)</f>
        <v>0.10009999999999999</v>
      </c>
      <c r="E38" s="86">
        <f>VLOOKUP($A38,'Data shares'!$C:$FA,74)</f>
        <v>60068975</v>
      </c>
      <c r="F38" s="86">
        <f>VLOOKUP($A38,'Data shares'!$C:$FA,76)</f>
        <v>2265750</v>
      </c>
      <c r="G38" s="87">
        <f>VLOOKUP(A38,'Data shares'!$C$2:$CA$216,77,0)</f>
        <v>3.9199999999999999E-2</v>
      </c>
      <c r="H38" s="86">
        <f>VLOOKUP($A38,'Data shares'!$C:$FA,90)</f>
        <v>10427200</v>
      </c>
      <c r="I38" s="86">
        <f>VLOOKUP($A38,'Data shares'!$C:$FA,92)</f>
        <v>3725900</v>
      </c>
      <c r="J38" s="87">
        <f>VLOOKUP($A38,'Data shares'!$C:$FA,93)</f>
        <v>0.55600000000000005</v>
      </c>
      <c r="K38" s="86">
        <f>VLOOKUP($A38,'Data shares'!$C:$FA,94)</f>
        <v>6569250</v>
      </c>
      <c r="L38" s="86">
        <f>VLOOKUP($A38,'Data shares'!$C:$FA,96)</f>
        <v>1021725</v>
      </c>
      <c r="M38" s="87">
        <f>VLOOKUP($A38,'Data shares'!$C:$FA,97)</f>
        <v>0.1842</v>
      </c>
      <c r="N38" s="86">
        <f>VLOOKUP($A38,'Data shares'!$C:$FA,78)</f>
        <v>49968100</v>
      </c>
      <c r="O38" s="87">
        <f>VLOOKUP($A38,'Data shares'!$C:$FA,81)</f>
        <v>3.1099999999999999E-2</v>
      </c>
    </row>
    <row r="39" spans="1:15" x14ac:dyDescent="0.25">
      <c r="A39" s="100" t="str">
        <f>'Data Vlaue (Cr)'!C34</f>
        <v>BHEL</v>
      </c>
      <c r="B39" s="82">
        <f>VLOOKUP(A39,'Data shares'!$C$2:$CV$216,98,0)</f>
        <v>230740125</v>
      </c>
      <c r="C39" s="82">
        <f>VLOOKUP(A39,'Data shares'!$C$2:$CX$216,100,0)</f>
        <v>60241125</v>
      </c>
      <c r="D39" s="141">
        <f>VLOOKUP(A39,'Data shares'!$C$2:$CY$539,101,0)</f>
        <v>0.3533</v>
      </c>
      <c r="E39" s="86">
        <f>VLOOKUP($A39,'Data shares'!$C:$FA,74)</f>
        <v>138022500</v>
      </c>
      <c r="F39" s="86">
        <f>VLOOKUP($A39,'Data shares'!$C:$FA,76)</f>
        <v>14807625</v>
      </c>
      <c r="G39" s="87">
        <f>VLOOKUP(A39,'Data shares'!$C$2:$CA$216,77,0)</f>
        <v>0.1202</v>
      </c>
      <c r="H39" s="86">
        <f>VLOOKUP($A39,'Data shares'!$C:$FA,90)</f>
        <v>50869875</v>
      </c>
      <c r="I39" s="86">
        <f>VLOOKUP($A39,'Data shares'!$C:$FA,92)</f>
        <v>26433750</v>
      </c>
      <c r="J39" s="87">
        <f>VLOOKUP($A39,'Data shares'!$C:$FA,93)</f>
        <v>1.0817000000000001</v>
      </c>
      <c r="K39" s="86">
        <f>VLOOKUP($A39,'Data shares'!$C:$FA,94)</f>
        <v>41847750</v>
      </c>
      <c r="L39" s="86">
        <f>VLOOKUP($A39,'Data shares'!$C:$FA,96)</f>
        <v>18999750</v>
      </c>
      <c r="M39" s="87">
        <f>VLOOKUP($A39,'Data shares'!$C:$FA,97)</f>
        <v>0.83160000000000001</v>
      </c>
      <c r="N39" s="86">
        <f>VLOOKUP($A39,'Data shares'!$C:$FA,78)</f>
        <v>133481250</v>
      </c>
      <c r="O39" s="87">
        <f>VLOOKUP($A39,'Data shares'!$C:$FA,81)</f>
        <v>0.1145</v>
      </c>
    </row>
    <row r="40" spans="1:15" x14ac:dyDescent="0.25">
      <c r="A40" s="100" t="str">
        <f>'Data Vlaue (Cr)'!C35</f>
        <v>BIOCON</v>
      </c>
      <c r="B40" s="82">
        <f>VLOOKUP(A40,'Data shares'!$C$2:$CV$216,98,0)</f>
        <v>65775000</v>
      </c>
      <c r="C40" s="82">
        <f>VLOOKUP(A40,'Data shares'!$C$2:$CX$216,100,0)</f>
        <v>430000</v>
      </c>
      <c r="D40" s="141">
        <f>VLOOKUP(A40,'Data shares'!$C$2:$CY$539,101,0)</f>
        <v>6.6E-3</v>
      </c>
      <c r="E40" s="86">
        <f>VLOOKUP($A40,'Data shares'!$C:$FA,74)</f>
        <v>31415000</v>
      </c>
      <c r="F40" s="86">
        <f>VLOOKUP($A40,'Data shares'!$C:$FA,76)</f>
        <v>112500</v>
      </c>
      <c r="G40" s="87">
        <f>VLOOKUP(A40,'Data shares'!$C$2:$CA$216,77,0)</f>
        <v>3.5999999999999999E-3</v>
      </c>
      <c r="H40" s="86">
        <f>VLOOKUP($A40,'Data shares'!$C:$FA,90)</f>
        <v>23382500</v>
      </c>
      <c r="I40" s="86">
        <f>VLOOKUP($A40,'Data shares'!$C:$FA,92)</f>
        <v>207500</v>
      </c>
      <c r="J40" s="87">
        <f>VLOOKUP($A40,'Data shares'!$C:$FA,93)</f>
        <v>8.9999999999999993E-3</v>
      </c>
      <c r="K40" s="86">
        <f>VLOOKUP($A40,'Data shares'!$C:$FA,94)</f>
        <v>10977500</v>
      </c>
      <c r="L40" s="86">
        <f>VLOOKUP($A40,'Data shares'!$C:$FA,96)</f>
        <v>110000</v>
      </c>
      <c r="M40" s="87">
        <f>VLOOKUP($A40,'Data shares'!$C:$FA,97)</f>
        <v>1.01E-2</v>
      </c>
      <c r="N40" s="86">
        <f>VLOOKUP($A40,'Data shares'!$C:$FA,78)</f>
        <v>30682500</v>
      </c>
      <c r="O40" s="87">
        <f>VLOOKUP($A40,'Data shares'!$C:$FA,81)</f>
        <v>3.8999999999999998E-3</v>
      </c>
    </row>
    <row r="41" spans="1:15" x14ac:dyDescent="0.25">
      <c r="A41" s="100" t="str">
        <f>'Data Vlaue (Cr)'!C36</f>
        <v>BLUESTARCO</v>
      </c>
      <c r="B41" s="82">
        <f>VLOOKUP(A41,'Data shares'!$C$2:$CV$216,98,0)</f>
        <v>4473625</v>
      </c>
      <c r="C41" s="82">
        <f>VLOOKUP(A41,'Data shares'!$C$2:$CX$216,100,0)</f>
        <v>-29575</v>
      </c>
      <c r="D41" s="141">
        <f>VLOOKUP(A41,'Data shares'!$C$2:$CY$539,101,0)</f>
        <v>-6.6E-3</v>
      </c>
      <c r="E41" s="86">
        <f>VLOOKUP($A41,'Data shares'!$C:$FA,74)</f>
        <v>2828475</v>
      </c>
      <c r="F41" s="86">
        <f>VLOOKUP($A41,'Data shares'!$C:$FA,76)</f>
        <v>-135850</v>
      </c>
      <c r="G41" s="87">
        <f>VLOOKUP(A41,'Data shares'!$C$2:$CA$216,77,0)</f>
        <v>-4.58E-2</v>
      </c>
      <c r="H41" s="86">
        <f>VLOOKUP($A41,'Data shares'!$C:$FA,90)</f>
        <v>970450</v>
      </c>
      <c r="I41" s="86">
        <f>VLOOKUP($A41,'Data shares'!$C:$FA,92)</f>
        <v>43225</v>
      </c>
      <c r="J41" s="87">
        <f>VLOOKUP($A41,'Data shares'!$C:$FA,93)</f>
        <v>4.6600000000000003E-2</v>
      </c>
      <c r="K41" s="86">
        <f>VLOOKUP($A41,'Data shares'!$C:$FA,94)</f>
        <v>674700</v>
      </c>
      <c r="L41" s="86">
        <f>VLOOKUP($A41,'Data shares'!$C:$FA,96)</f>
        <v>63050</v>
      </c>
      <c r="M41" s="87">
        <f>VLOOKUP($A41,'Data shares'!$C:$FA,97)</f>
        <v>0.1031</v>
      </c>
      <c r="N41" s="86">
        <f>VLOOKUP($A41,'Data shares'!$C:$FA,78)</f>
        <v>2757300</v>
      </c>
      <c r="O41" s="87">
        <f>VLOOKUP($A41,'Data shares'!$C:$FA,81)</f>
        <v>-4.9000000000000002E-2</v>
      </c>
    </row>
    <row r="42" spans="1:15" x14ac:dyDescent="0.25">
      <c r="A42" s="100" t="str">
        <f>'Data Vlaue (Cr)'!C37</f>
        <v>BOSCHLTD</v>
      </c>
      <c r="B42" s="82">
        <f>VLOOKUP(A42,'Data shares'!$C$2:$CV$216,98,0)</f>
        <v>325675</v>
      </c>
      <c r="C42" s="82">
        <f>VLOOKUP(A42,'Data shares'!$C$2:$CX$216,100,0)</f>
        <v>18875</v>
      </c>
      <c r="D42" s="141">
        <f>VLOOKUP(A42,'Data shares'!$C$2:$CY$539,101,0)</f>
        <v>6.1499999999999999E-2</v>
      </c>
      <c r="E42" s="86">
        <f>VLOOKUP($A42,'Data shares'!$C:$FA,74)</f>
        <v>247925</v>
      </c>
      <c r="F42" s="86">
        <f>VLOOKUP($A42,'Data shares'!$C:$FA,76)</f>
        <v>175</v>
      </c>
      <c r="G42" s="87">
        <f>VLOOKUP(A42,'Data shares'!$C$2:$CA$216,77,0)</f>
        <v>6.9999999999999999E-4</v>
      </c>
      <c r="H42" s="86">
        <f>VLOOKUP($A42,'Data shares'!$C:$FA,90)</f>
        <v>43375</v>
      </c>
      <c r="I42" s="86">
        <f>VLOOKUP($A42,'Data shares'!$C:$FA,92)</f>
        <v>10600</v>
      </c>
      <c r="J42" s="87">
        <f>VLOOKUP($A42,'Data shares'!$C:$FA,93)</f>
        <v>0.32340000000000002</v>
      </c>
      <c r="K42" s="86">
        <f>VLOOKUP($A42,'Data shares'!$C:$FA,94)</f>
        <v>34375</v>
      </c>
      <c r="L42" s="86">
        <f>VLOOKUP($A42,'Data shares'!$C:$FA,96)</f>
        <v>8100</v>
      </c>
      <c r="M42" s="87">
        <f>VLOOKUP($A42,'Data shares'!$C:$FA,97)</f>
        <v>0.30830000000000002</v>
      </c>
      <c r="N42" s="86">
        <f>VLOOKUP($A42,'Data shares'!$C:$FA,78)</f>
        <v>245175</v>
      </c>
      <c r="O42" s="87">
        <f>VLOOKUP($A42,'Data shares'!$C:$FA,81)</f>
        <v>-1.8E-3</v>
      </c>
    </row>
    <row r="43" spans="1:15" x14ac:dyDescent="0.25">
      <c r="A43" s="100" t="str">
        <f>'Data Vlaue (Cr)'!C38</f>
        <v>BPCL</v>
      </c>
      <c r="B43" s="82">
        <f>VLOOKUP(A43,'Data shares'!$C$2:$CV$216,98,0)</f>
        <v>85377275</v>
      </c>
      <c r="C43" s="82">
        <f>VLOOKUP(A43,'Data shares'!$C$2:$CX$216,100,0)</f>
        <v>5237700</v>
      </c>
      <c r="D43" s="141">
        <f>VLOOKUP(A43,'Data shares'!$C$2:$CY$539,101,0)</f>
        <v>6.54E-2</v>
      </c>
      <c r="E43" s="86">
        <f>VLOOKUP($A43,'Data shares'!$C:$FA,74)</f>
        <v>54590975</v>
      </c>
      <c r="F43" s="86">
        <f>VLOOKUP($A43,'Data shares'!$C:$FA,76)</f>
        <v>955900</v>
      </c>
      <c r="G43" s="87">
        <f>VLOOKUP(A43,'Data shares'!$C$2:$CA$216,77,0)</f>
        <v>1.78E-2</v>
      </c>
      <c r="H43" s="86">
        <f>VLOOKUP($A43,'Data shares'!$C:$FA,90)</f>
        <v>18792125</v>
      </c>
      <c r="I43" s="86">
        <f>VLOOKUP($A43,'Data shares'!$C:$FA,92)</f>
        <v>2121150</v>
      </c>
      <c r="J43" s="87">
        <f>VLOOKUP($A43,'Data shares'!$C:$FA,93)</f>
        <v>0.12720000000000001</v>
      </c>
      <c r="K43" s="86">
        <f>VLOOKUP($A43,'Data shares'!$C:$FA,94)</f>
        <v>11994175</v>
      </c>
      <c r="L43" s="86">
        <f>VLOOKUP($A43,'Data shares'!$C:$FA,96)</f>
        <v>2160650</v>
      </c>
      <c r="M43" s="87">
        <f>VLOOKUP($A43,'Data shares'!$C:$FA,97)</f>
        <v>0.21970000000000001</v>
      </c>
      <c r="N43" s="86">
        <f>VLOOKUP($A43,'Data shares'!$C:$FA,78)</f>
        <v>49653475</v>
      </c>
      <c r="O43" s="87">
        <f>VLOOKUP($A43,'Data shares'!$C:$FA,81)</f>
        <v>1.8700000000000001E-2</v>
      </c>
    </row>
    <row r="44" spans="1:15" x14ac:dyDescent="0.25">
      <c r="A44" s="100" t="str">
        <f>'Data Vlaue (Cr)'!C39</f>
        <v>BRITANNIA</v>
      </c>
      <c r="B44" s="82">
        <f>VLOOKUP(A44,'Data shares'!$C$2:$CV$216,98,0)</f>
        <v>3872250</v>
      </c>
      <c r="C44" s="82">
        <f>VLOOKUP(A44,'Data shares'!$C$2:$CX$216,100,0)</f>
        <v>167375</v>
      </c>
      <c r="D44" s="141">
        <f>VLOOKUP(A44,'Data shares'!$C$2:$CY$539,101,0)</f>
        <v>4.5199999999999997E-2</v>
      </c>
      <c r="E44" s="86">
        <f>VLOOKUP($A44,'Data shares'!$C:$FA,74)</f>
        <v>2752375</v>
      </c>
      <c r="F44" s="86">
        <f>VLOOKUP($A44,'Data shares'!$C:$FA,76)</f>
        <v>-5875</v>
      </c>
      <c r="G44" s="87">
        <f>VLOOKUP(A44,'Data shares'!$C$2:$CA$216,77,0)</f>
        <v>-2.0999999999999999E-3</v>
      </c>
      <c r="H44" s="86">
        <f>VLOOKUP($A44,'Data shares'!$C:$FA,90)</f>
        <v>648125</v>
      </c>
      <c r="I44" s="86">
        <f>VLOOKUP($A44,'Data shares'!$C:$FA,92)</f>
        <v>111250</v>
      </c>
      <c r="J44" s="87">
        <f>VLOOKUP($A44,'Data shares'!$C:$FA,93)</f>
        <v>0.2072</v>
      </c>
      <c r="K44" s="86">
        <f>VLOOKUP($A44,'Data shares'!$C:$FA,94)</f>
        <v>471750</v>
      </c>
      <c r="L44" s="86">
        <f>VLOOKUP($A44,'Data shares'!$C:$FA,96)</f>
        <v>62000</v>
      </c>
      <c r="M44" s="87">
        <f>VLOOKUP($A44,'Data shares'!$C:$FA,97)</f>
        <v>0.15129999999999999</v>
      </c>
      <c r="N44" s="86">
        <f>VLOOKUP($A44,'Data shares'!$C:$FA,78)</f>
        <v>2416875</v>
      </c>
      <c r="O44" s="87">
        <f>VLOOKUP($A44,'Data shares'!$C:$FA,81)</f>
        <v>-2.5000000000000001E-3</v>
      </c>
    </row>
    <row r="45" spans="1:15" x14ac:dyDescent="0.25">
      <c r="A45" s="100" t="str">
        <f>'Data Vlaue (Cr)'!C40</f>
        <v>BSE</v>
      </c>
      <c r="B45" s="82">
        <f>VLOOKUP(A45,'Data shares'!$C$2:$CV$216,98,0)</f>
        <v>16409350</v>
      </c>
      <c r="C45" s="82">
        <f>VLOOKUP(A45,'Data shares'!$C$2:$CX$216,100,0)</f>
        <v>886050</v>
      </c>
      <c r="D45" s="141">
        <f>VLOOKUP(A45,'Data shares'!$C$2:$CY$539,101,0)</f>
        <v>5.7099999999999998E-2</v>
      </c>
      <c r="E45" s="86">
        <f>VLOOKUP($A45,'Data shares'!$C:$FA,74)</f>
        <v>7545475</v>
      </c>
      <c r="F45" s="86">
        <f>VLOOKUP($A45,'Data shares'!$C:$FA,76)</f>
        <v>20175</v>
      </c>
      <c r="G45" s="87">
        <f>VLOOKUP(A45,'Data shares'!$C$2:$CA$216,77,0)</f>
        <v>2.7000000000000001E-3</v>
      </c>
      <c r="H45" s="86">
        <f>VLOOKUP($A45,'Data shares'!$C:$FA,90)</f>
        <v>4845375</v>
      </c>
      <c r="I45" s="86">
        <f>VLOOKUP($A45,'Data shares'!$C:$FA,92)</f>
        <v>655125</v>
      </c>
      <c r="J45" s="87">
        <f>VLOOKUP($A45,'Data shares'!$C:$FA,93)</f>
        <v>0.15629999999999999</v>
      </c>
      <c r="K45" s="86">
        <f>VLOOKUP($A45,'Data shares'!$C:$FA,94)</f>
        <v>4018500</v>
      </c>
      <c r="L45" s="86">
        <f>VLOOKUP($A45,'Data shares'!$C:$FA,96)</f>
        <v>210750</v>
      </c>
      <c r="M45" s="87">
        <f>VLOOKUP($A45,'Data shares'!$C:$FA,97)</f>
        <v>5.5300000000000002E-2</v>
      </c>
      <c r="N45" s="86">
        <f>VLOOKUP($A45,'Data shares'!$C:$FA,78)</f>
        <v>6931125</v>
      </c>
      <c r="O45" s="87">
        <f>VLOOKUP($A45,'Data shares'!$C:$FA,81)</f>
        <v>-1.8E-3</v>
      </c>
    </row>
    <row r="46" spans="1:15" x14ac:dyDescent="0.25">
      <c r="A46" s="100" t="str">
        <f>'Data Vlaue (Cr)'!C41</f>
        <v>CAMS</v>
      </c>
      <c r="B46" s="82">
        <f>VLOOKUP(A46,'Data shares'!$C$2:$CV$216,98,0)</f>
        <v>12566250</v>
      </c>
      <c r="C46" s="82">
        <f>VLOOKUP(A46,'Data shares'!$C$2:$CX$216,100,0)</f>
        <v>2137950</v>
      </c>
      <c r="D46" s="141">
        <f>VLOOKUP(A46,'Data shares'!$C$2:$CY$539,101,0)</f>
        <v>0.20499999999999999</v>
      </c>
      <c r="E46" s="86">
        <f>VLOOKUP($A46,'Data shares'!$C:$FA,74)</f>
        <v>7500000</v>
      </c>
      <c r="F46" s="86">
        <f>VLOOKUP($A46,'Data shares'!$C:$FA,76)</f>
        <v>19950</v>
      </c>
      <c r="G46" s="87">
        <f>VLOOKUP(A46,'Data shares'!$C$2:$CA$216,77,0)</f>
        <v>2.7000000000000001E-3</v>
      </c>
      <c r="H46" s="86">
        <f>VLOOKUP($A46,'Data shares'!$C:$FA,90)</f>
        <v>2742000</v>
      </c>
      <c r="I46" s="86">
        <f>VLOOKUP($A46,'Data shares'!$C:$FA,92)</f>
        <v>1145250</v>
      </c>
      <c r="J46" s="87">
        <f>VLOOKUP($A46,'Data shares'!$C:$FA,93)</f>
        <v>0.71719999999999995</v>
      </c>
      <c r="K46" s="86">
        <f>VLOOKUP($A46,'Data shares'!$C:$FA,94)</f>
        <v>2324250</v>
      </c>
      <c r="L46" s="86">
        <f>VLOOKUP($A46,'Data shares'!$C:$FA,96)</f>
        <v>972750</v>
      </c>
      <c r="M46" s="87">
        <f>VLOOKUP($A46,'Data shares'!$C:$FA,97)</f>
        <v>0.7198</v>
      </c>
      <c r="N46" s="86">
        <f>VLOOKUP($A46,'Data shares'!$C:$FA,78)</f>
        <v>7052250</v>
      </c>
      <c r="O46" s="87">
        <f>VLOOKUP($A46,'Data shares'!$C:$FA,81)</f>
        <v>-1E-4</v>
      </c>
    </row>
    <row r="47" spans="1:15" x14ac:dyDescent="0.25">
      <c r="A47" s="100" t="str">
        <f>'Data Vlaue (Cr)'!C42</f>
        <v>CANBK</v>
      </c>
      <c r="B47" s="82">
        <f>VLOOKUP(A47,'Data shares'!$C$2:$CV$216,98,0)</f>
        <v>345485250</v>
      </c>
      <c r="C47" s="82">
        <f>VLOOKUP(A47,'Data shares'!$C$2:$CX$216,100,0)</f>
        <v>17104500</v>
      </c>
      <c r="D47" s="141">
        <f>VLOOKUP(A47,'Data shares'!$C$2:$CY$539,101,0)</f>
        <v>5.21E-2</v>
      </c>
      <c r="E47" s="86">
        <f>VLOOKUP($A47,'Data shares'!$C:$FA,74)</f>
        <v>219813750</v>
      </c>
      <c r="F47" s="86">
        <f>VLOOKUP($A47,'Data shares'!$C:$FA,76)</f>
        <v>3591000</v>
      </c>
      <c r="G47" s="87">
        <f>VLOOKUP(A47,'Data shares'!$C$2:$CA$216,77,0)</f>
        <v>1.66E-2</v>
      </c>
      <c r="H47" s="86">
        <f>VLOOKUP($A47,'Data shares'!$C:$FA,90)</f>
        <v>63456750</v>
      </c>
      <c r="I47" s="86">
        <f>VLOOKUP($A47,'Data shares'!$C:$FA,92)</f>
        <v>8383500</v>
      </c>
      <c r="J47" s="87">
        <f>VLOOKUP($A47,'Data shares'!$C:$FA,93)</f>
        <v>0.1522</v>
      </c>
      <c r="K47" s="86">
        <f>VLOOKUP($A47,'Data shares'!$C:$FA,94)</f>
        <v>62214750</v>
      </c>
      <c r="L47" s="86">
        <f>VLOOKUP($A47,'Data shares'!$C:$FA,96)</f>
        <v>5130000</v>
      </c>
      <c r="M47" s="87">
        <f>VLOOKUP($A47,'Data shares'!$C:$FA,97)</f>
        <v>8.9899999999999994E-2</v>
      </c>
      <c r="N47" s="86">
        <f>VLOOKUP($A47,'Data shares'!$C:$FA,78)</f>
        <v>197687250</v>
      </c>
      <c r="O47" s="87">
        <f>VLOOKUP($A47,'Data shares'!$C:$FA,81)</f>
        <v>1.34E-2</v>
      </c>
    </row>
    <row r="48" spans="1:15" x14ac:dyDescent="0.25">
      <c r="A48" s="100" t="str">
        <f>'Data Vlaue (Cr)'!C43</f>
        <v>CDSL</v>
      </c>
      <c r="B48" s="82">
        <f>VLOOKUP(A48,'Data shares'!$C$2:$CV$216,98,0)</f>
        <v>22946300</v>
      </c>
      <c r="C48" s="82">
        <f>VLOOKUP(A48,'Data shares'!$C$2:$CX$216,100,0)</f>
        <v>2630075</v>
      </c>
      <c r="D48" s="141">
        <f>VLOOKUP(A48,'Data shares'!$C$2:$CY$539,101,0)</f>
        <v>0.1295</v>
      </c>
      <c r="E48" s="86">
        <f>VLOOKUP($A48,'Data shares'!$C:$FA,74)</f>
        <v>12398925</v>
      </c>
      <c r="F48" s="86">
        <f>VLOOKUP($A48,'Data shares'!$C:$FA,76)</f>
        <v>712500</v>
      </c>
      <c r="G48" s="87">
        <f>VLOOKUP(A48,'Data shares'!$C$2:$CA$216,77,0)</f>
        <v>6.0999999999999999E-2</v>
      </c>
      <c r="H48" s="86">
        <f>VLOOKUP($A48,'Data shares'!$C:$FA,90)</f>
        <v>6059575</v>
      </c>
      <c r="I48" s="86">
        <f>VLOOKUP($A48,'Data shares'!$C:$FA,92)</f>
        <v>1574625</v>
      </c>
      <c r="J48" s="87">
        <f>VLOOKUP($A48,'Data shares'!$C:$FA,93)</f>
        <v>0.35110000000000002</v>
      </c>
      <c r="K48" s="86">
        <f>VLOOKUP($A48,'Data shares'!$C:$FA,94)</f>
        <v>4487800</v>
      </c>
      <c r="L48" s="86">
        <f>VLOOKUP($A48,'Data shares'!$C:$FA,96)</f>
        <v>342950</v>
      </c>
      <c r="M48" s="87">
        <f>VLOOKUP($A48,'Data shares'!$C:$FA,97)</f>
        <v>8.2699999999999996E-2</v>
      </c>
      <c r="N48" s="86">
        <f>VLOOKUP($A48,'Data shares'!$C:$FA,78)</f>
        <v>10982000</v>
      </c>
      <c r="O48" s="87">
        <f>VLOOKUP($A48,'Data shares'!$C:$FA,81)</f>
        <v>5.0799999999999998E-2</v>
      </c>
    </row>
    <row r="49" spans="1:15" x14ac:dyDescent="0.25">
      <c r="A49" s="100" t="str">
        <f>'Data Vlaue (Cr)'!C44</f>
        <v>CGPOWER</v>
      </c>
      <c r="B49" s="82">
        <f>VLOOKUP(A49,'Data shares'!$C$2:$CV$216,98,0)</f>
        <v>27531500</v>
      </c>
      <c r="C49" s="82">
        <f>VLOOKUP(A49,'Data shares'!$C$2:$CX$216,100,0)</f>
        <v>1637950</v>
      </c>
      <c r="D49" s="141">
        <f>VLOOKUP(A49,'Data shares'!$C$2:$CY$539,101,0)</f>
        <v>6.3299999999999995E-2</v>
      </c>
      <c r="E49" s="86">
        <f>VLOOKUP($A49,'Data shares'!$C:$FA,74)</f>
        <v>22122100</v>
      </c>
      <c r="F49" s="86">
        <f>VLOOKUP($A49,'Data shares'!$C:$FA,76)</f>
        <v>365500</v>
      </c>
      <c r="G49" s="87">
        <f>VLOOKUP(A49,'Data shares'!$C$2:$CA$216,77,0)</f>
        <v>1.6799999999999999E-2</v>
      </c>
      <c r="H49" s="86">
        <f>VLOOKUP($A49,'Data shares'!$C:$FA,90)</f>
        <v>3305650</v>
      </c>
      <c r="I49" s="86">
        <f>VLOOKUP($A49,'Data shares'!$C:$FA,92)</f>
        <v>1039550</v>
      </c>
      <c r="J49" s="87">
        <f>VLOOKUP($A49,'Data shares'!$C:$FA,93)</f>
        <v>0.4587</v>
      </c>
      <c r="K49" s="86">
        <f>VLOOKUP($A49,'Data shares'!$C:$FA,94)</f>
        <v>2103750</v>
      </c>
      <c r="L49" s="86">
        <f>VLOOKUP($A49,'Data shares'!$C:$FA,96)</f>
        <v>232900</v>
      </c>
      <c r="M49" s="87">
        <f>VLOOKUP($A49,'Data shares'!$C:$FA,97)</f>
        <v>0.1245</v>
      </c>
      <c r="N49" s="86">
        <f>VLOOKUP($A49,'Data shares'!$C:$FA,78)</f>
        <v>19355350</v>
      </c>
      <c r="O49" s="87">
        <f>VLOOKUP($A49,'Data shares'!$C:$FA,81)</f>
        <v>1.66E-2</v>
      </c>
    </row>
    <row r="50" spans="1:15" x14ac:dyDescent="0.25">
      <c r="A50" s="100" t="str">
        <f>'Data Vlaue (Cr)'!C45</f>
        <v>CHOLAFIN</v>
      </c>
      <c r="B50" s="82">
        <f>VLOOKUP(A50,'Data shares'!$C$2:$CV$216,98,0)</f>
        <v>24281875</v>
      </c>
      <c r="C50" s="82">
        <f>VLOOKUP(A50,'Data shares'!$C$2:$CX$216,100,0)</f>
        <v>-113125</v>
      </c>
      <c r="D50" s="141">
        <f>VLOOKUP(A50,'Data shares'!$C$2:$CY$539,101,0)</f>
        <v>-4.5999999999999999E-3</v>
      </c>
      <c r="E50" s="86">
        <f>VLOOKUP($A50,'Data shares'!$C:$FA,74)</f>
        <v>19477500</v>
      </c>
      <c r="F50" s="86">
        <f>VLOOKUP($A50,'Data shares'!$C:$FA,76)</f>
        <v>-426250</v>
      </c>
      <c r="G50" s="87">
        <f>VLOOKUP(A50,'Data shares'!$C$2:$CA$216,77,0)</f>
        <v>-2.1399999999999999E-2</v>
      </c>
      <c r="H50" s="86">
        <f>VLOOKUP($A50,'Data shares'!$C:$FA,90)</f>
        <v>2582500</v>
      </c>
      <c r="I50" s="86">
        <f>VLOOKUP($A50,'Data shares'!$C:$FA,92)</f>
        <v>-33750</v>
      </c>
      <c r="J50" s="87">
        <f>VLOOKUP($A50,'Data shares'!$C:$FA,93)</f>
        <v>-1.29E-2</v>
      </c>
      <c r="K50" s="86">
        <f>VLOOKUP($A50,'Data shares'!$C:$FA,94)</f>
        <v>2221875</v>
      </c>
      <c r="L50" s="86">
        <f>VLOOKUP($A50,'Data shares'!$C:$FA,96)</f>
        <v>346875</v>
      </c>
      <c r="M50" s="87">
        <f>VLOOKUP($A50,'Data shares'!$C:$FA,97)</f>
        <v>0.185</v>
      </c>
      <c r="N50" s="86">
        <f>VLOOKUP($A50,'Data shares'!$C:$FA,78)</f>
        <v>18475625</v>
      </c>
      <c r="O50" s="87">
        <f>VLOOKUP($A50,'Data shares'!$C:$FA,81)</f>
        <v>-2.2200000000000001E-2</v>
      </c>
    </row>
    <row r="51" spans="1:15" x14ac:dyDescent="0.25">
      <c r="A51" s="100" t="str">
        <f>'Data Vlaue (Cr)'!C46</f>
        <v>CIPLA</v>
      </c>
      <c r="B51" s="82">
        <f>VLOOKUP(A51,'Data shares'!$C$2:$CV$216,98,0)</f>
        <v>20484275</v>
      </c>
      <c r="C51" s="82">
        <f>VLOOKUP(A51,'Data shares'!$C$2:$CX$216,100,0)</f>
        <v>539500</v>
      </c>
      <c r="D51" s="141">
        <f>VLOOKUP(A51,'Data shares'!$C$2:$CY$539,101,0)</f>
        <v>2.7E-2</v>
      </c>
      <c r="E51" s="86">
        <f>VLOOKUP($A51,'Data shares'!$C:$FA,74)</f>
        <v>13723025</v>
      </c>
      <c r="F51" s="86">
        <f>VLOOKUP($A51,'Data shares'!$C:$FA,76)</f>
        <v>-239750</v>
      </c>
      <c r="G51" s="87">
        <f>VLOOKUP(A51,'Data shares'!$C$2:$CA$216,77,0)</f>
        <v>-1.72E-2</v>
      </c>
      <c r="H51" s="86">
        <f>VLOOKUP($A51,'Data shares'!$C:$FA,90)</f>
        <v>3997500</v>
      </c>
      <c r="I51" s="86">
        <f>VLOOKUP($A51,'Data shares'!$C:$FA,92)</f>
        <v>457500</v>
      </c>
      <c r="J51" s="87">
        <f>VLOOKUP($A51,'Data shares'!$C:$FA,93)</f>
        <v>0.12920000000000001</v>
      </c>
      <c r="K51" s="86">
        <f>VLOOKUP($A51,'Data shares'!$C:$FA,94)</f>
        <v>2763750</v>
      </c>
      <c r="L51" s="86">
        <f>VLOOKUP($A51,'Data shares'!$C:$FA,96)</f>
        <v>321750</v>
      </c>
      <c r="M51" s="87">
        <f>VLOOKUP($A51,'Data shares'!$C:$FA,97)</f>
        <v>0.1318</v>
      </c>
      <c r="N51" s="86">
        <f>VLOOKUP($A51,'Data shares'!$C:$FA,78)</f>
        <v>13381125</v>
      </c>
      <c r="O51" s="87">
        <f>VLOOKUP($A51,'Data shares'!$C:$FA,81)</f>
        <v>-1.9900000000000001E-2</v>
      </c>
    </row>
    <row r="52" spans="1:15" x14ac:dyDescent="0.25">
      <c r="A52" s="100" t="str">
        <f>'Data Vlaue (Cr)'!C47</f>
        <v>COALINDIA</v>
      </c>
      <c r="B52" s="82">
        <f>VLOOKUP(A52,'Data shares'!$C$2:$CV$216,98,0)</f>
        <v>96206400</v>
      </c>
      <c r="C52" s="82">
        <f>VLOOKUP(A52,'Data shares'!$C$2:$CX$216,100,0)</f>
        <v>64800</v>
      </c>
      <c r="D52" s="141">
        <f>VLOOKUP(A52,'Data shares'!$C$2:$CY$539,101,0)</f>
        <v>6.9999999999999999E-4</v>
      </c>
      <c r="E52" s="86">
        <f>VLOOKUP($A52,'Data shares'!$C:$FA,74)</f>
        <v>52436700</v>
      </c>
      <c r="F52" s="86">
        <f>VLOOKUP($A52,'Data shares'!$C:$FA,76)</f>
        <v>-346950</v>
      </c>
      <c r="G52" s="87">
        <f>VLOOKUP(A52,'Data shares'!$C$2:$CA$216,77,0)</f>
        <v>-6.6E-3</v>
      </c>
      <c r="H52" s="86">
        <f>VLOOKUP($A52,'Data shares'!$C:$FA,90)</f>
        <v>26017200</v>
      </c>
      <c r="I52" s="86">
        <f>VLOOKUP($A52,'Data shares'!$C:$FA,92)</f>
        <v>708750</v>
      </c>
      <c r="J52" s="87">
        <f>VLOOKUP($A52,'Data shares'!$C:$FA,93)</f>
        <v>2.8000000000000001E-2</v>
      </c>
      <c r="K52" s="86">
        <f>VLOOKUP($A52,'Data shares'!$C:$FA,94)</f>
        <v>17752500</v>
      </c>
      <c r="L52" s="86">
        <f>VLOOKUP($A52,'Data shares'!$C:$FA,96)</f>
        <v>-297000</v>
      </c>
      <c r="M52" s="87">
        <f>VLOOKUP($A52,'Data shares'!$C:$FA,97)</f>
        <v>-1.6500000000000001E-2</v>
      </c>
      <c r="N52" s="86">
        <f>VLOOKUP($A52,'Data shares'!$C:$FA,78)</f>
        <v>50549400</v>
      </c>
      <c r="O52" s="87">
        <f>VLOOKUP($A52,'Data shares'!$C:$FA,81)</f>
        <v>-1.0500000000000001E-2</v>
      </c>
    </row>
    <row r="53" spans="1:15" x14ac:dyDescent="0.25">
      <c r="A53" s="100" t="str">
        <f>'Data Vlaue (Cr)'!C48</f>
        <v>COCHINSHIP</v>
      </c>
      <c r="B53" s="82">
        <f>VLOOKUP(A53,'Data shares'!$C$2:$CV$216,98,0)</f>
        <v>4466800</v>
      </c>
      <c r="C53" s="82">
        <f>VLOOKUP(A53,'Data shares'!$C$2:$CX$216,100,0)</f>
        <v>90400</v>
      </c>
      <c r="D53" s="141">
        <f>VLOOKUP(A53,'Data shares'!$C$2:$CY$539,101,0)</f>
        <v>2.07E-2</v>
      </c>
      <c r="E53" s="86">
        <f>VLOOKUP($A53,'Data shares'!$C:$FA,74)</f>
        <v>2499200</v>
      </c>
      <c r="F53" s="86">
        <f>VLOOKUP($A53,'Data shares'!$C:$FA,76)</f>
        <v>-6000</v>
      </c>
      <c r="G53" s="87">
        <f>VLOOKUP(A53,'Data shares'!$C$2:$CA$216,77,0)</f>
        <v>-2.3999999999999998E-3</v>
      </c>
      <c r="H53" s="86">
        <f>VLOOKUP($A53,'Data shares'!$C:$FA,90)</f>
        <v>1179600</v>
      </c>
      <c r="I53" s="86">
        <f>VLOOKUP($A53,'Data shares'!$C:$FA,92)</f>
        <v>69200</v>
      </c>
      <c r="J53" s="87">
        <f>VLOOKUP($A53,'Data shares'!$C:$FA,93)</f>
        <v>6.2300000000000001E-2</v>
      </c>
      <c r="K53" s="86">
        <f>VLOOKUP($A53,'Data shares'!$C:$FA,94)</f>
        <v>788000</v>
      </c>
      <c r="L53" s="86">
        <f>VLOOKUP($A53,'Data shares'!$C:$FA,96)</f>
        <v>27200</v>
      </c>
      <c r="M53" s="87">
        <f>VLOOKUP($A53,'Data shares'!$C:$FA,97)</f>
        <v>3.5799999999999998E-2</v>
      </c>
      <c r="N53" s="86">
        <f>VLOOKUP($A53,'Data shares'!$C:$FA,78)</f>
        <v>2406800</v>
      </c>
      <c r="O53" s="87">
        <f>VLOOKUP($A53,'Data shares'!$C:$FA,81)</f>
        <v>-4.0000000000000001E-3</v>
      </c>
    </row>
    <row r="54" spans="1:15" x14ac:dyDescent="0.25">
      <c r="A54" s="100" t="str">
        <f>'Data Vlaue (Cr)'!C49</f>
        <v>COFORGE</v>
      </c>
      <c r="B54" s="82">
        <f>VLOOKUP(A54,'Data shares'!$C$2:$CV$216,98,0)</f>
        <v>29014350</v>
      </c>
      <c r="C54" s="82">
        <f>VLOOKUP(A54,'Data shares'!$C$2:$CX$216,100,0)</f>
        <v>1030575</v>
      </c>
      <c r="D54" s="141">
        <f>VLOOKUP(A54,'Data shares'!$C$2:$CY$539,101,0)</f>
        <v>3.6799999999999999E-2</v>
      </c>
      <c r="E54" s="86">
        <f>VLOOKUP($A54,'Data shares'!$C:$FA,74)</f>
        <v>18874350</v>
      </c>
      <c r="F54" s="86">
        <f>VLOOKUP($A54,'Data shares'!$C:$FA,76)</f>
        <v>-146925</v>
      </c>
      <c r="G54" s="87">
        <f>VLOOKUP(A54,'Data shares'!$C$2:$CA$216,77,0)</f>
        <v>-7.7000000000000002E-3</v>
      </c>
      <c r="H54" s="86">
        <f>VLOOKUP($A54,'Data shares'!$C:$FA,90)</f>
        <v>6297000</v>
      </c>
      <c r="I54" s="86">
        <f>VLOOKUP($A54,'Data shares'!$C:$FA,92)</f>
        <v>812250</v>
      </c>
      <c r="J54" s="87">
        <f>VLOOKUP($A54,'Data shares'!$C:$FA,93)</f>
        <v>0.14810000000000001</v>
      </c>
      <c r="K54" s="86">
        <f>VLOOKUP($A54,'Data shares'!$C:$FA,94)</f>
        <v>3843000</v>
      </c>
      <c r="L54" s="86">
        <f>VLOOKUP($A54,'Data shares'!$C:$FA,96)</f>
        <v>365250</v>
      </c>
      <c r="M54" s="87">
        <f>VLOOKUP($A54,'Data shares'!$C:$FA,97)</f>
        <v>0.105</v>
      </c>
      <c r="N54" s="86">
        <f>VLOOKUP($A54,'Data shares'!$C:$FA,78)</f>
        <v>18335250</v>
      </c>
      <c r="O54" s="87">
        <f>VLOOKUP($A54,'Data shares'!$C:$FA,81)</f>
        <v>-1.0999999999999999E-2</v>
      </c>
    </row>
    <row r="55" spans="1:15" x14ac:dyDescent="0.25">
      <c r="A55" s="100" t="str">
        <f>'Data Vlaue (Cr)'!C50</f>
        <v>COLPAL</v>
      </c>
      <c r="B55" s="82">
        <f>VLOOKUP(A55,'Data shares'!$C$2:$CV$216,98,0)</f>
        <v>7131500</v>
      </c>
      <c r="C55" s="82">
        <f>VLOOKUP(A55,'Data shares'!$C$2:$CX$216,100,0)</f>
        <v>266650</v>
      </c>
      <c r="D55" s="141">
        <f>VLOOKUP(A55,'Data shares'!$C$2:$CY$539,101,0)</f>
        <v>3.8800000000000001E-2</v>
      </c>
      <c r="E55" s="86">
        <f>VLOOKUP($A55,'Data shares'!$C:$FA,74)</f>
        <v>5127200</v>
      </c>
      <c r="F55" s="86">
        <f>VLOOKUP($A55,'Data shares'!$C:$FA,76)</f>
        <v>135700</v>
      </c>
      <c r="G55" s="87">
        <f>VLOOKUP(A55,'Data shares'!$C$2:$CA$216,77,0)</f>
        <v>2.7199999999999998E-2</v>
      </c>
      <c r="H55" s="86">
        <f>VLOOKUP($A55,'Data shares'!$C:$FA,90)</f>
        <v>1210050</v>
      </c>
      <c r="I55" s="86">
        <f>VLOOKUP($A55,'Data shares'!$C:$FA,92)</f>
        <v>102600</v>
      </c>
      <c r="J55" s="87">
        <f>VLOOKUP($A55,'Data shares'!$C:$FA,93)</f>
        <v>9.2600000000000002E-2</v>
      </c>
      <c r="K55" s="86">
        <f>VLOOKUP($A55,'Data shares'!$C:$FA,94)</f>
        <v>794250</v>
      </c>
      <c r="L55" s="86">
        <f>VLOOKUP($A55,'Data shares'!$C:$FA,96)</f>
        <v>28350</v>
      </c>
      <c r="M55" s="87">
        <f>VLOOKUP($A55,'Data shares'!$C:$FA,97)</f>
        <v>3.6999999999999998E-2</v>
      </c>
      <c r="N55" s="86">
        <f>VLOOKUP($A55,'Data shares'!$C:$FA,78)</f>
        <v>4965975</v>
      </c>
      <c r="O55" s="87">
        <f>VLOOKUP($A55,'Data shares'!$C:$FA,81)</f>
        <v>2.5399999999999999E-2</v>
      </c>
    </row>
    <row r="56" spans="1:15" x14ac:dyDescent="0.25">
      <c r="A56" s="100" t="str">
        <f>'Data Vlaue (Cr)'!C51</f>
        <v>CONCOR</v>
      </c>
      <c r="B56" s="82">
        <f>VLOOKUP(A56,'Data shares'!$C$2:$CV$216,98,0)</f>
        <v>31257500</v>
      </c>
      <c r="C56" s="82">
        <f>VLOOKUP(A56,'Data shares'!$C$2:$CX$216,100,0)</f>
        <v>248750</v>
      </c>
      <c r="D56" s="141">
        <f>VLOOKUP(A56,'Data shares'!$C$2:$CY$539,101,0)</f>
        <v>8.0000000000000002E-3</v>
      </c>
      <c r="E56" s="86">
        <f>VLOOKUP($A56,'Data shares'!$C:$FA,74)</f>
        <v>22957500</v>
      </c>
      <c r="F56" s="86">
        <f>VLOOKUP($A56,'Data shares'!$C:$FA,76)</f>
        <v>-30000</v>
      </c>
      <c r="G56" s="87">
        <f>VLOOKUP(A56,'Data shares'!$C$2:$CA$216,77,0)</f>
        <v>-1.2999999999999999E-3</v>
      </c>
      <c r="H56" s="86">
        <f>VLOOKUP($A56,'Data shares'!$C:$FA,90)</f>
        <v>4861250</v>
      </c>
      <c r="I56" s="86">
        <f>VLOOKUP($A56,'Data shares'!$C:$FA,92)</f>
        <v>283750</v>
      </c>
      <c r="J56" s="87">
        <f>VLOOKUP($A56,'Data shares'!$C:$FA,93)</f>
        <v>6.2E-2</v>
      </c>
      <c r="K56" s="86">
        <f>VLOOKUP($A56,'Data shares'!$C:$FA,94)</f>
        <v>3438750</v>
      </c>
      <c r="L56" s="86">
        <f>VLOOKUP($A56,'Data shares'!$C:$FA,96)</f>
        <v>-5000</v>
      </c>
      <c r="M56" s="87">
        <f>VLOOKUP($A56,'Data shares'!$C:$FA,97)</f>
        <v>-1.5E-3</v>
      </c>
      <c r="N56" s="86">
        <f>VLOOKUP($A56,'Data shares'!$C:$FA,78)</f>
        <v>22470000</v>
      </c>
      <c r="O56" s="87">
        <f>VLOOKUP($A56,'Data shares'!$C:$FA,81)</f>
        <v>-1.6999999999999999E-3</v>
      </c>
    </row>
    <row r="57" spans="1:15" x14ac:dyDescent="0.25">
      <c r="A57" s="100" t="str">
        <f>'Data Vlaue (Cr)'!C52</f>
        <v>CROMPTON</v>
      </c>
      <c r="B57" s="82">
        <f>VLOOKUP(A57,'Data shares'!$C$2:$CV$216,98,0)</f>
        <v>73715900</v>
      </c>
      <c r="C57" s="82">
        <f>VLOOKUP(A57,'Data shares'!$C$2:$CX$216,100,0)</f>
        <v>3828750</v>
      </c>
      <c r="D57" s="141">
        <f>VLOOKUP(A57,'Data shares'!$C$2:$CY$539,101,0)</f>
        <v>5.4800000000000001E-2</v>
      </c>
      <c r="E57" s="86">
        <f>VLOOKUP($A57,'Data shares'!$C:$FA,74)</f>
        <v>53183300</v>
      </c>
      <c r="F57" s="86">
        <f>VLOOKUP($A57,'Data shares'!$C:$FA,76)</f>
        <v>1819950</v>
      </c>
      <c r="G57" s="87">
        <f>VLOOKUP(A57,'Data shares'!$C$2:$CA$216,77,0)</f>
        <v>3.5400000000000001E-2</v>
      </c>
      <c r="H57" s="86">
        <f>VLOOKUP($A57,'Data shares'!$C:$FA,90)</f>
        <v>14025600</v>
      </c>
      <c r="I57" s="86">
        <f>VLOOKUP($A57,'Data shares'!$C:$FA,92)</f>
        <v>1321200</v>
      </c>
      <c r="J57" s="87">
        <f>VLOOKUP($A57,'Data shares'!$C:$FA,93)</f>
        <v>0.104</v>
      </c>
      <c r="K57" s="86">
        <f>VLOOKUP($A57,'Data shares'!$C:$FA,94)</f>
        <v>6507000</v>
      </c>
      <c r="L57" s="86">
        <f>VLOOKUP($A57,'Data shares'!$C:$FA,96)</f>
        <v>687600</v>
      </c>
      <c r="M57" s="87">
        <f>VLOOKUP($A57,'Data shares'!$C:$FA,97)</f>
        <v>0.1182</v>
      </c>
      <c r="N57" s="86">
        <f>VLOOKUP($A57,'Data shares'!$C:$FA,78)</f>
        <v>52432200</v>
      </c>
      <c r="O57" s="87">
        <f>VLOOKUP($A57,'Data shares'!$C:$FA,81)</f>
        <v>3.5000000000000003E-2</v>
      </c>
    </row>
    <row r="58" spans="1:15" x14ac:dyDescent="0.25">
      <c r="A58" s="100" t="str">
        <f>'Data Vlaue (Cr)'!C53</f>
        <v>CUMMINSIND</v>
      </c>
      <c r="B58" s="82">
        <f>VLOOKUP(A58,'Data shares'!$C$2:$CV$216,98,0)</f>
        <v>4955800</v>
      </c>
      <c r="C58" s="82">
        <f>VLOOKUP(A58,'Data shares'!$C$2:$CX$216,100,0)</f>
        <v>129800</v>
      </c>
      <c r="D58" s="141">
        <f>VLOOKUP(A58,'Data shares'!$C$2:$CY$539,101,0)</f>
        <v>2.69E-2</v>
      </c>
      <c r="E58" s="86">
        <f>VLOOKUP($A58,'Data shares'!$C:$FA,74)</f>
        <v>3982600</v>
      </c>
      <c r="F58" s="86">
        <f>VLOOKUP($A58,'Data shares'!$C:$FA,76)</f>
        <v>17400</v>
      </c>
      <c r="G58" s="87">
        <f>VLOOKUP(A58,'Data shares'!$C$2:$CA$216,77,0)</f>
        <v>4.4000000000000003E-3</v>
      </c>
      <c r="H58" s="86">
        <f>VLOOKUP($A58,'Data shares'!$C:$FA,90)</f>
        <v>569400</v>
      </c>
      <c r="I58" s="86">
        <f>VLOOKUP($A58,'Data shares'!$C:$FA,92)</f>
        <v>108000</v>
      </c>
      <c r="J58" s="87">
        <f>VLOOKUP($A58,'Data shares'!$C:$FA,93)</f>
        <v>0.2341</v>
      </c>
      <c r="K58" s="86">
        <f>VLOOKUP($A58,'Data shares'!$C:$FA,94)</f>
        <v>403800</v>
      </c>
      <c r="L58" s="86">
        <f>VLOOKUP($A58,'Data shares'!$C:$FA,96)</f>
        <v>4400</v>
      </c>
      <c r="M58" s="87">
        <f>VLOOKUP($A58,'Data shares'!$C:$FA,97)</f>
        <v>1.0999999999999999E-2</v>
      </c>
      <c r="N58" s="86">
        <f>VLOOKUP($A58,'Data shares'!$C:$FA,78)</f>
        <v>3682400</v>
      </c>
      <c r="O58" s="87">
        <f>VLOOKUP($A58,'Data shares'!$C:$FA,81)</f>
        <v>3.3999999999999998E-3</v>
      </c>
    </row>
    <row r="59" spans="1:15" x14ac:dyDescent="0.25">
      <c r="A59" s="100" t="str">
        <f>'Data Vlaue (Cr)'!C54</f>
        <v>DABUR</v>
      </c>
      <c r="B59" s="82">
        <f>VLOOKUP(A59,'Data shares'!$C$2:$CV$216,98,0)</f>
        <v>39107500</v>
      </c>
      <c r="C59" s="82">
        <f>VLOOKUP(A59,'Data shares'!$C$2:$CX$216,100,0)</f>
        <v>1260000</v>
      </c>
      <c r="D59" s="141">
        <f>VLOOKUP(A59,'Data shares'!$C$2:$CY$539,101,0)</f>
        <v>3.3300000000000003E-2</v>
      </c>
      <c r="E59" s="86">
        <f>VLOOKUP($A59,'Data shares'!$C:$FA,74)</f>
        <v>28677500</v>
      </c>
      <c r="F59" s="86">
        <f>VLOOKUP($A59,'Data shares'!$C:$FA,76)</f>
        <v>35000</v>
      </c>
      <c r="G59" s="87">
        <f>VLOOKUP(A59,'Data shares'!$C$2:$CA$216,77,0)</f>
        <v>1.1999999999999999E-3</v>
      </c>
      <c r="H59" s="86">
        <f>VLOOKUP($A59,'Data shares'!$C:$FA,90)</f>
        <v>6370000</v>
      </c>
      <c r="I59" s="86">
        <f>VLOOKUP($A59,'Data shares'!$C:$FA,92)</f>
        <v>905000</v>
      </c>
      <c r="J59" s="87">
        <f>VLOOKUP($A59,'Data shares'!$C:$FA,93)</f>
        <v>0.1656</v>
      </c>
      <c r="K59" s="86">
        <f>VLOOKUP($A59,'Data shares'!$C:$FA,94)</f>
        <v>4060000</v>
      </c>
      <c r="L59" s="86">
        <f>VLOOKUP($A59,'Data shares'!$C:$FA,96)</f>
        <v>320000</v>
      </c>
      <c r="M59" s="87">
        <f>VLOOKUP($A59,'Data shares'!$C:$FA,97)</f>
        <v>8.5599999999999996E-2</v>
      </c>
      <c r="N59" s="86">
        <f>VLOOKUP($A59,'Data shares'!$C:$FA,78)</f>
        <v>28088750</v>
      </c>
      <c r="O59" s="87">
        <f>VLOOKUP($A59,'Data shares'!$C:$FA,81)</f>
        <v>-1.5E-3</v>
      </c>
    </row>
    <row r="60" spans="1:15" x14ac:dyDescent="0.25">
      <c r="A60" s="100" t="str">
        <f>'Data Vlaue (Cr)'!C55</f>
        <v>DALBHARAT</v>
      </c>
      <c r="B60" s="82">
        <f>VLOOKUP(A60,'Data shares'!$C$2:$CV$216,98,0)</f>
        <v>3982225</v>
      </c>
      <c r="C60" s="82">
        <f>VLOOKUP(A60,'Data shares'!$C$2:$CX$216,100,0)</f>
        <v>429650</v>
      </c>
      <c r="D60" s="141">
        <f>VLOOKUP(A60,'Data shares'!$C$2:$CY$539,101,0)</f>
        <v>0.12089999999999999</v>
      </c>
      <c r="E60" s="86">
        <f>VLOOKUP($A60,'Data shares'!$C:$FA,74)</f>
        <v>2685150</v>
      </c>
      <c r="F60" s="86">
        <f>VLOOKUP($A60,'Data shares'!$C:$FA,76)</f>
        <v>354250</v>
      </c>
      <c r="G60" s="87">
        <f>VLOOKUP(A60,'Data shares'!$C$2:$CA$216,77,0)</f>
        <v>0.152</v>
      </c>
      <c r="H60" s="86">
        <f>VLOOKUP($A60,'Data shares'!$C:$FA,90)</f>
        <v>790075</v>
      </c>
      <c r="I60" s="86">
        <f>VLOOKUP($A60,'Data shares'!$C:$FA,92)</f>
        <v>40950</v>
      </c>
      <c r="J60" s="87">
        <f>VLOOKUP($A60,'Data shares'!$C:$FA,93)</f>
        <v>5.4699999999999999E-2</v>
      </c>
      <c r="K60" s="86">
        <f>VLOOKUP($A60,'Data shares'!$C:$FA,94)</f>
        <v>507000</v>
      </c>
      <c r="L60" s="86">
        <f>VLOOKUP($A60,'Data shares'!$C:$FA,96)</f>
        <v>34450</v>
      </c>
      <c r="M60" s="87">
        <f>VLOOKUP($A60,'Data shares'!$C:$FA,97)</f>
        <v>7.2900000000000006E-2</v>
      </c>
      <c r="N60" s="86">
        <f>VLOOKUP($A60,'Data shares'!$C:$FA,78)</f>
        <v>2660125</v>
      </c>
      <c r="O60" s="87">
        <f>VLOOKUP($A60,'Data shares'!$C:$FA,81)</f>
        <v>0.1527</v>
      </c>
    </row>
    <row r="61" spans="1:15" x14ac:dyDescent="0.25">
      <c r="A61" s="100" t="str">
        <f>'Data Vlaue (Cr)'!C56</f>
        <v>DELHIVERY</v>
      </c>
      <c r="B61" s="82">
        <f>VLOOKUP(A61,'Data shares'!$C$2:$CV$216,98,0)</f>
        <v>37559575</v>
      </c>
      <c r="C61" s="82">
        <f>VLOOKUP(A61,'Data shares'!$C$2:$CX$216,100,0)</f>
        <v>163925</v>
      </c>
      <c r="D61" s="141">
        <f>VLOOKUP(A61,'Data shares'!$C$2:$CY$539,101,0)</f>
        <v>4.4000000000000003E-3</v>
      </c>
      <c r="E61" s="86">
        <f>VLOOKUP($A61,'Data shares'!$C:$FA,74)</f>
        <v>29877925</v>
      </c>
      <c r="F61" s="86">
        <f>VLOOKUP($A61,'Data shares'!$C:$FA,76)</f>
        <v>-271825</v>
      </c>
      <c r="G61" s="87">
        <f>VLOOKUP(A61,'Data shares'!$C$2:$CA$216,77,0)</f>
        <v>-8.9999999999999993E-3</v>
      </c>
      <c r="H61" s="86">
        <f>VLOOKUP($A61,'Data shares'!$C:$FA,90)</f>
        <v>5563075</v>
      </c>
      <c r="I61" s="86">
        <f>VLOOKUP($A61,'Data shares'!$C:$FA,92)</f>
        <v>348600</v>
      </c>
      <c r="J61" s="87">
        <f>VLOOKUP($A61,'Data shares'!$C:$FA,93)</f>
        <v>6.6900000000000001E-2</v>
      </c>
      <c r="K61" s="86">
        <f>VLOOKUP($A61,'Data shares'!$C:$FA,94)</f>
        <v>2118575</v>
      </c>
      <c r="L61" s="86">
        <f>VLOOKUP($A61,'Data shares'!$C:$FA,96)</f>
        <v>87150</v>
      </c>
      <c r="M61" s="87">
        <f>VLOOKUP($A61,'Data shares'!$C:$FA,97)</f>
        <v>4.2900000000000001E-2</v>
      </c>
      <c r="N61" s="86">
        <f>VLOOKUP($A61,'Data shares'!$C:$FA,78)</f>
        <v>29604025</v>
      </c>
      <c r="O61" s="87">
        <f>VLOOKUP($A61,'Data shares'!$C:$FA,81)</f>
        <v>-9.9000000000000008E-3</v>
      </c>
    </row>
    <row r="62" spans="1:15" x14ac:dyDescent="0.25">
      <c r="A62" s="100" t="str">
        <f>'Data Vlaue (Cr)'!C57</f>
        <v>DIVISLAB</v>
      </c>
      <c r="B62" s="82">
        <f>VLOOKUP(A62,'Data shares'!$C$2:$CV$216,98,0)</f>
        <v>3405300</v>
      </c>
      <c r="C62" s="82">
        <f>VLOOKUP(A62,'Data shares'!$C$2:$CX$216,100,0)</f>
        <v>171900</v>
      </c>
      <c r="D62" s="141">
        <f>VLOOKUP(A62,'Data shares'!$C$2:$CY$539,101,0)</f>
        <v>5.3199999999999997E-2</v>
      </c>
      <c r="E62" s="86">
        <f>VLOOKUP($A62,'Data shares'!$C:$FA,74)</f>
        <v>2428200</v>
      </c>
      <c r="F62" s="86">
        <f>VLOOKUP($A62,'Data shares'!$C:$FA,76)</f>
        <v>-15400</v>
      </c>
      <c r="G62" s="87">
        <f>VLOOKUP(A62,'Data shares'!$C$2:$CA$216,77,0)</f>
        <v>-6.3E-3</v>
      </c>
      <c r="H62" s="86">
        <f>VLOOKUP($A62,'Data shares'!$C:$FA,90)</f>
        <v>562100</v>
      </c>
      <c r="I62" s="86">
        <f>VLOOKUP($A62,'Data shares'!$C:$FA,92)</f>
        <v>109700</v>
      </c>
      <c r="J62" s="87">
        <f>VLOOKUP($A62,'Data shares'!$C:$FA,93)</f>
        <v>0.24249999999999999</v>
      </c>
      <c r="K62" s="86">
        <f>VLOOKUP($A62,'Data shares'!$C:$FA,94)</f>
        <v>415000</v>
      </c>
      <c r="L62" s="86">
        <f>VLOOKUP($A62,'Data shares'!$C:$FA,96)</f>
        <v>77600</v>
      </c>
      <c r="M62" s="87">
        <f>VLOOKUP($A62,'Data shares'!$C:$FA,97)</f>
        <v>0.23</v>
      </c>
      <c r="N62" s="86">
        <f>VLOOKUP($A62,'Data shares'!$C:$FA,78)</f>
        <v>2135700</v>
      </c>
      <c r="O62" s="87">
        <f>VLOOKUP($A62,'Data shares'!$C:$FA,81)</f>
        <v>-8.3000000000000001E-3</v>
      </c>
    </row>
    <row r="63" spans="1:15" x14ac:dyDescent="0.25">
      <c r="A63" s="100" t="str">
        <f>'Data Vlaue (Cr)'!C58</f>
        <v>DIXON</v>
      </c>
      <c r="B63" s="82">
        <f>VLOOKUP(A63,'Data shares'!$C$2:$CV$216,98,0)</f>
        <v>4807200</v>
      </c>
      <c r="C63" s="82">
        <f>VLOOKUP(A63,'Data shares'!$C$2:$CX$216,100,0)</f>
        <v>63250</v>
      </c>
      <c r="D63" s="141">
        <f>VLOOKUP(A63,'Data shares'!$C$2:$CY$539,101,0)</f>
        <v>1.3299999999999999E-2</v>
      </c>
      <c r="E63" s="86">
        <f>VLOOKUP($A63,'Data shares'!$C:$FA,74)</f>
        <v>2968300</v>
      </c>
      <c r="F63" s="86">
        <f>VLOOKUP($A63,'Data shares'!$C:$FA,76)</f>
        <v>650</v>
      </c>
      <c r="G63" s="87">
        <f>VLOOKUP(A63,'Data shares'!$C$2:$CA$216,77,0)</f>
        <v>2.0000000000000001E-4</v>
      </c>
      <c r="H63" s="86">
        <f>VLOOKUP($A63,'Data shares'!$C:$FA,90)</f>
        <v>949650</v>
      </c>
      <c r="I63" s="86">
        <f>VLOOKUP($A63,'Data shares'!$C:$FA,92)</f>
        <v>23150</v>
      </c>
      <c r="J63" s="87">
        <f>VLOOKUP($A63,'Data shares'!$C:$FA,93)</f>
        <v>2.5000000000000001E-2</v>
      </c>
      <c r="K63" s="86">
        <f>VLOOKUP($A63,'Data shares'!$C:$FA,94)</f>
        <v>889250</v>
      </c>
      <c r="L63" s="86">
        <f>VLOOKUP($A63,'Data shares'!$C:$FA,96)</f>
        <v>39450</v>
      </c>
      <c r="M63" s="87">
        <f>VLOOKUP($A63,'Data shares'!$C:$FA,97)</f>
        <v>4.6399999999999997E-2</v>
      </c>
      <c r="N63" s="86">
        <f>VLOOKUP($A63,'Data shares'!$C:$FA,78)</f>
        <v>2809900</v>
      </c>
      <c r="O63" s="87">
        <f>VLOOKUP($A63,'Data shares'!$C:$FA,81)</f>
        <v>-1.9E-3</v>
      </c>
    </row>
    <row r="64" spans="1:15" x14ac:dyDescent="0.25">
      <c r="A64" s="100" t="str">
        <f>'Data Vlaue (Cr)'!C59</f>
        <v>DLF</v>
      </c>
      <c r="B64" s="82">
        <f>VLOOKUP(A64,'Data shares'!$C$2:$CV$216,98,0)</f>
        <v>58447275</v>
      </c>
      <c r="C64" s="82">
        <f>VLOOKUP(A64,'Data shares'!$C$2:$CX$216,100,0)</f>
        <v>1533025</v>
      </c>
      <c r="D64" s="141">
        <f>VLOOKUP(A64,'Data shares'!$C$2:$CY$539,101,0)</f>
        <v>2.69E-2</v>
      </c>
      <c r="E64" s="86">
        <f>VLOOKUP($A64,'Data shares'!$C:$FA,74)</f>
        <v>45643275</v>
      </c>
      <c r="F64" s="86">
        <f>VLOOKUP($A64,'Data shares'!$C:$FA,76)</f>
        <v>293050</v>
      </c>
      <c r="G64" s="87">
        <f>VLOOKUP(A64,'Data shares'!$C$2:$CA$216,77,0)</f>
        <v>6.4999999999999997E-3</v>
      </c>
      <c r="H64" s="86">
        <f>VLOOKUP($A64,'Data shares'!$C:$FA,90)</f>
        <v>7092525</v>
      </c>
      <c r="I64" s="86">
        <f>VLOOKUP($A64,'Data shares'!$C:$FA,92)</f>
        <v>929775</v>
      </c>
      <c r="J64" s="87">
        <f>VLOOKUP($A64,'Data shares'!$C:$FA,93)</f>
        <v>0.15090000000000001</v>
      </c>
      <c r="K64" s="86">
        <f>VLOOKUP($A64,'Data shares'!$C:$FA,94)</f>
        <v>5711475</v>
      </c>
      <c r="L64" s="86">
        <f>VLOOKUP($A64,'Data shares'!$C:$FA,96)</f>
        <v>310200</v>
      </c>
      <c r="M64" s="87">
        <f>VLOOKUP($A64,'Data shares'!$C:$FA,97)</f>
        <v>5.74E-2</v>
      </c>
      <c r="N64" s="86">
        <f>VLOOKUP($A64,'Data shares'!$C:$FA,78)</f>
        <v>42663225</v>
      </c>
      <c r="O64" s="87">
        <f>VLOOKUP($A64,'Data shares'!$C:$FA,81)</f>
        <v>6.6E-3</v>
      </c>
    </row>
    <row r="65" spans="1:15" x14ac:dyDescent="0.25">
      <c r="A65" s="100" t="str">
        <f>'Data Vlaue (Cr)'!C60</f>
        <v>DMART</v>
      </c>
      <c r="B65" s="82">
        <f>VLOOKUP(A65,'Data shares'!$C$2:$CV$216,98,0)</f>
        <v>6708900</v>
      </c>
      <c r="C65" s="82">
        <f>VLOOKUP(A65,'Data shares'!$C$2:$CX$216,100,0)</f>
        <v>2141250</v>
      </c>
      <c r="D65" s="141">
        <f>VLOOKUP(A65,'Data shares'!$C$2:$CY$539,101,0)</f>
        <v>0.46879999999999999</v>
      </c>
      <c r="E65" s="86">
        <f>VLOOKUP($A65,'Data shares'!$C:$FA,74)</f>
        <v>3965850</v>
      </c>
      <c r="F65" s="86">
        <f>VLOOKUP($A65,'Data shares'!$C:$FA,76)</f>
        <v>611100</v>
      </c>
      <c r="G65" s="87">
        <f>VLOOKUP(A65,'Data shares'!$C$2:$CA$216,77,0)</f>
        <v>0.1822</v>
      </c>
      <c r="H65" s="86">
        <f>VLOOKUP($A65,'Data shares'!$C:$FA,90)</f>
        <v>1853700</v>
      </c>
      <c r="I65" s="86">
        <f>VLOOKUP($A65,'Data shares'!$C:$FA,92)</f>
        <v>1137450</v>
      </c>
      <c r="J65" s="87">
        <f>VLOOKUP($A65,'Data shares'!$C:$FA,93)</f>
        <v>1.5881000000000001</v>
      </c>
      <c r="K65" s="86">
        <f>VLOOKUP($A65,'Data shares'!$C:$FA,94)</f>
        <v>889350</v>
      </c>
      <c r="L65" s="86">
        <f>VLOOKUP($A65,'Data shares'!$C:$FA,96)</f>
        <v>392700</v>
      </c>
      <c r="M65" s="87">
        <f>VLOOKUP($A65,'Data shares'!$C:$FA,97)</f>
        <v>0.79069999999999996</v>
      </c>
      <c r="N65" s="86">
        <f>VLOOKUP($A65,'Data shares'!$C:$FA,78)</f>
        <v>3865200</v>
      </c>
      <c r="O65" s="87">
        <f>VLOOKUP($A65,'Data shares'!$C:$FA,81)</f>
        <v>0.16389999999999999</v>
      </c>
    </row>
    <row r="66" spans="1:15" x14ac:dyDescent="0.25">
      <c r="A66" s="100" t="str">
        <f>'Data Vlaue (Cr)'!C61</f>
        <v>DRREDDY</v>
      </c>
      <c r="B66" s="82">
        <f>VLOOKUP(A66,'Data shares'!$C$2:$CV$216,98,0)</f>
        <v>29093750</v>
      </c>
      <c r="C66" s="82">
        <f>VLOOKUP(A66,'Data shares'!$C$2:$CX$216,100,0)</f>
        <v>2927500</v>
      </c>
      <c r="D66" s="141">
        <f>VLOOKUP(A66,'Data shares'!$C$2:$CY$539,101,0)</f>
        <v>0.1119</v>
      </c>
      <c r="E66" s="86">
        <f>VLOOKUP($A66,'Data shares'!$C:$FA,74)</f>
        <v>16401250</v>
      </c>
      <c r="F66" s="86">
        <f>VLOOKUP($A66,'Data shares'!$C:$FA,76)</f>
        <v>1054375</v>
      </c>
      <c r="G66" s="87">
        <f>VLOOKUP(A66,'Data shares'!$C$2:$CA$216,77,0)</f>
        <v>6.8699999999999997E-2</v>
      </c>
      <c r="H66" s="86">
        <f>VLOOKUP($A66,'Data shares'!$C:$FA,90)</f>
        <v>8417500</v>
      </c>
      <c r="I66" s="86">
        <f>VLOOKUP($A66,'Data shares'!$C:$FA,92)</f>
        <v>1568750</v>
      </c>
      <c r="J66" s="87">
        <f>VLOOKUP($A66,'Data shares'!$C:$FA,93)</f>
        <v>0.2291</v>
      </c>
      <c r="K66" s="86">
        <f>VLOOKUP($A66,'Data shares'!$C:$FA,94)</f>
        <v>4275000</v>
      </c>
      <c r="L66" s="86">
        <f>VLOOKUP($A66,'Data shares'!$C:$FA,96)</f>
        <v>304375</v>
      </c>
      <c r="M66" s="87">
        <f>VLOOKUP($A66,'Data shares'!$C:$FA,97)</f>
        <v>7.6700000000000004E-2</v>
      </c>
      <c r="N66" s="86">
        <f>VLOOKUP($A66,'Data shares'!$C:$FA,78)</f>
        <v>16027500</v>
      </c>
      <c r="O66" s="87">
        <f>VLOOKUP($A66,'Data shares'!$C:$FA,81)</f>
        <v>6.4600000000000005E-2</v>
      </c>
    </row>
    <row r="67" spans="1:15" x14ac:dyDescent="0.25">
      <c r="A67" s="100" t="str">
        <f>'Data Vlaue (Cr)'!C62</f>
        <v>EICHERMOT</v>
      </c>
      <c r="B67" s="82">
        <f>VLOOKUP(A67,'Data shares'!$C$2:$CV$216,98,0)</f>
        <v>5384100</v>
      </c>
      <c r="C67" s="82">
        <f>VLOOKUP(A67,'Data shares'!$C$2:$CX$216,100,0)</f>
        <v>188300</v>
      </c>
      <c r="D67" s="141">
        <f>VLOOKUP(A67,'Data shares'!$C$2:$CY$539,101,0)</f>
        <v>3.6200000000000003E-2</v>
      </c>
      <c r="E67" s="86">
        <f>VLOOKUP($A67,'Data shares'!$C:$FA,74)</f>
        <v>3626400</v>
      </c>
      <c r="F67" s="86">
        <f>VLOOKUP($A67,'Data shares'!$C:$FA,76)</f>
        <v>-5900</v>
      </c>
      <c r="G67" s="87">
        <f>VLOOKUP(A67,'Data shares'!$C$2:$CA$216,77,0)</f>
        <v>-1.6000000000000001E-3</v>
      </c>
      <c r="H67" s="86">
        <f>VLOOKUP($A67,'Data shares'!$C:$FA,90)</f>
        <v>979500</v>
      </c>
      <c r="I67" s="86">
        <f>VLOOKUP($A67,'Data shares'!$C:$FA,92)</f>
        <v>141700</v>
      </c>
      <c r="J67" s="87">
        <f>VLOOKUP($A67,'Data shares'!$C:$FA,93)</f>
        <v>0.1691</v>
      </c>
      <c r="K67" s="86">
        <f>VLOOKUP($A67,'Data shares'!$C:$FA,94)</f>
        <v>778200</v>
      </c>
      <c r="L67" s="86">
        <f>VLOOKUP($A67,'Data shares'!$C:$FA,96)</f>
        <v>52500</v>
      </c>
      <c r="M67" s="87">
        <f>VLOOKUP($A67,'Data shares'!$C:$FA,97)</f>
        <v>7.2300000000000003E-2</v>
      </c>
      <c r="N67" s="86">
        <f>VLOOKUP($A67,'Data shares'!$C:$FA,78)</f>
        <v>3087000</v>
      </c>
      <c r="O67" s="87">
        <f>VLOOKUP($A67,'Data shares'!$C:$FA,81)</f>
        <v>-5.7000000000000002E-3</v>
      </c>
    </row>
    <row r="68" spans="1:15" x14ac:dyDescent="0.25">
      <c r="A68" s="100" t="str">
        <f>'Data Vlaue (Cr)'!C63</f>
        <v>ETERNAL</v>
      </c>
      <c r="B68" s="82">
        <f>VLOOKUP(A68,'Data shares'!$C$2:$CV$216,98,0)</f>
        <v>351685625</v>
      </c>
      <c r="C68" s="82">
        <f>VLOOKUP(A68,'Data shares'!$C$2:$CX$216,100,0)</f>
        <v>3242225</v>
      </c>
      <c r="D68" s="141">
        <f>VLOOKUP(A68,'Data shares'!$C$2:$CY$539,101,0)</f>
        <v>9.2999999999999992E-3</v>
      </c>
      <c r="E68" s="86">
        <f>VLOOKUP($A68,'Data shares'!$C:$FA,74)</f>
        <v>207495125</v>
      </c>
      <c r="F68" s="86">
        <f>VLOOKUP($A68,'Data shares'!$C:$FA,76)</f>
        <v>1067000</v>
      </c>
      <c r="G68" s="87">
        <f>VLOOKUP(A68,'Data shares'!$C$2:$CA$216,77,0)</f>
        <v>5.1999999999999998E-3</v>
      </c>
      <c r="H68" s="86">
        <f>VLOOKUP($A68,'Data shares'!$C:$FA,90)</f>
        <v>93343100</v>
      </c>
      <c r="I68" s="86">
        <f>VLOOKUP($A68,'Data shares'!$C:$FA,92)</f>
        <v>771150</v>
      </c>
      <c r="J68" s="87">
        <f>VLOOKUP($A68,'Data shares'!$C:$FA,93)</f>
        <v>8.3000000000000001E-3</v>
      </c>
      <c r="K68" s="86">
        <f>VLOOKUP($A68,'Data shares'!$C:$FA,94)</f>
        <v>50847400</v>
      </c>
      <c r="L68" s="86">
        <f>VLOOKUP($A68,'Data shares'!$C:$FA,96)</f>
        <v>1404075</v>
      </c>
      <c r="M68" s="87">
        <f>VLOOKUP($A68,'Data shares'!$C:$FA,97)</f>
        <v>2.8400000000000002E-2</v>
      </c>
      <c r="N68" s="86">
        <f>VLOOKUP($A68,'Data shares'!$C:$FA,78)</f>
        <v>190287325</v>
      </c>
      <c r="O68" s="87">
        <f>VLOOKUP($A68,'Data shares'!$C:$FA,81)</f>
        <v>3.5999999999999999E-3</v>
      </c>
    </row>
    <row r="69" spans="1:15" x14ac:dyDescent="0.25">
      <c r="A69" s="100" t="str">
        <f>'Data Vlaue (Cr)'!C64</f>
        <v>EXIDEIND</v>
      </c>
      <c r="B69" s="82">
        <f>VLOOKUP(A69,'Data shares'!$C$2:$CV$216,98,0)</f>
        <v>52383600</v>
      </c>
      <c r="C69" s="82">
        <f>VLOOKUP(A69,'Data shares'!$C$2:$CX$216,100,0)</f>
        <v>8217000</v>
      </c>
      <c r="D69" s="141">
        <f>VLOOKUP(A69,'Data shares'!$C$2:$CY$539,101,0)</f>
        <v>0.186</v>
      </c>
      <c r="E69" s="86">
        <f>VLOOKUP($A69,'Data shares'!$C:$FA,74)</f>
        <v>28782000</v>
      </c>
      <c r="F69" s="86">
        <f>VLOOKUP($A69,'Data shares'!$C:$FA,76)</f>
        <v>601200</v>
      </c>
      <c r="G69" s="87">
        <f>VLOOKUP(A69,'Data shares'!$C$2:$CA$216,77,0)</f>
        <v>2.1299999999999999E-2</v>
      </c>
      <c r="H69" s="86">
        <f>VLOOKUP($A69,'Data shares'!$C:$FA,90)</f>
        <v>14580000</v>
      </c>
      <c r="I69" s="86">
        <f>VLOOKUP($A69,'Data shares'!$C:$FA,92)</f>
        <v>5034600</v>
      </c>
      <c r="J69" s="87">
        <f>VLOOKUP($A69,'Data shares'!$C:$FA,93)</f>
        <v>0.52739999999999998</v>
      </c>
      <c r="K69" s="86">
        <f>VLOOKUP($A69,'Data shares'!$C:$FA,94)</f>
        <v>9021600</v>
      </c>
      <c r="L69" s="86">
        <f>VLOOKUP($A69,'Data shares'!$C:$FA,96)</f>
        <v>2581200</v>
      </c>
      <c r="M69" s="87">
        <f>VLOOKUP($A69,'Data shares'!$C:$FA,97)</f>
        <v>0.40079999999999999</v>
      </c>
      <c r="N69" s="86">
        <f>VLOOKUP($A69,'Data shares'!$C:$FA,78)</f>
        <v>27680400</v>
      </c>
      <c r="O69" s="87">
        <f>VLOOKUP($A69,'Data shares'!$C:$FA,81)</f>
        <v>1.9400000000000001E-2</v>
      </c>
    </row>
    <row r="70" spans="1:15" x14ac:dyDescent="0.25">
      <c r="A70" s="100" t="str">
        <f>'Data Vlaue (Cr)'!C65</f>
        <v>FEDERALBNK</v>
      </c>
      <c r="B70" s="82">
        <f>VLOOKUP(A70,'Data shares'!$C$2:$CV$216,98,0)</f>
        <v>139112500</v>
      </c>
      <c r="C70" s="82">
        <f>VLOOKUP(A70,'Data shares'!$C$2:$CX$216,100,0)</f>
        <v>450000</v>
      </c>
      <c r="D70" s="141">
        <f>VLOOKUP(A70,'Data shares'!$C$2:$CY$539,101,0)</f>
        <v>3.2000000000000002E-3</v>
      </c>
      <c r="E70" s="86">
        <f>VLOOKUP($A70,'Data shares'!$C:$FA,74)</f>
        <v>83247500</v>
      </c>
      <c r="F70" s="86">
        <f>VLOOKUP($A70,'Data shares'!$C:$FA,76)</f>
        <v>2472500</v>
      </c>
      <c r="G70" s="87">
        <f>VLOOKUP(A70,'Data shares'!$C$2:$CA$216,77,0)</f>
        <v>3.0599999999999999E-2</v>
      </c>
      <c r="H70" s="86">
        <f>VLOOKUP($A70,'Data shares'!$C:$FA,90)</f>
        <v>36250000</v>
      </c>
      <c r="I70" s="86">
        <f>VLOOKUP($A70,'Data shares'!$C:$FA,92)</f>
        <v>-2062500</v>
      </c>
      <c r="J70" s="87">
        <f>VLOOKUP($A70,'Data shares'!$C:$FA,93)</f>
        <v>-5.3800000000000001E-2</v>
      </c>
      <c r="K70" s="86">
        <f>VLOOKUP($A70,'Data shares'!$C:$FA,94)</f>
        <v>19615000</v>
      </c>
      <c r="L70" s="86">
        <f>VLOOKUP($A70,'Data shares'!$C:$FA,96)</f>
        <v>40000</v>
      </c>
      <c r="M70" s="87">
        <f>VLOOKUP($A70,'Data shares'!$C:$FA,97)</f>
        <v>2E-3</v>
      </c>
      <c r="N70" s="86">
        <f>VLOOKUP($A70,'Data shares'!$C:$FA,78)</f>
        <v>76357500</v>
      </c>
      <c r="O70" s="87">
        <f>VLOOKUP($A70,'Data shares'!$C:$FA,81)</f>
        <v>2.6499999999999999E-2</v>
      </c>
    </row>
    <row r="71" spans="1:15" x14ac:dyDescent="0.25">
      <c r="A71" s="100" t="str">
        <f>'Data Vlaue (Cr)'!C66</f>
        <v>FINNIFTY</v>
      </c>
      <c r="B71" s="82">
        <f>VLOOKUP(A71,'Data shares'!$C$2:$CV$216,98,0)</f>
        <v>260880</v>
      </c>
      <c r="C71" s="82">
        <f>VLOOKUP(A71,'Data shares'!$C$2:$CX$216,100,0)</f>
        <v>79980</v>
      </c>
      <c r="D71" s="141">
        <f>VLOOKUP(A71,'Data shares'!$C$2:$CY$539,101,0)</f>
        <v>0.44209999999999999</v>
      </c>
      <c r="E71" s="86">
        <f>VLOOKUP($A71,'Data shares'!$C:$FA,74)</f>
        <v>26520</v>
      </c>
      <c r="F71" s="86">
        <f>VLOOKUP($A71,'Data shares'!$C:$FA,76)</f>
        <v>600</v>
      </c>
      <c r="G71" s="87">
        <f>VLOOKUP(A71,'Data shares'!$C$2:$CA$216,77,0)</f>
        <v>2.3099999999999999E-2</v>
      </c>
      <c r="H71" s="86">
        <f>VLOOKUP($A71,'Data shares'!$C:$FA,90)</f>
        <v>145620</v>
      </c>
      <c r="I71" s="86">
        <f>VLOOKUP($A71,'Data shares'!$C:$FA,92)</f>
        <v>38340</v>
      </c>
      <c r="J71" s="87">
        <f>VLOOKUP($A71,'Data shares'!$C:$FA,93)</f>
        <v>0.3574</v>
      </c>
      <c r="K71" s="86">
        <f>VLOOKUP($A71,'Data shares'!$C:$FA,94)</f>
        <v>88740</v>
      </c>
      <c r="L71" s="86">
        <f>VLOOKUP($A71,'Data shares'!$C:$FA,96)</f>
        <v>41040</v>
      </c>
      <c r="M71" s="87">
        <f>VLOOKUP($A71,'Data shares'!$C:$FA,97)</f>
        <v>0.86040000000000005</v>
      </c>
      <c r="N71" s="86">
        <f>VLOOKUP($A71,'Data shares'!$C:$FA,78)</f>
        <v>26520</v>
      </c>
      <c r="O71" s="87">
        <f>VLOOKUP($A71,'Data shares'!$C:$FA,81)</f>
        <v>2.3099999999999999E-2</v>
      </c>
    </row>
    <row r="72" spans="1:15" x14ac:dyDescent="0.25">
      <c r="A72" s="100" t="str">
        <f>'Data Vlaue (Cr)'!C67</f>
        <v>FORCEMOT</v>
      </c>
      <c r="B72" s="82">
        <f>VLOOKUP(A72,'Data shares'!$C$2:$CV$216,98,0)</f>
        <v>497075</v>
      </c>
      <c r="C72" s="82">
        <f>VLOOKUP(A72,'Data shares'!$C$2:$CX$216,100,0)</f>
        <v>40275</v>
      </c>
      <c r="D72" s="141">
        <f>VLOOKUP(A72,'Data shares'!$C$2:$CY$539,101,0)</f>
        <v>8.8200000000000001E-2</v>
      </c>
      <c r="E72" s="86">
        <f>VLOOKUP($A72,'Data shares'!$C:$FA,74)</f>
        <v>296500</v>
      </c>
      <c r="F72" s="86">
        <f>VLOOKUP($A72,'Data shares'!$C:$FA,76)</f>
        <v>9400</v>
      </c>
      <c r="G72" s="87">
        <f>VLOOKUP(A72,'Data shares'!$C$2:$CA$216,77,0)</f>
        <v>3.27E-2</v>
      </c>
      <c r="H72" s="86">
        <f>VLOOKUP($A72,'Data shares'!$C:$FA,90)</f>
        <v>150225</v>
      </c>
      <c r="I72" s="86">
        <f>VLOOKUP($A72,'Data shares'!$C:$FA,92)</f>
        <v>28800</v>
      </c>
      <c r="J72" s="87">
        <f>VLOOKUP($A72,'Data shares'!$C:$FA,93)</f>
        <v>0.23719999999999999</v>
      </c>
      <c r="K72" s="86">
        <f>VLOOKUP($A72,'Data shares'!$C:$FA,94)</f>
        <v>50350</v>
      </c>
      <c r="L72" s="86">
        <f>VLOOKUP($A72,'Data shares'!$C:$FA,96)</f>
        <v>2075</v>
      </c>
      <c r="M72" s="87">
        <f>VLOOKUP($A72,'Data shares'!$C:$FA,97)</f>
        <v>4.2999999999999997E-2</v>
      </c>
      <c r="N72" s="86">
        <f>VLOOKUP($A72,'Data shares'!$C:$FA,78)</f>
        <v>283150</v>
      </c>
      <c r="O72" s="87">
        <f>VLOOKUP($A72,'Data shares'!$C:$FA,81)</f>
        <v>2.3800000000000002E-2</v>
      </c>
    </row>
    <row r="73" spans="1:15" x14ac:dyDescent="0.25">
      <c r="A73" s="100" t="str">
        <f>'Data Vlaue (Cr)'!C68</f>
        <v>FORTIS</v>
      </c>
      <c r="B73" s="82">
        <f>VLOOKUP(A73,'Data shares'!$C$2:$CV$216,98,0)</f>
        <v>11729625</v>
      </c>
      <c r="C73" s="82">
        <f>VLOOKUP(A73,'Data shares'!$C$2:$CX$216,100,0)</f>
        <v>502975</v>
      </c>
      <c r="D73" s="141">
        <f>VLOOKUP(A73,'Data shares'!$C$2:$CY$539,101,0)</f>
        <v>4.48E-2</v>
      </c>
      <c r="E73" s="86">
        <f>VLOOKUP($A73,'Data shares'!$C:$FA,74)</f>
        <v>9403075</v>
      </c>
      <c r="F73" s="86">
        <f>VLOOKUP($A73,'Data shares'!$C:$FA,76)</f>
        <v>-36425</v>
      </c>
      <c r="G73" s="87">
        <f>VLOOKUP(A73,'Data shares'!$C$2:$CA$216,77,0)</f>
        <v>-3.8999999999999998E-3</v>
      </c>
      <c r="H73" s="86">
        <f>VLOOKUP($A73,'Data shares'!$C:$FA,90)</f>
        <v>1518225</v>
      </c>
      <c r="I73" s="86">
        <f>VLOOKUP($A73,'Data shares'!$C:$FA,92)</f>
        <v>375100</v>
      </c>
      <c r="J73" s="87">
        <f>VLOOKUP($A73,'Data shares'!$C:$FA,93)</f>
        <v>0.3281</v>
      </c>
      <c r="K73" s="86">
        <f>VLOOKUP($A73,'Data shares'!$C:$FA,94)</f>
        <v>808325</v>
      </c>
      <c r="L73" s="86">
        <f>VLOOKUP($A73,'Data shares'!$C:$FA,96)</f>
        <v>164300</v>
      </c>
      <c r="M73" s="87">
        <f>VLOOKUP($A73,'Data shares'!$C:$FA,97)</f>
        <v>0.25509999999999999</v>
      </c>
      <c r="N73" s="86">
        <f>VLOOKUP($A73,'Data shares'!$C:$FA,78)</f>
        <v>7516725</v>
      </c>
      <c r="O73" s="87">
        <f>VLOOKUP($A73,'Data shares'!$C:$FA,81)</f>
        <v>-4.8999999999999998E-3</v>
      </c>
    </row>
    <row r="74" spans="1:15" x14ac:dyDescent="0.25">
      <c r="A74" s="100" t="str">
        <f>'Data Vlaue (Cr)'!C69</f>
        <v>GAIL</v>
      </c>
      <c r="B74" s="82">
        <f>VLOOKUP(A74,'Data shares'!$C$2:$CV$216,98,0)</f>
        <v>110179200</v>
      </c>
      <c r="C74" s="82">
        <f>VLOOKUP(A74,'Data shares'!$C$2:$CX$216,100,0)</f>
        <v>780050</v>
      </c>
      <c r="D74" s="141">
        <f>VLOOKUP(A74,'Data shares'!$C$2:$CY$539,101,0)</f>
        <v>7.1000000000000004E-3</v>
      </c>
      <c r="E74" s="86">
        <f>VLOOKUP($A74,'Data shares'!$C:$FA,74)</f>
        <v>75475650</v>
      </c>
      <c r="F74" s="86">
        <f>VLOOKUP($A74,'Data shares'!$C:$FA,76)</f>
        <v>46100</v>
      </c>
      <c r="G74" s="87">
        <f>VLOOKUP(A74,'Data shares'!$C$2:$CA$216,77,0)</f>
        <v>5.9999999999999995E-4</v>
      </c>
      <c r="H74" s="86">
        <f>VLOOKUP($A74,'Data shares'!$C:$FA,90)</f>
        <v>16855650</v>
      </c>
      <c r="I74" s="86">
        <f>VLOOKUP($A74,'Data shares'!$C:$FA,92)</f>
        <v>434700</v>
      </c>
      <c r="J74" s="87">
        <f>VLOOKUP($A74,'Data shares'!$C:$FA,93)</f>
        <v>2.6499999999999999E-2</v>
      </c>
      <c r="K74" s="86">
        <f>VLOOKUP($A74,'Data shares'!$C:$FA,94)</f>
        <v>17847900</v>
      </c>
      <c r="L74" s="86">
        <f>VLOOKUP($A74,'Data shares'!$C:$FA,96)</f>
        <v>299250</v>
      </c>
      <c r="M74" s="87">
        <f>VLOOKUP($A74,'Data shares'!$C:$FA,97)</f>
        <v>1.7100000000000001E-2</v>
      </c>
      <c r="N74" s="86">
        <f>VLOOKUP($A74,'Data shares'!$C:$FA,78)</f>
        <v>69542550</v>
      </c>
      <c r="O74" s="87">
        <f>VLOOKUP($A74,'Data shares'!$C:$FA,81)</f>
        <v>8.9999999999999998E-4</v>
      </c>
    </row>
    <row r="75" spans="1:15" x14ac:dyDescent="0.25">
      <c r="A75" s="100" t="str">
        <f>'Data Vlaue (Cr)'!C70</f>
        <v>GLENMARK</v>
      </c>
      <c r="B75" s="82">
        <f>VLOOKUP(A75,'Data shares'!$C$2:$CV$216,98,0)</f>
        <v>13853625</v>
      </c>
      <c r="C75" s="82">
        <f>VLOOKUP(A75,'Data shares'!$C$2:$CX$216,100,0)</f>
        <v>147375</v>
      </c>
      <c r="D75" s="141">
        <f>VLOOKUP(A75,'Data shares'!$C$2:$CY$539,101,0)</f>
        <v>1.0800000000000001E-2</v>
      </c>
      <c r="E75" s="86">
        <f>VLOOKUP($A75,'Data shares'!$C:$FA,74)</f>
        <v>11227125</v>
      </c>
      <c r="F75" s="86">
        <f>VLOOKUP($A75,'Data shares'!$C:$FA,76)</f>
        <v>-28125</v>
      </c>
      <c r="G75" s="87">
        <f>VLOOKUP(A75,'Data shares'!$C$2:$CA$216,77,0)</f>
        <v>-2.5000000000000001E-3</v>
      </c>
      <c r="H75" s="86">
        <f>VLOOKUP($A75,'Data shares'!$C:$FA,90)</f>
        <v>1700625</v>
      </c>
      <c r="I75" s="86">
        <f>VLOOKUP($A75,'Data shares'!$C:$FA,92)</f>
        <v>142500</v>
      </c>
      <c r="J75" s="87">
        <f>VLOOKUP($A75,'Data shares'!$C:$FA,93)</f>
        <v>9.1499999999999998E-2</v>
      </c>
      <c r="K75" s="86">
        <f>VLOOKUP($A75,'Data shares'!$C:$FA,94)</f>
        <v>925875</v>
      </c>
      <c r="L75" s="86">
        <f>VLOOKUP($A75,'Data shares'!$C:$FA,96)</f>
        <v>33000</v>
      </c>
      <c r="M75" s="87">
        <f>VLOOKUP($A75,'Data shares'!$C:$FA,97)</f>
        <v>3.6999999999999998E-2</v>
      </c>
      <c r="N75" s="86">
        <f>VLOOKUP($A75,'Data shares'!$C:$FA,78)</f>
        <v>11172750</v>
      </c>
      <c r="O75" s="87">
        <f>VLOOKUP($A75,'Data shares'!$C:$FA,81)</f>
        <v>-2.7000000000000001E-3</v>
      </c>
    </row>
    <row r="76" spans="1:15" x14ac:dyDescent="0.25">
      <c r="A76" s="100" t="str">
        <f>'Data Vlaue (Cr)'!C71</f>
        <v>GMRAIRPORT</v>
      </c>
      <c r="B76" s="82">
        <f>VLOOKUP(A76,'Data shares'!$C$2:$CV$216,98,0)</f>
        <v>228361500</v>
      </c>
      <c r="C76" s="82">
        <f>VLOOKUP(A76,'Data shares'!$C$2:$CX$216,100,0)</f>
        <v>14187150</v>
      </c>
      <c r="D76" s="141">
        <f>VLOOKUP(A76,'Data shares'!$C$2:$CY$539,101,0)</f>
        <v>6.6199999999999995E-2</v>
      </c>
      <c r="E76" s="86">
        <f>VLOOKUP($A76,'Data shares'!$C:$FA,74)</f>
        <v>133661925</v>
      </c>
      <c r="F76" s="86">
        <f>VLOOKUP($A76,'Data shares'!$C:$FA,76)</f>
        <v>0</v>
      </c>
      <c r="G76" s="87">
        <f>VLOOKUP(A76,'Data shares'!$C$2:$CA$216,77,0)</f>
        <v>0</v>
      </c>
      <c r="H76" s="86">
        <f>VLOOKUP($A76,'Data shares'!$C:$FA,90)</f>
        <v>59524650</v>
      </c>
      <c r="I76" s="86">
        <f>VLOOKUP($A76,'Data shares'!$C:$FA,92)</f>
        <v>9353475</v>
      </c>
      <c r="J76" s="87">
        <f>VLOOKUP($A76,'Data shares'!$C:$FA,93)</f>
        <v>0.18640000000000001</v>
      </c>
      <c r="K76" s="86">
        <f>VLOOKUP($A76,'Data shares'!$C:$FA,94)</f>
        <v>35174925</v>
      </c>
      <c r="L76" s="86">
        <f>VLOOKUP($A76,'Data shares'!$C:$FA,96)</f>
        <v>4833675</v>
      </c>
      <c r="M76" s="87">
        <f>VLOOKUP($A76,'Data shares'!$C:$FA,97)</f>
        <v>0.1593</v>
      </c>
      <c r="N76" s="86">
        <f>VLOOKUP($A76,'Data shares'!$C:$FA,78)</f>
        <v>126986850</v>
      </c>
      <c r="O76" s="87">
        <f>VLOOKUP($A76,'Data shares'!$C:$FA,81)</f>
        <v>8.0000000000000004E-4</v>
      </c>
    </row>
    <row r="77" spans="1:15" x14ac:dyDescent="0.25">
      <c r="A77" s="100" t="str">
        <f>'Data Vlaue (Cr)'!C72</f>
        <v>GODFRYPHLP</v>
      </c>
      <c r="B77" s="82">
        <f>VLOOKUP(A77,'Data shares'!$C$2:$CV$216,98,0)</f>
        <v>2386725</v>
      </c>
      <c r="C77" s="82">
        <f>VLOOKUP(A77,'Data shares'!$C$2:$CX$216,100,0)</f>
        <v>59675</v>
      </c>
      <c r="D77" s="141">
        <f>VLOOKUP(A77,'Data shares'!$C$2:$CY$539,101,0)</f>
        <v>2.5600000000000001E-2</v>
      </c>
      <c r="E77" s="86">
        <f>VLOOKUP($A77,'Data shares'!$C:$FA,74)</f>
        <v>1600775</v>
      </c>
      <c r="F77" s="86">
        <f>VLOOKUP($A77,'Data shares'!$C:$FA,76)</f>
        <v>35750</v>
      </c>
      <c r="G77" s="87">
        <f>VLOOKUP(A77,'Data shares'!$C$2:$CA$216,77,0)</f>
        <v>2.2800000000000001E-2</v>
      </c>
      <c r="H77" s="86">
        <f>VLOOKUP($A77,'Data shares'!$C:$FA,90)</f>
        <v>562925</v>
      </c>
      <c r="I77" s="86">
        <f>VLOOKUP($A77,'Data shares'!$C:$FA,92)</f>
        <v>20900</v>
      </c>
      <c r="J77" s="87">
        <f>VLOOKUP($A77,'Data shares'!$C:$FA,93)</f>
        <v>3.8600000000000002E-2</v>
      </c>
      <c r="K77" s="86">
        <f>VLOOKUP($A77,'Data shares'!$C:$FA,94)</f>
        <v>223025</v>
      </c>
      <c r="L77" s="86">
        <f>VLOOKUP($A77,'Data shares'!$C:$FA,96)</f>
        <v>3025</v>
      </c>
      <c r="M77" s="87">
        <f>VLOOKUP($A77,'Data shares'!$C:$FA,97)</f>
        <v>1.38E-2</v>
      </c>
      <c r="N77" s="86">
        <f>VLOOKUP($A77,'Data shares'!$C:$FA,78)</f>
        <v>1560075</v>
      </c>
      <c r="O77" s="87">
        <f>VLOOKUP($A77,'Data shares'!$C:$FA,81)</f>
        <v>2.1100000000000001E-2</v>
      </c>
    </row>
    <row r="78" spans="1:15" x14ac:dyDescent="0.25">
      <c r="A78" s="100" t="str">
        <f>'Data Vlaue (Cr)'!C73</f>
        <v>GODREJCP</v>
      </c>
      <c r="B78" s="82">
        <f>VLOOKUP(A78,'Data shares'!$C$2:$CV$216,98,0)</f>
        <v>15140000</v>
      </c>
      <c r="C78" s="82">
        <f>VLOOKUP(A78,'Data shares'!$C$2:$CX$216,100,0)</f>
        <v>373000</v>
      </c>
      <c r="D78" s="141">
        <f>VLOOKUP(A78,'Data shares'!$C$2:$CY$539,101,0)</f>
        <v>2.53E-2</v>
      </c>
      <c r="E78" s="86">
        <f>VLOOKUP($A78,'Data shares'!$C:$FA,74)</f>
        <v>13245500</v>
      </c>
      <c r="F78" s="86">
        <f>VLOOKUP($A78,'Data shares'!$C:$FA,76)</f>
        <v>119500</v>
      </c>
      <c r="G78" s="87">
        <f>VLOOKUP(A78,'Data shares'!$C$2:$CA$216,77,0)</f>
        <v>9.1000000000000004E-3</v>
      </c>
      <c r="H78" s="86">
        <f>VLOOKUP($A78,'Data shares'!$C:$FA,90)</f>
        <v>1075500</v>
      </c>
      <c r="I78" s="86">
        <f>VLOOKUP($A78,'Data shares'!$C:$FA,92)</f>
        <v>229000</v>
      </c>
      <c r="J78" s="87">
        <f>VLOOKUP($A78,'Data shares'!$C:$FA,93)</f>
        <v>0.27050000000000002</v>
      </c>
      <c r="K78" s="86">
        <f>VLOOKUP($A78,'Data shares'!$C:$FA,94)</f>
        <v>819000</v>
      </c>
      <c r="L78" s="86">
        <f>VLOOKUP($A78,'Data shares'!$C:$FA,96)</f>
        <v>24500</v>
      </c>
      <c r="M78" s="87">
        <f>VLOOKUP($A78,'Data shares'!$C:$FA,97)</f>
        <v>3.0800000000000001E-2</v>
      </c>
      <c r="N78" s="86">
        <f>VLOOKUP($A78,'Data shares'!$C:$FA,78)</f>
        <v>12577000</v>
      </c>
      <c r="O78" s="87">
        <f>VLOOKUP($A78,'Data shares'!$C:$FA,81)</f>
        <v>9.1000000000000004E-3</v>
      </c>
    </row>
    <row r="79" spans="1:15" x14ac:dyDescent="0.25">
      <c r="A79" s="100" t="str">
        <f>'Data Vlaue (Cr)'!C74</f>
        <v>GODREJPROP</v>
      </c>
      <c r="B79" s="82">
        <f>VLOOKUP(A79,'Data shares'!$C$2:$CV$216,98,0)</f>
        <v>11331475</v>
      </c>
      <c r="C79" s="82">
        <f>VLOOKUP(A79,'Data shares'!$C$2:$CX$216,100,0)</f>
        <v>1891250</v>
      </c>
      <c r="D79" s="141">
        <f>VLOOKUP(A79,'Data shares'!$C$2:$CY$539,101,0)</f>
        <v>0.20030000000000001</v>
      </c>
      <c r="E79" s="86">
        <f>VLOOKUP($A79,'Data shares'!$C:$FA,74)</f>
        <v>7357125</v>
      </c>
      <c r="F79" s="86">
        <f>VLOOKUP($A79,'Data shares'!$C:$FA,76)</f>
        <v>334975</v>
      </c>
      <c r="G79" s="87">
        <f>VLOOKUP(A79,'Data shares'!$C$2:$CA$216,77,0)</f>
        <v>4.7699999999999999E-2</v>
      </c>
      <c r="H79" s="86">
        <f>VLOOKUP($A79,'Data shares'!$C:$FA,90)</f>
        <v>2487700</v>
      </c>
      <c r="I79" s="86">
        <f>VLOOKUP($A79,'Data shares'!$C:$FA,92)</f>
        <v>1155325</v>
      </c>
      <c r="J79" s="87">
        <f>VLOOKUP($A79,'Data shares'!$C:$FA,93)</f>
        <v>0.86709999999999998</v>
      </c>
      <c r="K79" s="86">
        <f>VLOOKUP($A79,'Data shares'!$C:$FA,94)</f>
        <v>1486650</v>
      </c>
      <c r="L79" s="86">
        <f>VLOOKUP($A79,'Data shares'!$C:$FA,96)</f>
        <v>400950</v>
      </c>
      <c r="M79" s="87">
        <f>VLOOKUP($A79,'Data shares'!$C:$FA,97)</f>
        <v>0.36930000000000002</v>
      </c>
      <c r="N79" s="86">
        <f>VLOOKUP($A79,'Data shares'!$C:$FA,78)</f>
        <v>6560675</v>
      </c>
      <c r="O79" s="87">
        <f>VLOOKUP($A79,'Data shares'!$C:$FA,81)</f>
        <v>5.1999999999999998E-2</v>
      </c>
    </row>
    <row r="80" spans="1:15" x14ac:dyDescent="0.25">
      <c r="A80" s="100" t="str">
        <f>'Data Vlaue (Cr)'!C75</f>
        <v>GRASIM</v>
      </c>
      <c r="B80" s="82">
        <f>VLOOKUP(A80,'Data shares'!$C$2:$CV$216,98,0)</f>
        <v>16554750</v>
      </c>
      <c r="C80" s="82">
        <f>VLOOKUP(A80,'Data shares'!$C$2:$CX$216,100,0)</f>
        <v>362250</v>
      </c>
      <c r="D80" s="141">
        <f>VLOOKUP(A80,'Data shares'!$C$2:$CY$539,101,0)</f>
        <v>2.24E-2</v>
      </c>
      <c r="E80" s="86">
        <f>VLOOKUP($A80,'Data shares'!$C:$FA,74)</f>
        <v>14712500</v>
      </c>
      <c r="F80" s="86">
        <f>VLOOKUP($A80,'Data shares'!$C:$FA,76)</f>
        <v>210000</v>
      </c>
      <c r="G80" s="87">
        <f>VLOOKUP(A80,'Data shares'!$C$2:$CA$216,77,0)</f>
        <v>1.4500000000000001E-2</v>
      </c>
      <c r="H80" s="86">
        <f>VLOOKUP($A80,'Data shares'!$C:$FA,90)</f>
        <v>1065500</v>
      </c>
      <c r="I80" s="86">
        <f>VLOOKUP($A80,'Data shares'!$C:$FA,92)</f>
        <v>133500</v>
      </c>
      <c r="J80" s="87">
        <f>VLOOKUP($A80,'Data shares'!$C:$FA,93)</f>
        <v>0.14319999999999999</v>
      </c>
      <c r="K80" s="86">
        <f>VLOOKUP($A80,'Data shares'!$C:$FA,94)</f>
        <v>776750</v>
      </c>
      <c r="L80" s="86">
        <f>VLOOKUP($A80,'Data shares'!$C:$FA,96)</f>
        <v>18750</v>
      </c>
      <c r="M80" s="87">
        <f>VLOOKUP($A80,'Data shares'!$C:$FA,97)</f>
        <v>2.47E-2</v>
      </c>
      <c r="N80" s="86">
        <f>VLOOKUP($A80,'Data shares'!$C:$FA,78)</f>
        <v>13909750</v>
      </c>
      <c r="O80" s="87">
        <f>VLOOKUP($A80,'Data shares'!$C:$FA,81)</f>
        <v>1.37E-2</v>
      </c>
    </row>
    <row r="81" spans="1:15" x14ac:dyDescent="0.25">
      <c r="A81" s="100" t="str">
        <f>'Data Vlaue (Cr)'!C76</f>
        <v>HAL</v>
      </c>
      <c r="B81" s="82">
        <f>VLOOKUP(A81,'Data shares'!$C$2:$CV$216,98,0)</f>
        <v>10973250</v>
      </c>
      <c r="C81" s="82">
        <f>VLOOKUP(A81,'Data shares'!$C$2:$CX$216,100,0)</f>
        <v>703200</v>
      </c>
      <c r="D81" s="141">
        <f>VLOOKUP(A81,'Data shares'!$C$2:$CY$539,101,0)</f>
        <v>6.8500000000000005E-2</v>
      </c>
      <c r="E81" s="86">
        <f>VLOOKUP($A81,'Data shares'!$C:$FA,74)</f>
        <v>6817350</v>
      </c>
      <c r="F81" s="86">
        <f>VLOOKUP($A81,'Data shares'!$C:$FA,76)</f>
        <v>-175050</v>
      </c>
      <c r="G81" s="87">
        <f>VLOOKUP(A81,'Data shares'!$C$2:$CA$216,77,0)</f>
        <v>-2.5000000000000001E-2</v>
      </c>
      <c r="H81" s="86">
        <f>VLOOKUP($A81,'Data shares'!$C:$FA,90)</f>
        <v>2231100</v>
      </c>
      <c r="I81" s="86">
        <f>VLOOKUP($A81,'Data shares'!$C:$FA,92)</f>
        <v>482700</v>
      </c>
      <c r="J81" s="87">
        <f>VLOOKUP($A81,'Data shares'!$C:$FA,93)</f>
        <v>0.27610000000000001</v>
      </c>
      <c r="K81" s="86">
        <f>VLOOKUP($A81,'Data shares'!$C:$FA,94)</f>
        <v>1924800</v>
      </c>
      <c r="L81" s="86">
        <f>VLOOKUP($A81,'Data shares'!$C:$FA,96)</f>
        <v>395550</v>
      </c>
      <c r="M81" s="87">
        <f>VLOOKUP($A81,'Data shares'!$C:$FA,97)</f>
        <v>0.25869999999999999</v>
      </c>
      <c r="N81" s="86">
        <f>VLOOKUP($A81,'Data shares'!$C:$FA,78)</f>
        <v>5922750</v>
      </c>
      <c r="O81" s="87">
        <f>VLOOKUP($A81,'Data shares'!$C:$FA,81)</f>
        <v>-3.2399999999999998E-2</v>
      </c>
    </row>
    <row r="82" spans="1:15" x14ac:dyDescent="0.25">
      <c r="A82" s="100" t="str">
        <f>'Data Vlaue (Cr)'!C77</f>
        <v>HAVELLS</v>
      </c>
      <c r="B82" s="82">
        <f>VLOOKUP(A82,'Data shares'!$C$2:$CV$216,98,0)</f>
        <v>17809000</v>
      </c>
      <c r="C82" s="82">
        <f>VLOOKUP(A82,'Data shares'!$C$2:$CX$216,100,0)</f>
        <v>123500</v>
      </c>
      <c r="D82" s="141">
        <f>VLOOKUP(A82,'Data shares'!$C$2:$CY$539,101,0)</f>
        <v>7.0000000000000001E-3</v>
      </c>
      <c r="E82" s="86">
        <f>VLOOKUP($A82,'Data shares'!$C:$FA,74)</f>
        <v>10612000</v>
      </c>
      <c r="F82" s="86">
        <f>VLOOKUP($A82,'Data shares'!$C:$FA,76)</f>
        <v>-104500</v>
      </c>
      <c r="G82" s="87">
        <f>VLOOKUP(A82,'Data shares'!$C$2:$CA$216,77,0)</f>
        <v>-9.7999999999999997E-3</v>
      </c>
      <c r="H82" s="86">
        <f>VLOOKUP($A82,'Data shares'!$C:$FA,90)</f>
        <v>4876500</v>
      </c>
      <c r="I82" s="86">
        <f>VLOOKUP($A82,'Data shares'!$C:$FA,92)</f>
        <v>205000</v>
      </c>
      <c r="J82" s="87">
        <f>VLOOKUP($A82,'Data shares'!$C:$FA,93)</f>
        <v>4.3900000000000002E-2</v>
      </c>
      <c r="K82" s="86">
        <f>VLOOKUP($A82,'Data shares'!$C:$FA,94)</f>
        <v>2320500</v>
      </c>
      <c r="L82" s="86">
        <f>VLOOKUP($A82,'Data shares'!$C:$FA,96)</f>
        <v>23000</v>
      </c>
      <c r="M82" s="87">
        <f>VLOOKUP($A82,'Data shares'!$C:$FA,97)</f>
        <v>0.01</v>
      </c>
      <c r="N82" s="86">
        <f>VLOOKUP($A82,'Data shares'!$C:$FA,78)</f>
        <v>10138000</v>
      </c>
      <c r="O82" s="87">
        <f>VLOOKUP($A82,'Data shares'!$C:$FA,81)</f>
        <v>-1.06E-2</v>
      </c>
    </row>
    <row r="83" spans="1:15" x14ac:dyDescent="0.25">
      <c r="A83" s="100" t="str">
        <f>'Data Vlaue (Cr)'!C78</f>
        <v>HCLTECH</v>
      </c>
      <c r="B83" s="82">
        <f>VLOOKUP(A83,'Data shares'!$C$2:$CV$216,98,0)</f>
        <v>77653550</v>
      </c>
      <c r="C83" s="82">
        <f>VLOOKUP(A83,'Data shares'!$C$2:$CX$216,100,0)</f>
        <v>2088050</v>
      </c>
      <c r="D83" s="141">
        <f>VLOOKUP(A83,'Data shares'!$C$2:$CY$539,101,0)</f>
        <v>2.76E-2</v>
      </c>
      <c r="E83" s="86">
        <f>VLOOKUP($A83,'Data shares'!$C:$FA,74)</f>
        <v>44065500</v>
      </c>
      <c r="F83" s="86">
        <f>VLOOKUP($A83,'Data shares'!$C:$FA,76)</f>
        <v>509600</v>
      </c>
      <c r="G83" s="87">
        <f>VLOOKUP(A83,'Data shares'!$C$2:$CA$216,77,0)</f>
        <v>1.17E-2</v>
      </c>
      <c r="H83" s="86">
        <f>VLOOKUP($A83,'Data shares'!$C:$FA,90)</f>
        <v>22062550</v>
      </c>
      <c r="I83" s="86">
        <f>VLOOKUP($A83,'Data shares'!$C:$FA,92)</f>
        <v>1259950</v>
      </c>
      <c r="J83" s="87">
        <f>VLOOKUP($A83,'Data shares'!$C:$FA,93)</f>
        <v>6.0600000000000001E-2</v>
      </c>
      <c r="K83" s="86">
        <f>VLOOKUP($A83,'Data shares'!$C:$FA,94)</f>
        <v>11525500</v>
      </c>
      <c r="L83" s="86">
        <f>VLOOKUP($A83,'Data shares'!$C:$FA,96)</f>
        <v>318500</v>
      </c>
      <c r="M83" s="87">
        <f>VLOOKUP($A83,'Data shares'!$C:$FA,97)</f>
        <v>2.8400000000000002E-2</v>
      </c>
      <c r="N83" s="86">
        <f>VLOOKUP($A83,'Data shares'!$C:$FA,78)</f>
        <v>41947500</v>
      </c>
      <c r="O83" s="87">
        <f>VLOOKUP($A83,'Data shares'!$C:$FA,81)</f>
        <v>7.7999999999999996E-3</v>
      </c>
    </row>
    <row r="84" spans="1:15" x14ac:dyDescent="0.25">
      <c r="A84" s="100" t="str">
        <f>'Data Vlaue (Cr)'!C79</f>
        <v>HDFCAMC</v>
      </c>
      <c r="B84" s="82">
        <f>VLOOKUP(A84,'Data shares'!$C$2:$CV$216,98,0)</f>
        <v>6931800</v>
      </c>
      <c r="C84" s="82">
        <f>VLOOKUP(A84,'Data shares'!$C$2:$CX$216,100,0)</f>
        <v>244500</v>
      </c>
      <c r="D84" s="141">
        <f>VLOOKUP(A84,'Data shares'!$C$2:$CY$539,101,0)</f>
        <v>3.6600000000000001E-2</v>
      </c>
      <c r="E84" s="86">
        <f>VLOOKUP($A84,'Data shares'!$C:$FA,74)</f>
        <v>5506200</v>
      </c>
      <c r="F84" s="86">
        <f>VLOOKUP($A84,'Data shares'!$C:$FA,76)</f>
        <v>105000</v>
      </c>
      <c r="G84" s="87">
        <f>VLOOKUP(A84,'Data shares'!$C$2:$CA$216,77,0)</f>
        <v>1.9400000000000001E-2</v>
      </c>
      <c r="H84" s="86">
        <f>VLOOKUP($A84,'Data shares'!$C:$FA,90)</f>
        <v>840900</v>
      </c>
      <c r="I84" s="86">
        <f>VLOOKUP($A84,'Data shares'!$C:$FA,92)</f>
        <v>99900</v>
      </c>
      <c r="J84" s="87">
        <f>VLOOKUP($A84,'Data shares'!$C:$FA,93)</f>
        <v>0.1348</v>
      </c>
      <c r="K84" s="86">
        <f>VLOOKUP($A84,'Data shares'!$C:$FA,94)</f>
        <v>584700</v>
      </c>
      <c r="L84" s="86">
        <f>VLOOKUP($A84,'Data shares'!$C:$FA,96)</f>
        <v>39600</v>
      </c>
      <c r="M84" s="87">
        <f>VLOOKUP($A84,'Data shares'!$C:$FA,97)</f>
        <v>7.2599999999999998E-2</v>
      </c>
      <c r="N84" s="86">
        <f>VLOOKUP($A84,'Data shares'!$C:$FA,78)</f>
        <v>5415300</v>
      </c>
      <c r="O84" s="87">
        <f>VLOOKUP($A84,'Data shares'!$C:$FA,81)</f>
        <v>2.2700000000000001E-2</v>
      </c>
    </row>
    <row r="85" spans="1:15" x14ac:dyDescent="0.25">
      <c r="A85" s="100" t="str">
        <f>'Data Vlaue (Cr)'!C80</f>
        <v>HDFCBANK</v>
      </c>
      <c r="B85" s="82">
        <f>VLOOKUP(A85,'Data shares'!$C$2:$CV$216,98,0)</f>
        <v>441155500</v>
      </c>
      <c r="C85" s="82">
        <f>VLOOKUP(A85,'Data shares'!$C$2:$CX$216,100,0)</f>
        <v>8810150</v>
      </c>
      <c r="D85" s="141">
        <f>VLOOKUP(A85,'Data shares'!$C$2:$CY$539,101,0)</f>
        <v>2.0400000000000001E-2</v>
      </c>
      <c r="E85" s="86">
        <f>VLOOKUP($A85,'Data shares'!$C:$FA,74)</f>
        <v>337910550</v>
      </c>
      <c r="F85" s="86">
        <f>VLOOKUP($A85,'Data shares'!$C:$FA,76)</f>
        <v>1812400</v>
      </c>
      <c r="G85" s="87">
        <f>VLOOKUP(A85,'Data shares'!$C$2:$CA$216,77,0)</f>
        <v>5.4000000000000003E-3</v>
      </c>
      <c r="H85" s="86">
        <f>VLOOKUP($A85,'Data shares'!$C:$FA,90)</f>
        <v>66805150</v>
      </c>
      <c r="I85" s="86">
        <f>VLOOKUP($A85,'Data shares'!$C:$FA,92)</f>
        <v>4819250</v>
      </c>
      <c r="J85" s="87">
        <f>VLOOKUP($A85,'Data shares'!$C:$FA,93)</f>
        <v>7.7700000000000005E-2</v>
      </c>
      <c r="K85" s="86">
        <f>VLOOKUP($A85,'Data shares'!$C:$FA,94)</f>
        <v>36439800</v>
      </c>
      <c r="L85" s="86">
        <f>VLOOKUP($A85,'Data shares'!$C:$FA,96)</f>
        <v>2178500</v>
      </c>
      <c r="M85" s="87">
        <f>VLOOKUP($A85,'Data shares'!$C:$FA,97)</f>
        <v>6.3600000000000004E-2</v>
      </c>
      <c r="N85" s="86">
        <f>VLOOKUP($A85,'Data shares'!$C:$FA,78)</f>
        <v>257071100</v>
      </c>
      <c r="O85" s="87">
        <f>VLOOKUP($A85,'Data shares'!$C:$FA,81)</f>
        <v>-1.6000000000000001E-3</v>
      </c>
    </row>
    <row r="86" spans="1:15" x14ac:dyDescent="0.25">
      <c r="A86" s="100" t="str">
        <f>'Data Vlaue (Cr)'!C81</f>
        <v>HDFCLIFE</v>
      </c>
      <c r="B86" s="82">
        <f>VLOOKUP(A86,'Data shares'!$C$2:$CV$216,98,0)</f>
        <v>66485100</v>
      </c>
      <c r="C86" s="82">
        <f>VLOOKUP(A86,'Data shares'!$C$2:$CX$216,100,0)</f>
        <v>2697200</v>
      </c>
      <c r="D86" s="141">
        <f>VLOOKUP(A86,'Data shares'!$C$2:$CY$539,101,0)</f>
        <v>4.2299999999999997E-2</v>
      </c>
      <c r="E86" s="86">
        <f>VLOOKUP($A86,'Data shares'!$C:$FA,74)</f>
        <v>44347600</v>
      </c>
      <c r="F86" s="86">
        <f>VLOOKUP($A86,'Data shares'!$C:$FA,76)</f>
        <v>785400</v>
      </c>
      <c r="G86" s="87">
        <f>VLOOKUP(A86,'Data shares'!$C$2:$CA$216,77,0)</f>
        <v>1.7999999999999999E-2</v>
      </c>
      <c r="H86" s="86">
        <f>VLOOKUP($A86,'Data shares'!$C:$FA,90)</f>
        <v>13722500</v>
      </c>
      <c r="I86" s="86">
        <f>VLOOKUP($A86,'Data shares'!$C:$FA,92)</f>
        <v>1281500</v>
      </c>
      <c r="J86" s="87">
        <f>VLOOKUP($A86,'Data shares'!$C:$FA,93)</f>
        <v>0.10299999999999999</v>
      </c>
      <c r="K86" s="86">
        <f>VLOOKUP($A86,'Data shares'!$C:$FA,94)</f>
        <v>8415000</v>
      </c>
      <c r="L86" s="86">
        <f>VLOOKUP($A86,'Data shares'!$C:$FA,96)</f>
        <v>630300</v>
      </c>
      <c r="M86" s="87">
        <f>VLOOKUP($A86,'Data shares'!$C:$FA,97)</f>
        <v>8.1000000000000003E-2</v>
      </c>
      <c r="N86" s="86">
        <f>VLOOKUP($A86,'Data shares'!$C:$FA,78)</f>
        <v>40036700</v>
      </c>
      <c r="O86" s="87">
        <f>VLOOKUP($A86,'Data shares'!$C:$FA,81)</f>
        <v>1.43E-2</v>
      </c>
    </row>
    <row r="87" spans="1:15" x14ac:dyDescent="0.25">
      <c r="A87" s="100" t="str">
        <f>'Data Vlaue (Cr)'!C82</f>
        <v>HEROMOTOCO</v>
      </c>
      <c r="B87" s="82">
        <f>VLOOKUP(A87,'Data shares'!$C$2:$CV$216,98,0)</f>
        <v>6867150</v>
      </c>
      <c r="C87" s="82">
        <f>VLOOKUP(A87,'Data shares'!$C$2:$CX$216,100,0)</f>
        <v>638850</v>
      </c>
      <c r="D87" s="141">
        <f>VLOOKUP(A87,'Data shares'!$C$2:$CY$539,101,0)</f>
        <v>0.1026</v>
      </c>
      <c r="E87" s="86">
        <f>VLOOKUP($A87,'Data shares'!$C:$FA,74)</f>
        <v>4463850</v>
      </c>
      <c r="F87" s="86">
        <f>VLOOKUP($A87,'Data shares'!$C:$FA,76)</f>
        <v>140700</v>
      </c>
      <c r="G87" s="87">
        <f>VLOOKUP(A87,'Data shares'!$C$2:$CA$216,77,0)</f>
        <v>3.2500000000000001E-2</v>
      </c>
      <c r="H87" s="86">
        <f>VLOOKUP($A87,'Data shares'!$C:$FA,90)</f>
        <v>1510500</v>
      </c>
      <c r="I87" s="86">
        <f>VLOOKUP($A87,'Data shares'!$C:$FA,92)</f>
        <v>352650</v>
      </c>
      <c r="J87" s="87">
        <f>VLOOKUP($A87,'Data shares'!$C:$FA,93)</f>
        <v>0.30459999999999998</v>
      </c>
      <c r="K87" s="86">
        <f>VLOOKUP($A87,'Data shares'!$C:$FA,94)</f>
        <v>892800</v>
      </c>
      <c r="L87" s="86">
        <f>VLOOKUP($A87,'Data shares'!$C:$FA,96)</f>
        <v>145500</v>
      </c>
      <c r="M87" s="87">
        <f>VLOOKUP($A87,'Data shares'!$C:$FA,97)</f>
        <v>0.19470000000000001</v>
      </c>
      <c r="N87" s="86">
        <f>VLOOKUP($A87,'Data shares'!$C:$FA,78)</f>
        <v>4164000</v>
      </c>
      <c r="O87" s="87">
        <f>VLOOKUP($A87,'Data shares'!$C:$FA,81)</f>
        <v>2.9000000000000001E-2</v>
      </c>
    </row>
    <row r="88" spans="1:15" x14ac:dyDescent="0.25">
      <c r="A88" s="100" t="str">
        <f>'Data Vlaue (Cr)'!C83</f>
        <v>HINDALCO</v>
      </c>
      <c r="B88" s="82">
        <f>VLOOKUP(A88,'Data shares'!$C$2:$CV$216,98,0)</f>
        <v>45077900</v>
      </c>
      <c r="C88" s="82">
        <f>VLOOKUP(A88,'Data shares'!$C$2:$CX$216,100,0)</f>
        <v>1596700</v>
      </c>
      <c r="D88" s="141">
        <f>VLOOKUP(A88,'Data shares'!$C$2:$CY$539,101,0)</f>
        <v>3.6700000000000003E-2</v>
      </c>
      <c r="E88" s="86">
        <f>VLOOKUP($A88,'Data shares'!$C:$FA,74)</f>
        <v>34076000</v>
      </c>
      <c r="F88" s="86">
        <f>VLOOKUP($A88,'Data shares'!$C:$FA,76)</f>
        <v>137200</v>
      </c>
      <c r="G88" s="87">
        <f>VLOOKUP(A88,'Data shares'!$C$2:$CA$216,77,0)</f>
        <v>4.0000000000000001E-3</v>
      </c>
      <c r="H88" s="86">
        <f>VLOOKUP($A88,'Data shares'!$C:$FA,90)</f>
        <v>6256600</v>
      </c>
      <c r="I88" s="86">
        <f>VLOOKUP($A88,'Data shares'!$C:$FA,92)</f>
        <v>822500</v>
      </c>
      <c r="J88" s="87">
        <f>VLOOKUP($A88,'Data shares'!$C:$FA,93)</f>
        <v>0.15140000000000001</v>
      </c>
      <c r="K88" s="86">
        <f>VLOOKUP($A88,'Data shares'!$C:$FA,94)</f>
        <v>4745300</v>
      </c>
      <c r="L88" s="86">
        <f>VLOOKUP($A88,'Data shares'!$C:$FA,96)</f>
        <v>637000</v>
      </c>
      <c r="M88" s="87">
        <f>VLOOKUP($A88,'Data shares'!$C:$FA,97)</f>
        <v>0.15509999999999999</v>
      </c>
      <c r="N88" s="86">
        <f>VLOOKUP($A88,'Data shares'!$C:$FA,78)</f>
        <v>30849000</v>
      </c>
      <c r="O88" s="87">
        <f>VLOOKUP($A88,'Data shares'!$C:$FA,81)</f>
        <v>-3.3E-3</v>
      </c>
    </row>
    <row r="89" spans="1:15" x14ac:dyDescent="0.25">
      <c r="A89" s="100" t="str">
        <f>'Data Vlaue (Cr)'!C84</f>
        <v>HINDPETRO</v>
      </c>
      <c r="B89" s="82">
        <f>VLOOKUP(A89,'Data shares'!$C$2:$CV$216,98,0)</f>
        <v>58763475</v>
      </c>
      <c r="C89" s="82">
        <f>VLOOKUP(A89,'Data shares'!$C$2:$CX$216,100,0)</f>
        <v>5356125</v>
      </c>
      <c r="D89" s="141">
        <f>VLOOKUP(A89,'Data shares'!$C$2:$CY$539,101,0)</f>
        <v>0.1003</v>
      </c>
      <c r="E89" s="86">
        <f>VLOOKUP($A89,'Data shares'!$C:$FA,74)</f>
        <v>37586025</v>
      </c>
      <c r="F89" s="86">
        <f>VLOOKUP($A89,'Data shares'!$C:$FA,76)</f>
        <v>1759725</v>
      </c>
      <c r="G89" s="87">
        <f>VLOOKUP(A89,'Data shares'!$C$2:$CA$216,77,0)</f>
        <v>4.9099999999999998E-2</v>
      </c>
      <c r="H89" s="86">
        <f>VLOOKUP($A89,'Data shares'!$C:$FA,90)</f>
        <v>9851625</v>
      </c>
      <c r="I89" s="86">
        <f>VLOOKUP($A89,'Data shares'!$C:$FA,92)</f>
        <v>1269675</v>
      </c>
      <c r="J89" s="87">
        <f>VLOOKUP($A89,'Data shares'!$C:$FA,93)</f>
        <v>0.1479</v>
      </c>
      <c r="K89" s="86">
        <f>VLOOKUP($A89,'Data shares'!$C:$FA,94)</f>
        <v>11325825</v>
      </c>
      <c r="L89" s="86">
        <f>VLOOKUP($A89,'Data shares'!$C:$FA,96)</f>
        <v>2326725</v>
      </c>
      <c r="M89" s="87">
        <f>VLOOKUP($A89,'Data shares'!$C:$FA,97)</f>
        <v>0.2586</v>
      </c>
      <c r="N89" s="86">
        <f>VLOOKUP($A89,'Data shares'!$C:$FA,78)</f>
        <v>36283950</v>
      </c>
      <c r="O89" s="87">
        <f>VLOOKUP($A89,'Data shares'!$C:$FA,81)</f>
        <v>4.7899999999999998E-2</v>
      </c>
    </row>
    <row r="90" spans="1:15" x14ac:dyDescent="0.25">
      <c r="A90" s="100" t="str">
        <f>'Data Vlaue (Cr)'!C85</f>
        <v>HINDUNILVR</v>
      </c>
      <c r="B90" s="82">
        <f>VLOOKUP(A90,'Data shares'!$C$2:$CV$216,98,0)</f>
        <v>26374200</v>
      </c>
      <c r="C90" s="82">
        <f>VLOOKUP(A90,'Data shares'!$C$2:$CX$216,100,0)</f>
        <v>-607500</v>
      </c>
      <c r="D90" s="141">
        <f>VLOOKUP(A90,'Data shares'!$C$2:$CY$539,101,0)</f>
        <v>-2.2499999999999999E-2</v>
      </c>
      <c r="E90" s="86">
        <f>VLOOKUP($A90,'Data shares'!$C:$FA,74)</f>
        <v>15099900</v>
      </c>
      <c r="F90" s="86">
        <f>VLOOKUP($A90,'Data shares'!$C:$FA,76)</f>
        <v>-816300</v>
      </c>
      <c r="G90" s="87">
        <f>VLOOKUP(A90,'Data shares'!$C$2:$CA$216,77,0)</f>
        <v>-5.1299999999999998E-2</v>
      </c>
      <c r="H90" s="86">
        <f>VLOOKUP($A90,'Data shares'!$C:$FA,90)</f>
        <v>7050900</v>
      </c>
      <c r="I90" s="86">
        <f>VLOOKUP($A90,'Data shares'!$C:$FA,92)</f>
        <v>-143400</v>
      </c>
      <c r="J90" s="87">
        <f>VLOOKUP($A90,'Data shares'!$C:$FA,93)</f>
        <v>-1.9900000000000001E-2</v>
      </c>
      <c r="K90" s="86">
        <f>VLOOKUP($A90,'Data shares'!$C:$FA,94)</f>
        <v>4223400</v>
      </c>
      <c r="L90" s="86">
        <f>VLOOKUP($A90,'Data shares'!$C:$FA,96)</f>
        <v>352200</v>
      </c>
      <c r="M90" s="87">
        <f>VLOOKUP($A90,'Data shares'!$C:$FA,97)</f>
        <v>9.0999999999999998E-2</v>
      </c>
      <c r="N90" s="86">
        <f>VLOOKUP($A90,'Data shares'!$C:$FA,78)</f>
        <v>14460600</v>
      </c>
      <c r="O90" s="87">
        <f>VLOOKUP($A90,'Data shares'!$C:$FA,81)</f>
        <v>-5.4300000000000001E-2</v>
      </c>
    </row>
    <row r="91" spans="1:15" x14ac:dyDescent="0.25">
      <c r="A91" s="100" t="str">
        <f>'Data Vlaue (Cr)'!C86</f>
        <v>HINDZINC</v>
      </c>
      <c r="B91" s="82">
        <f>VLOOKUP(A91,'Data shares'!$C$2:$CV$216,98,0)</f>
        <v>61272050</v>
      </c>
      <c r="C91" s="82">
        <f>VLOOKUP(A91,'Data shares'!$C$2:$CX$216,100,0)</f>
        <v>542675</v>
      </c>
      <c r="D91" s="141">
        <f>VLOOKUP(A91,'Data shares'!$C$2:$CY$539,101,0)</f>
        <v>8.8999999999999999E-3</v>
      </c>
      <c r="E91" s="86">
        <f>VLOOKUP($A91,'Data shares'!$C:$FA,74)</f>
        <v>34718950</v>
      </c>
      <c r="F91" s="86">
        <f>VLOOKUP($A91,'Data shares'!$C:$FA,76)</f>
        <v>18375</v>
      </c>
      <c r="G91" s="87">
        <f>VLOOKUP(A91,'Data shares'!$C$2:$CA$216,77,0)</f>
        <v>5.0000000000000001E-4</v>
      </c>
      <c r="H91" s="86">
        <f>VLOOKUP($A91,'Data shares'!$C:$FA,90)</f>
        <v>16277800</v>
      </c>
      <c r="I91" s="86">
        <f>VLOOKUP($A91,'Data shares'!$C:$FA,92)</f>
        <v>303800</v>
      </c>
      <c r="J91" s="87">
        <f>VLOOKUP($A91,'Data shares'!$C:$FA,93)</f>
        <v>1.9E-2</v>
      </c>
      <c r="K91" s="86">
        <f>VLOOKUP($A91,'Data shares'!$C:$FA,94)</f>
        <v>10275300</v>
      </c>
      <c r="L91" s="86">
        <f>VLOOKUP($A91,'Data shares'!$C:$FA,96)</f>
        <v>220500</v>
      </c>
      <c r="M91" s="87">
        <f>VLOOKUP($A91,'Data shares'!$C:$FA,97)</f>
        <v>2.1899999999999999E-2</v>
      </c>
      <c r="N91" s="86">
        <f>VLOOKUP($A91,'Data shares'!$C:$FA,78)</f>
        <v>33555200</v>
      </c>
      <c r="O91" s="87">
        <f>VLOOKUP($A91,'Data shares'!$C:$FA,81)</f>
        <v>-3.7000000000000002E-3</v>
      </c>
    </row>
    <row r="92" spans="1:15" x14ac:dyDescent="0.25">
      <c r="A92" s="100" t="str">
        <f>'Data Vlaue (Cr)'!C87</f>
        <v>HYUNDAI</v>
      </c>
      <c r="B92" s="82">
        <f>VLOOKUP(A92,'Data shares'!$C$2:$CV$216,98,0)</f>
        <v>9809250</v>
      </c>
      <c r="C92" s="82">
        <f>VLOOKUP(A92,'Data shares'!$C$2:$CX$216,100,0)</f>
        <v>94875</v>
      </c>
      <c r="D92" s="141">
        <f>VLOOKUP(A92,'Data shares'!$C$2:$CY$539,101,0)</f>
        <v>9.7999999999999997E-3</v>
      </c>
      <c r="E92" s="86">
        <f>VLOOKUP($A92,'Data shares'!$C:$FA,74)</f>
        <v>8262650</v>
      </c>
      <c r="F92" s="86">
        <f>VLOOKUP($A92,'Data shares'!$C:$FA,76)</f>
        <v>275</v>
      </c>
      <c r="G92" s="87">
        <f>VLOOKUP(A92,'Data shares'!$C$2:$CA$216,77,0)</f>
        <v>0</v>
      </c>
      <c r="H92" s="86">
        <f>VLOOKUP($A92,'Data shares'!$C:$FA,90)</f>
        <v>891275</v>
      </c>
      <c r="I92" s="86">
        <f>VLOOKUP($A92,'Data shares'!$C:$FA,92)</f>
        <v>161425</v>
      </c>
      <c r="J92" s="87">
        <f>VLOOKUP($A92,'Data shares'!$C:$FA,93)</f>
        <v>0.22120000000000001</v>
      </c>
      <c r="K92" s="86">
        <f>VLOOKUP($A92,'Data shares'!$C:$FA,94)</f>
        <v>655325</v>
      </c>
      <c r="L92" s="86">
        <f>VLOOKUP($A92,'Data shares'!$C:$FA,96)</f>
        <v>-66825</v>
      </c>
      <c r="M92" s="87">
        <f>VLOOKUP($A92,'Data shares'!$C:$FA,97)</f>
        <v>-9.2499999999999999E-2</v>
      </c>
      <c r="N92" s="86">
        <f>VLOOKUP($A92,'Data shares'!$C:$FA,78)</f>
        <v>7734650</v>
      </c>
      <c r="O92" s="87">
        <f>VLOOKUP($A92,'Data shares'!$C:$FA,81)</f>
        <v>-1.9E-3</v>
      </c>
    </row>
    <row r="93" spans="1:15" x14ac:dyDescent="0.25">
      <c r="A93" s="100" t="str">
        <f>'Data Vlaue (Cr)'!C88</f>
        <v>ICICIBANK</v>
      </c>
      <c r="B93" s="82">
        <f>VLOOKUP(A93,'Data shares'!$C$2:$CV$216,98,0)</f>
        <v>189903000</v>
      </c>
      <c r="C93" s="82">
        <f>VLOOKUP(A93,'Data shares'!$C$2:$CX$216,100,0)</f>
        <v>7716800</v>
      </c>
      <c r="D93" s="141">
        <f>VLOOKUP(A93,'Data shares'!$C$2:$CY$539,101,0)</f>
        <v>4.24E-2</v>
      </c>
      <c r="E93" s="86">
        <f>VLOOKUP($A93,'Data shares'!$C:$FA,74)</f>
        <v>138693100</v>
      </c>
      <c r="F93" s="86">
        <f>VLOOKUP($A93,'Data shares'!$C:$FA,76)</f>
        <v>4271400</v>
      </c>
      <c r="G93" s="87">
        <f>VLOOKUP(A93,'Data shares'!$C$2:$CA$216,77,0)</f>
        <v>3.1800000000000002E-2</v>
      </c>
      <c r="H93" s="86">
        <f>VLOOKUP($A93,'Data shares'!$C:$FA,90)</f>
        <v>32101300</v>
      </c>
      <c r="I93" s="86">
        <f>VLOOKUP($A93,'Data shares'!$C:$FA,92)</f>
        <v>3077200</v>
      </c>
      <c r="J93" s="87">
        <f>VLOOKUP($A93,'Data shares'!$C:$FA,93)</f>
        <v>0.106</v>
      </c>
      <c r="K93" s="86">
        <f>VLOOKUP($A93,'Data shares'!$C:$FA,94)</f>
        <v>19108600</v>
      </c>
      <c r="L93" s="86">
        <f>VLOOKUP($A93,'Data shares'!$C:$FA,96)</f>
        <v>368200</v>
      </c>
      <c r="M93" s="87">
        <f>VLOOKUP($A93,'Data shares'!$C:$FA,97)</f>
        <v>1.9599999999999999E-2</v>
      </c>
      <c r="N93" s="86">
        <f>VLOOKUP($A93,'Data shares'!$C:$FA,78)</f>
        <v>112054600</v>
      </c>
      <c r="O93" s="87">
        <f>VLOOKUP($A93,'Data shares'!$C:$FA,81)</f>
        <v>2.92E-2</v>
      </c>
    </row>
    <row r="94" spans="1:15" x14ac:dyDescent="0.25">
      <c r="A94" s="100" t="str">
        <f>'Data Vlaue (Cr)'!C89</f>
        <v>ICICIGI</v>
      </c>
      <c r="B94" s="82">
        <f>VLOOKUP(A94,'Data shares'!$C$2:$CV$216,98,0)</f>
        <v>6164925</v>
      </c>
      <c r="C94" s="82">
        <f>VLOOKUP(A94,'Data shares'!$C$2:$CX$216,100,0)</f>
        <v>153400</v>
      </c>
      <c r="D94" s="141">
        <f>VLOOKUP(A94,'Data shares'!$C$2:$CY$539,101,0)</f>
        <v>2.5499999999999998E-2</v>
      </c>
      <c r="E94" s="86">
        <f>VLOOKUP($A94,'Data shares'!$C:$FA,74)</f>
        <v>5332600</v>
      </c>
      <c r="F94" s="86">
        <f>VLOOKUP($A94,'Data shares'!$C:$FA,76)</f>
        <v>14300</v>
      </c>
      <c r="G94" s="87">
        <f>VLOOKUP(A94,'Data shares'!$C$2:$CA$216,77,0)</f>
        <v>2.7000000000000001E-3</v>
      </c>
      <c r="H94" s="86">
        <f>VLOOKUP($A94,'Data shares'!$C:$FA,90)</f>
        <v>516425</v>
      </c>
      <c r="I94" s="86">
        <f>VLOOKUP($A94,'Data shares'!$C:$FA,92)</f>
        <v>87750</v>
      </c>
      <c r="J94" s="87">
        <f>VLOOKUP($A94,'Data shares'!$C:$FA,93)</f>
        <v>0.20469999999999999</v>
      </c>
      <c r="K94" s="86">
        <f>VLOOKUP($A94,'Data shares'!$C:$FA,94)</f>
        <v>315900</v>
      </c>
      <c r="L94" s="86">
        <f>VLOOKUP($A94,'Data shares'!$C:$FA,96)</f>
        <v>51350</v>
      </c>
      <c r="M94" s="87">
        <f>VLOOKUP($A94,'Data shares'!$C:$FA,97)</f>
        <v>0.19409999999999999</v>
      </c>
      <c r="N94" s="86">
        <f>VLOOKUP($A94,'Data shares'!$C:$FA,78)</f>
        <v>5029375</v>
      </c>
      <c r="O94" s="87">
        <f>VLOOKUP($A94,'Data shares'!$C:$FA,81)</f>
        <v>1.4E-3</v>
      </c>
    </row>
    <row r="95" spans="1:15" x14ac:dyDescent="0.25">
      <c r="A95" s="100" t="str">
        <f>'Data Vlaue (Cr)'!C90</f>
        <v>ICICIPRULI</v>
      </c>
      <c r="B95" s="82">
        <f>VLOOKUP(A95,'Data shares'!$C$2:$CV$216,98,0)</f>
        <v>26062800</v>
      </c>
      <c r="C95" s="82">
        <f>VLOOKUP(A95,'Data shares'!$C$2:$CX$216,100,0)</f>
        <v>504125</v>
      </c>
      <c r="D95" s="141">
        <f>VLOOKUP(A95,'Data shares'!$C$2:$CY$539,101,0)</f>
        <v>1.9699999999999999E-2</v>
      </c>
      <c r="E95" s="86">
        <f>VLOOKUP($A95,'Data shares'!$C:$FA,74)</f>
        <v>20643225</v>
      </c>
      <c r="F95" s="86">
        <f>VLOOKUP($A95,'Data shares'!$C:$FA,76)</f>
        <v>402375</v>
      </c>
      <c r="G95" s="87">
        <f>VLOOKUP(A95,'Data shares'!$C$2:$CA$216,77,0)</f>
        <v>1.9900000000000001E-2</v>
      </c>
      <c r="H95" s="86">
        <f>VLOOKUP($A95,'Data shares'!$C:$FA,90)</f>
        <v>3279125</v>
      </c>
      <c r="I95" s="86">
        <f>VLOOKUP($A95,'Data shares'!$C:$FA,92)</f>
        <v>112850</v>
      </c>
      <c r="J95" s="87">
        <f>VLOOKUP($A95,'Data shares'!$C:$FA,93)</f>
        <v>3.56E-2</v>
      </c>
      <c r="K95" s="86">
        <f>VLOOKUP($A95,'Data shares'!$C:$FA,94)</f>
        <v>2140450</v>
      </c>
      <c r="L95" s="86">
        <f>VLOOKUP($A95,'Data shares'!$C:$FA,96)</f>
        <v>-11100</v>
      </c>
      <c r="M95" s="87">
        <f>VLOOKUP($A95,'Data shares'!$C:$FA,97)</f>
        <v>-5.1999999999999998E-3</v>
      </c>
      <c r="N95" s="86">
        <f>VLOOKUP($A95,'Data shares'!$C:$FA,78)</f>
        <v>20418450</v>
      </c>
      <c r="O95" s="87">
        <f>VLOOKUP($A95,'Data shares'!$C:$FA,81)</f>
        <v>1.77E-2</v>
      </c>
    </row>
    <row r="96" spans="1:15" x14ac:dyDescent="0.25">
      <c r="A96" s="100" t="str">
        <f>'Data Vlaue (Cr)'!C91</f>
        <v>IDEA</v>
      </c>
      <c r="B96" s="82">
        <f>VLOOKUP(A96,'Data shares'!$C$2:$CV$216,98,0)</f>
        <v>9127643400</v>
      </c>
      <c r="C96" s="82">
        <f>VLOOKUP(A96,'Data shares'!$C$2:$CX$216,100,0)</f>
        <v>596244450</v>
      </c>
      <c r="D96" s="141">
        <f>VLOOKUP(A96,'Data shares'!$C$2:$CY$539,101,0)</f>
        <v>6.9900000000000004E-2</v>
      </c>
      <c r="E96" s="86">
        <f>VLOOKUP($A96,'Data shares'!$C:$FA,74)</f>
        <v>6763393350</v>
      </c>
      <c r="F96" s="86">
        <f>VLOOKUP($A96,'Data shares'!$C:$FA,76)</f>
        <v>230292450</v>
      </c>
      <c r="G96" s="87">
        <f>VLOOKUP(A96,'Data shares'!$C$2:$CA$216,77,0)</f>
        <v>3.5299999999999998E-2</v>
      </c>
      <c r="H96" s="86">
        <f>VLOOKUP($A96,'Data shares'!$C:$FA,90)</f>
        <v>1592391525</v>
      </c>
      <c r="I96" s="86">
        <f>VLOOKUP($A96,'Data shares'!$C:$FA,92)</f>
        <v>267816825</v>
      </c>
      <c r="J96" s="87">
        <f>VLOOKUP($A96,'Data shares'!$C:$FA,93)</f>
        <v>0.20219999999999999</v>
      </c>
      <c r="K96" s="86">
        <f>VLOOKUP($A96,'Data shares'!$C:$FA,94)</f>
        <v>771858525</v>
      </c>
      <c r="L96" s="86">
        <f>VLOOKUP($A96,'Data shares'!$C:$FA,96)</f>
        <v>98135175</v>
      </c>
      <c r="M96" s="87">
        <f>VLOOKUP($A96,'Data shares'!$C:$FA,97)</f>
        <v>0.1457</v>
      </c>
      <c r="N96" s="86">
        <f>VLOOKUP($A96,'Data shares'!$C:$FA,78)</f>
        <v>6572841000</v>
      </c>
      <c r="O96" s="87">
        <f>VLOOKUP($A96,'Data shares'!$C:$FA,81)</f>
        <v>2.9100000000000001E-2</v>
      </c>
    </row>
    <row r="97" spans="1:15" x14ac:dyDescent="0.25">
      <c r="A97" s="100" t="str">
        <f>'Data Vlaue (Cr)'!C92</f>
        <v>IDFCFIRSTB</v>
      </c>
      <c r="B97" s="82">
        <f>VLOOKUP(A97,'Data shares'!$C$2:$CV$216,98,0)</f>
        <v>572870375</v>
      </c>
      <c r="C97" s="82">
        <f>VLOOKUP(A97,'Data shares'!$C$2:$CX$216,100,0)</f>
        <v>12122425</v>
      </c>
      <c r="D97" s="141">
        <f>VLOOKUP(A97,'Data shares'!$C$2:$CY$539,101,0)</f>
        <v>2.1600000000000001E-2</v>
      </c>
      <c r="E97" s="86">
        <f>VLOOKUP($A97,'Data shares'!$C:$FA,74)</f>
        <v>407218875</v>
      </c>
      <c r="F97" s="86">
        <f>VLOOKUP($A97,'Data shares'!$C:$FA,76)</f>
        <v>6696550</v>
      </c>
      <c r="G97" s="87">
        <f>VLOOKUP(A97,'Data shares'!$C$2:$CA$216,77,0)</f>
        <v>1.67E-2</v>
      </c>
      <c r="H97" s="86">
        <f>VLOOKUP($A97,'Data shares'!$C:$FA,90)</f>
        <v>86016350</v>
      </c>
      <c r="I97" s="86">
        <f>VLOOKUP($A97,'Data shares'!$C:$FA,92)</f>
        <v>2708300</v>
      </c>
      <c r="J97" s="87">
        <f>VLOOKUP($A97,'Data shares'!$C:$FA,93)</f>
        <v>3.2500000000000001E-2</v>
      </c>
      <c r="K97" s="86">
        <f>VLOOKUP($A97,'Data shares'!$C:$FA,94)</f>
        <v>79635150</v>
      </c>
      <c r="L97" s="86">
        <f>VLOOKUP($A97,'Data shares'!$C:$FA,96)</f>
        <v>2717575</v>
      </c>
      <c r="M97" s="87">
        <f>VLOOKUP($A97,'Data shares'!$C:$FA,97)</f>
        <v>3.5299999999999998E-2</v>
      </c>
      <c r="N97" s="86">
        <f>VLOOKUP($A97,'Data shares'!$C:$FA,78)</f>
        <v>364507500</v>
      </c>
      <c r="O97" s="87">
        <f>VLOOKUP($A97,'Data shares'!$C:$FA,81)</f>
        <v>1.4200000000000001E-2</v>
      </c>
    </row>
    <row r="98" spans="1:15" x14ac:dyDescent="0.25">
      <c r="A98" s="100" t="str">
        <f>'Data Vlaue (Cr)'!C93</f>
        <v>IEX</v>
      </c>
      <c r="B98" s="82">
        <f>VLOOKUP(A98,'Data shares'!$C$2:$CV$216,98,0)</f>
        <v>141104250</v>
      </c>
      <c r="C98" s="82">
        <f>VLOOKUP(A98,'Data shares'!$C$2:$CX$216,100,0)</f>
        <v>5472900</v>
      </c>
      <c r="D98" s="141">
        <f>VLOOKUP(A98,'Data shares'!$C$2:$CY$539,101,0)</f>
        <v>4.0399999999999998E-2</v>
      </c>
      <c r="E98" s="86">
        <f>VLOOKUP($A98,'Data shares'!$C:$FA,74)</f>
        <v>71399250</v>
      </c>
      <c r="F98" s="86">
        <f>VLOOKUP($A98,'Data shares'!$C:$FA,76)</f>
        <v>-133350</v>
      </c>
      <c r="G98" s="87">
        <f>VLOOKUP(A98,'Data shares'!$C$2:$CA$216,77,0)</f>
        <v>-1.9E-3</v>
      </c>
      <c r="H98" s="86">
        <f>VLOOKUP($A98,'Data shares'!$C:$FA,90)</f>
        <v>43470000</v>
      </c>
      <c r="I98" s="86">
        <f>VLOOKUP($A98,'Data shares'!$C:$FA,92)</f>
        <v>3697500</v>
      </c>
      <c r="J98" s="87">
        <f>VLOOKUP($A98,'Data shares'!$C:$FA,93)</f>
        <v>9.2999999999999999E-2</v>
      </c>
      <c r="K98" s="86">
        <f>VLOOKUP($A98,'Data shares'!$C:$FA,94)</f>
        <v>26235000</v>
      </c>
      <c r="L98" s="86">
        <f>VLOOKUP($A98,'Data shares'!$C:$FA,96)</f>
        <v>1908750</v>
      </c>
      <c r="M98" s="87">
        <f>VLOOKUP($A98,'Data shares'!$C:$FA,97)</f>
        <v>7.85E-2</v>
      </c>
      <c r="N98" s="86">
        <f>VLOOKUP($A98,'Data shares'!$C:$FA,78)</f>
        <v>68137500</v>
      </c>
      <c r="O98" s="87">
        <f>VLOOKUP($A98,'Data shares'!$C:$FA,81)</f>
        <v>-1E-3</v>
      </c>
    </row>
    <row r="99" spans="1:15" x14ac:dyDescent="0.25">
      <c r="A99" s="100" t="str">
        <f>'Data Vlaue (Cr)'!C94</f>
        <v>INDHOTEL</v>
      </c>
      <c r="B99" s="82">
        <f>VLOOKUP(A99,'Data shares'!$C$2:$CV$216,98,0)</f>
        <v>31054000</v>
      </c>
      <c r="C99" s="82">
        <f>VLOOKUP(A99,'Data shares'!$C$2:$CX$216,100,0)</f>
        <v>487000</v>
      </c>
      <c r="D99" s="141">
        <f>VLOOKUP(A99,'Data shares'!$C$2:$CY$539,101,0)</f>
        <v>1.5900000000000001E-2</v>
      </c>
      <c r="E99" s="86">
        <f>VLOOKUP($A99,'Data shares'!$C:$FA,74)</f>
        <v>21964000</v>
      </c>
      <c r="F99" s="86">
        <f>VLOOKUP($A99,'Data shares'!$C:$FA,76)</f>
        <v>-212000</v>
      </c>
      <c r="G99" s="87">
        <f>VLOOKUP(A99,'Data shares'!$C$2:$CA$216,77,0)</f>
        <v>-9.5999999999999992E-3</v>
      </c>
      <c r="H99" s="86">
        <f>VLOOKUP($A99,'Data shares'!$C:$FA,90)</f>
        <v>4078000</v>
      </c>
      <c r="I99" s="86">
        <f>VLOOKUP($A99,'Data shares'!$C:$FA,92)</f>
        <v>440000</v>
      </c>
      <c r="J99" s="87">
        <f>VLOOKUP($A99,'Data shares'!$C:$FA,93)</f>
        <v>0.12089999999999999</v>
      </c>
      <c r="K99" s="86">
        <f>VLOOKUP($A99,'Data shares'!$C:$FA,94)</f>
        <v>5012000</v>
      </c>
      <c r="L99" s="86">
        <f>VLOOKUP($A99,'Data shares'!$C:$FA,96)</f>
        <v>259000</v>
      </c>
      <c r="M99" s="87">
        <f>VLOOKUP($A99,'Data shares'!$C:$FA,97)</f>
        <v>5.45E-2</v>
      </c>
      <c r="N99" s="86">
        <f>VLOOKUP($A99,'Data shares'!$C:$FA,78)</f>
        <v>20194000</v>
      </c>
      <c r="O99" s="87">
        <f>VLOOKUP($A99,'Data shares'!$C:$FA,81)</f>
        <v>-1.2200000000000001E-2</v>
      </c>
    </row>
    <row r="100" spans="1:15" x14ac:dyDescent="0.25">
      <c r="A100" s="100" t="str">
        <f>'Data Vlaue (Cr)'!C95</f>
        <v>INDIANB</v>
      </c>
      <c r="B100" s="82">
        <f>VLOOKUP(A100,'Data shares'!$C$2:$CV$216,98,0)</f>
        <v>23402000</v>
      </c>
      <c r="C100" s="82">
        <f>VLOOKUP(A100,'Data shares'!$C$2:$CX$216,100,0)</f>
        <v>1539000</v>
      </c>
      <c r="D100" s="141">
        <f>VLOOKUP(A100,'Data shares'!$C$2:$CY$539,101,0)</f>
        <v>7.0400000000000004E-2</v>
      </c>
      <c r="E100" s="86">
        <f>VLOOKUP($A100,'Data shares'!$C:$FA,74)</f>
        <v>13023000</v>
      </c>
      <c r="F100" s="86">
        <f>VLOOKUP($A100,'Data shares'!$C:$FA,76)</f>
        <v>386000</v>
      </c>
      <c r="G100" s="87">
        <f>VLOOKUP(A100,'Data shares'!$C$2:$CA$216,77,0)</f>
        <v>3.0499999999999999E-2</v>
      </c>
      <c r="H100" s="86">
        <f>VLOOKUP($A100,'Data shares'!$C:$FA,90)</f>
        <v>6767000</v>
      </c>
      <c r="I100" s="86">
        <f>VLOOKUP($A100,'Data shares'!$C:$FA,92)</f>
        <v>946000</v>
      </c>
      <c r="J100" s="87">
        <f>VLOOKUP($A100,'Data shares'!$C:$FA,93)</f>
        <v>0.16250000000000001</v>
      </c>
      <c r="K100" s="86">
        <f>VLOOKUP($A100,'Data shares'!$C:$FA,94)</f>
        <v>3612000</v>
      </c>
      <c r="L100" s="86">
        <f>VLOOKUP($A100,'Data shares'!$C:$FA,96)</f>
        <v>207000</v>
      </c>
      <c r="M100" s="87">
        <f>VLOOKUP($A100,'Data shares'!$C:$FA,97)</f>
        <v>6.08E-2</v>
      </c>
      <c r="N100" s="86">
        <f>VLOOKUP($A100,'Data shares'!$C:$FA,78)</f>
        <v>12486000</v>
      </c>
      <c r="O100" s="87">
        <f>VLOOKUP($A100,'Data shares'!$C:$FA,81)</f>
        <v>2.5999999999999999E-2</v>
      </c>
    </row>
    <row r="101" spans="1:15" x14ac:dyDescent="0.25">
      <c r="A101" s="100" t="str">
        <f>'Data Vlaue (Cr)'!C96</f>
        <v>INDIAVIX</v>
      </c>
      <c r="B101" s="82">
        <f>VLOOKUP(A101,'Data shares'!$C$2:$CV$216,98,0)</f>
        <v>0</v>
      </c>
      <c r="C101" s="82">
        <f>VLOOKUP(A101,'Data shares'!$C$2:$CX$216,100,0)</f>
        <v>0</v>
      </c>
      <c r="D101" s="141">
        <f>VLOOKUP(A101,'Data shares'!$C$2:$CY$539,101,0)</f>
        <v>0</v>
      </c>
      <c r="E101" s="86">
        <f>VLOOKUP($A101,'Data shares'!$C:$FA,74)</f>
        <v>0</v>
      </c>
      <c r="F101" s="86">
        <f>VLOOKUP($A101,'Data shares'!$C:$FA,76)</f>
        <v>0</v>
      </c>
      <c r="G101" s="87">
        <f>VLOOKUP(A101,'Data shares'!$C$2:$CA$216,77,0)</f>
        <v>0</v>
      </c>
      <c r="H101" s="86">
        <f>VLOOKUP($A101,'Data shares'!$C:$FA,90)</f>
        <v>0</v>
      </c>
      <c r="I101" s="86">
        <f>VLOOKUP($A101,'Data shares'!$C:$FA,92)</f>
        <v>0</v>
      </c>
      <c r="J101" s="87">
        <f>VLOOKUP($A101,'Data shares'!$C:$FA,93)</f>
        <v>0</v>
      </c>
      <c r="K101" s="86">
        <f>VLOOKUP($A101,'Data shares'!$C:$FA,94)</f>
        <v>0</v>
      </c>
      <c r="L101" s="86">
        <f>VLOOKUP($A101,'Data shares'!$C:$FA,96)</f>
        <v>0</v>
      </c>
      <c r="M101" s="87">
        <f>VLOOKUP($A101,'Data shares'!$C:$FA,97)</f>
        <v>0</v>
      </c>
      <c r="N101" s="86">
        <f>VLOOKUP($A101,'Data shares'!$C:$FA,78)</f>
        <v>0</v>
      </c>
      <c r="O101" s="87">
        <f>VLOOKUP($A101,'Data shares'!$C:$FA,81)</f>
        <v>0</v>
      </c>
    </row>
    <row r="102" spans="1:15" x14ac:dyDescent="0.25">
      <c r="A102" s="100" t="str">
        <f>'Data Vlaue (Cr)'!C97</f>
        <v>INDIGO</v>
      </c>
      <c r="B102" s="82">
        <f>VLOOKUP(A102,'Data shares'!$C$2:$CV$216,98,0)</f>
        <v>12683250</v>
      </c>
      <c r="C102" s="82">
        <f>VLOOKUP(A102,'Data shares'!$C$2:$CX$216,100,0)</f>
        <v>1031250</v>
      </c>
      <c r="D102" s="141">
        <f>VLOOKUP(A102,'Data shares'!$C$2:$CY$539,101,0)</f>
        <v>8.8499999999999995E-2</v>
      </c>
      <c r="E102" s="86">
        <f>VLOOKUP($A102,'Data shares'!$C:$FA,74)</f>
        <v>7691550</v>
      </c>
      <c r="F102" s="86">
        <f>VLOOKUP($A102,'Data shares'!$C:$FA,76)</f>
        <v>292950</v>
      </c>
      <c r="G102" s="87">
        <f>VLOOKUP(A102,'Data shares'!$C$2:$CA$216,77,0)</f>
        <v>3.9600000000000003E-2</v>
      </c>
      <c r="H102" s="86">
        <f>VLOOKUP($A102,'Data shares'!$C:$FA,90)</f>
        <v>3055650</v>
      </c>
      <c r="I102" s="86">
        <f>VLOOKUP($A102,'Data shares'!$C:$FA,92)</f>
        <v>687300</v>
      </c>
      <c r="J102" s="87">
        <f>VLOOKUP($A102,'Data shares'!$C:$FA,93)</f>
        <v>0.29020000000000001</v>
      </c>
      <c r="K102" s="86">
        <f>VLOOKUP($A102,'Data shares'!$C:$FA,94)</f>
        <v>1936050</v>
      </c>
      <c r="L102" s="86">
        <f>VLOOKUP($A102,'Data shares'!$C:$FA,96)</f>
        <v>51000</v>
      </c>
      <c r="M102" s="87">
        <f>VLOOKUP($A102,'Data shares'!$C:$FA,97)</f>
        <v>2.7099999999999999E-2</v>
      </c>
      <c r="N102" s="86">
        <f>VLOOKUP($A102,'Data shares'!$C:$FA,78)</f>
        <v>7440600</v>
      </c>
      <c r="O102" s="87">
        <f>VLOOKUP($A102,'Data shares'!$C:$FA,81)</f>
        <v>3.61E-2</v>
      </c>
    </row>
    <row r="103" spans="1:15" x14ac:dyDescent="0.25">
      <c r="A103" s="100" t="str">
        <f>'Data Vlaue (Cr)'!C98</f>
        <v>INDUSINDBK</v>
      </c>
      <c r="B103" s="82">
        <f>VLOOKUP(A103,'Data shares'!$C$2:$CV$216,98,0)</f>
        <v>46923800</v>
      </c>
      <c r="C103" s="82">
        <f>VLOOKUP(A103,'Data shares'!$C$2:$CX$216,100,0)</f>
        <v>296800</v>
      </c>
      <c r="D103" s="141">
        <f>VLOOKUP(A103,'Data shares'!$C$2:$CY$539,101,0)</f>
        <v>6.4000000000000003E-3</v>
      </c>
      <c r="E103" s="86">
        <f>VLOOKUP($A103,'Data shares'!$C:$FA,74)</f>
        <v>35727300</v>
      </c>
      <c r="F103" s="86">
        <f>VLOOKUP($A103,'Data shares'!$C:$FA,76)</f>
        <v>-330400</v>
      </c>
      <c r="G103" s="87">
        <f>VLOOKUP(A103,'Data shares'!$C$2:$CA$216,77,0)</f>
        <v>-9.1999999999999998E-3</v>
      </c>
      <c r="H103" s="86">
        <f>VLOOKUP($A103,'Data shares'!$C:$FA,90)</f>
        <v>5770100</v>
      </c>
      <c r="I103" s="86">
        <f>VLOOKUP($A103,'Data shares'!$C:$FA,92)</f>
        <v>581700</v>
      </c>
      <c r="J103" s="87">
        <f>VLOOKUP($A103,'Data shares'!$C:$FA,93)</f>
        <v>0.11210000000000001</v>
      </c>
      <c r="K103" s="86">
        <f>VLOOKUP($A103,'Data shares'!$C:$FA,94)</f>
        <v>5426400</v>
      </c>
      <c r="L103" s="86">
        <f>VLOOKUP($A103,'Data shares'!$C:$FA,96)</f>
        <v>45500</v>
      </c>
      <c r="M103" s="87">
        <f>VLOOKUP($A103,'Data shares'!$C:$FA,97)</f>
        <v>8.5000000000000006E-3</v>
      </c>
      <c r="N103" s="86">
        <f>VLOOKUP($A103,'Data shares'!$C:$FA,78)</f>
        <v>34224400</v>
      </c>
      <c r="O103" s="87">
        <f>VLOOKUP($A103,'Data shares'!$C:$FA,81)</f>
        <v>-2.1499999999999998E-2</v>
      </c>
    </row>
    <row r="104" spans="1:15" x14ac:dyDescent="0.25">
      <c r="A104" s="100" t="str">
        <f>'Data Vlaue (Cr)'!C99</f>
        <v>INDUSTOWER</v>
      </c>
      <c r="B104" s="82">
        <f>VLOOKUP(A104,'Data shares'!$C$2:$CV$216,98,0)</f>
        <v>131187300</v>
      </c>
      <c r="C104" s="82">
        <f>VLOOKUP(A104,'Data shares'!$C$2:$CX$216,100,0)</f>
        <v>14013100</v>
      </c>
      <c r="D104" s="141">
        <f>VLOOKUP(A104,'Data shares'!$C$2:$CY$539,101,0)</f>
        <v>0.1196</v>
      </c>
      <c r="E104" s="86">
        <f>VLOOKUP($A104,'Data shares'!$C:$FA,74)</f>
        <v>80748300</v>
      </c>
      <c r="F104" s="86">
        <f>VLOOKUP($A104,'Data shares'!$C:$FA,76)</f>
        <v>4032400</v>
      </c>
      <c r="G104" s="87">
        <f>VLOOKUP(A104,'Data shares'!$C$2:$CA$216,77,0)</f>
        <v>5.2600000000000001E-2</v>
      </c>
      <c r="H104" s="86">
        <f>VLOOKUP($A104,'Data shares'!$C:$FA,90)</f>
        <v>29132900</v>
      </c>
      <c r="I104" s="86">
        <f>VLOOKUP($A104,'Data shares'!$C:$FA,92)</f>
        <v>6419200</v>
      </c>
      <c r="J104" s="87">
        <f>VLOOKUP($A104,'Data shares'!$C:$FA,93)</f>
        <v>0.28260000000000002</v>
      </c>
      <c r="K104" s="86">
        <f>VLOOKUP($A104,'Data shares'!$C:$FA,94)</f>
        <v>21306100</v>
      </c>
      <c r="L104" s="86">
        <f>VLOOKUP($A104,'Data shares'!$C:$FA,96)</f>
        <v>3561500</v>
      </c>
      <c r="M104" s="87">
        <f>VLOOKUP($A104,'Data shares'!$C:$FA,97)</f>
        <v>0.20069999999999999</v>
      </c>
      <c r="N104" s="86">
        <f>VLOOKUP($A104,'Data shares'!$C:$FA,78)</f>
        <v>77016800</v>
      </c>
      <c r="O104" s="87">
        <f>VLOOKUP($A104,'Data shares'!$C:$FA,81)</f>
        <v>5.1700000000000003E-2</v>
      </c>
    </row>
    <row r="105" spans="1:15" x14ac:dyDescent="0.25">
      <c r="A105" s="100" t="str">
        <f>'Data Vlaue (Cr)'!C100</f>
        <v>INFY</v>
      </c>
      <c r="B105" s="82">
        <f>VLOOKUP(A105,'Data shares'!$C$2:$CV$216,98,0)</f>
        <v>139034800</v>
      </c>
      <c r="C105" s="82">
        <f>VLOOKUP(A105,'Data shares'!$C$2:$CX$216,100,0)</f>
        <v>4812400</v>
      </c>
      <c r="D105" s="141">
        <f>VLOOKUP(A105,'Data shares'!$C$2:$CY$539,101,0)</f>
        <v>3.5900000000000001E-2</v>
      </c>
      <c r="E105" s="86">
        <f>VLOOKUP($A105,'Data shares'!$C:$FA,74)</f>
        <v>83433600</v>
      </c>
      <c r="F105" s="86">
        <f>VLOOKUP($A105,'Data shares'!$C:$FA,76)</f>
        <v>950800</v>
      </c>
      <c r="G105" s="87">
        <f>VLOOKUP(A105,'Data shares'!$C$2:$CA$216,77,0)</f>
        <v>1.15E-2</v>
      </c>
      <c r="H105" s="86">
        <f>VLOOKUP($A105,'Data shares'!$C:$FA,90)</f>
        <v>35053200</v>
      </c>
      <c r="I105" s="86">
        <f>VLOOKUP($A105,'Data shares'!$C:$FA,92)</f>
        <v>2997600</v>
      </c>
      <c r="J105" s="87">
        <f>VLOOKUP($A105,'Data shares'!$C:$FA,93)</f>
        <v>9.35E-2</v>
      </c>
      <c r="K105" s="86">
        <f>VLOOKUP($A105,'Data shares'!$C:$FA,94)</f>
        <v>20548000</v>
      </c>
      <c r="L105" s="86">
        <f>VLOOKUP($A105,'Data shares'!$C:$FA,96)</f>
        <v>864000</v>
      </c>
      <c r="M105" s="87">
        <f>VLOOKUP($A105,'Data shares'!$C:$FA,97)</f>
        <v>4.3900000000000002E-2</v>
      </c>
      <c r="N105" s="86">
        <f>VLOOKUP($A105,'Data shares'!$C:$FA,78)</f>
        <v>78118800</v>
      </c>
      <c r="O105" s="87">
        <f>VLOOKUP($A105,'Data shares'!$C:$FA,81)</f>
        <v>5.8999999999999999E-3</v>
      </c>
    </row>
    <row r="106" spans="1:15" x14ac:dyDescent="0.25">
      <c r="A106" s="100" t="str">
        <f>'Data Vlaue (Cr)'!C101</f>
        <v>INOXWIND</v>
      </c>
      <c r="B106" s="82">
        <f>VLOOKUP(A106,'Data shares'!$C$2:$CV$216,98,0)</f>
        <v>123237525</v>
      </c>
      <c r="C106" s="82">
        <f>VLOOKUP(A106,'Data shares'!$C$2:$CX$216,100,0)</f>
        <v>2352750</v>
      </c>
      <c r="D106" s="141">
        <f>VLOOKUP(A106,'Data shares'!$C$2:$CY$539,101,0)</f>
        <v>1.95E-2</v>
      </c>
      <c r="E106" s="86">
        <f>VLOOKUP($A106,'Data shares'!$C:$FA,74)</f>
        <v>94451625</v>
      </c>
      <c r="F106" s="86">
        <f>VLOOKUP($A106,'Data shares'!$C:$FA,76)</f>
        <v>-836150</v>
      </c>
      <c r="G106" s="87">
        <f>VLOOKUP(A106,'Data shares'!$C$2:$CA$216,77,0)</f>
        <v>-8.8000000000000005E-3</v>
      </c>
      <c r="H106" s="86">
        <f>VLOOKUP($A106,'Data shares'!$C:$FA,90)</f>
        <v>16874000</v>
      </c>
      <c r="I106" s="86">
        <f>VLOOKUP($A106,'Data shares'!$C:$FA,92)</f>
        <v>1791075</v>
      </c>
      <c r="J106" s="87">
        <f>VLOOKUP($A106,'Data shares'!$C:$FA,93)</f>
        <v>0.1187</v>
      </c>
      <c r="K106" s="86">
        <f>VLOOKUP($A106,'Data shares'!$C:$FA,94)</f>
        <v>11911900</v>
      </c>
      <c r="L106" s="86">
        <f>VLOOKUP($A106,'Data shares'!$C:$FA,96)</f>
        <v>1397825</v>
      </c>
      <c r="M106" s="87">
        <f>VLOOKUP($A106,'Data shares'!$C:$FA,97)</f>
        <v>0.13289999999999999</v>
      </c>
      <c r="N106" s="86">
        <f>VLOOKUP($A106,'Data shares'!$C:$FA,78)</f>
        <v>91280475</v>
      </c>
      <c r="O106" s="87">
        <f>VLOOKUP($A106,'Data shares'!$C:$FA,81)</f>
        <v>-1.15E-2</v>
      </c>
    </row>
    <row r="107" spans="1:15" x14ac:dyDescent="0.25">
      <c r="A107" s="100" t="str">
        <f>'Data Vlaue (Cr)'!C102</f>
        <v>IOC</v>
      </c>
      <c r="B107" s="82">
        <f>VLOOKUP(A107,'Data shares'!$C$2:$CV$216,98,0)</f>
        <v>181013625</v>
      </c>
      <c r="C107" s="82">
        <f>VLOOKUP(A107,'Data shares'!$C$2:$CX$216,100,0)</f>
        <v>6922500</v>
      </c>
      <c r="D107" s="141">
        <f>VLOOKUP(A107,'Data shares'!$C$2:$CY$539,101,0)</f>
        <v>3.9800000000000002E-2</v>
      </c>
      <c r="E107" s="86">
        <f>VLOOKUP($A107,'Data shares'!$C:$FA,74)</f>
        <v>112895250</v>
      </c>
      <c r="F107" s="86">
        <f>VLOOKUP($A107,'Data shares'!$C:$FA,76)</f>
        <v>1423500</v>
      </c>
      <c r="G107" s="87">
        <f>VLOOKUP(A107,'Data shares'!$C$2:$CA$216,77,0)</f>
        <v>1.2800000000000001E-2</v>
      </c>
      <c r="H107" s="86">
        <f>VLOOKUP($A107,'Data shares'!$C:$FA,90)</f>
        <v>38020125</v>
      </c>
      <c r="I107" s="86">
        <f>VLOOKUP($A107,'Data shares'!$C:$FA,92)</f>
        <v>3383250</v>
      </c>
      <c r="J107" s="87">
        <f>VLOOKUP($A107,'Data shares'!$C:$FA,93)</f>
        <v>9.7699999999999995E-2</v>
      </c>
      <c r="K107" s="86">
        <f>VLOOKUP($A107,'Data shares'!$C:$FA,94)</f>
        <v>30098250</v>
      </c>
      <c r="L107" s="86">
        <f>VLOOKUP($A107,'Data shares'!$C:$FA,96)</f>
        <v>2115750</v>
      </c>
      <c r="M107" s="87">
        <f>VLOOKUP($A107,'Data shares'!$C:$FA,97)</f>
        <v>7.5600000000000001E-2</v>
      </c>
      <c r="N107" s="86">
        <f>VLOOKUP($A107,'Data shares'!$C:$FA,78)</f>
        <v>104417625</v>
      </c>
      <c r="O107" s="87">
        <f>VLOOKUP($A107,'Data shares'!$C:$FA,81)</f>
        <v>1.14E-2</v>
      </c>
    </row>
    <row r="108" spans="1:15" x14ac:dyDescent="0.25">
      <c r="A108" s="100" t="str">
        <f>'Data Vlaue (Cr)'!C103</f>
        <v>IREDA</v>
      </c>
      <c r="B108" s="82">
        <f>VLOOKUP(A108,'Data shares'!$C$2:$CV$216,98,0)</f>
        <v>74772700</v>
      </c>
      <c r="C108" s="82">
        <f>VLOOKUP(A108,'Data shares'!$C$2:$CX$216,100,0)</f>
        <v>1747525</v>
      </c>
      <c r="D108" s="141">
        <f>VLOOKUP(A108,'Data shares'!$C$2:$CY$539,101,0)</f>
        <v>2.3900000000000001E-2</v>
      </c>
      <c r="E108" s="86">
        <f>VLOOKUP($A108,'Data shares'!$C:$FA,74)</f>
        <v>47041600</v>
      </c>
      <c r="F108" s="86">
        <f>VLOOKUP($A108,'Data shares'!$C:$FA,76)</f>
        <v>139825</v>
      </c>
      <c r="G108" s="87">
        <f>VLOOKUP(A108,'Data shares'!$C$2:$CA$216,77,0)</f>
        <v>3.0000000000000001E-3</v>
      </c>
      <c r="H108" s="86">
        <f>VLOOKUP($A108,'Data shares'!$C:$FA,90)</f>
        <v>16114950</v>
      </c>
      <c r="I108" s="86">
        <f>VLOOKUP($A108,'Data shares'!$C:$FA,92)</f>
        <v>1221300</v>
      </c>
      <c r="J108" s="87">
        <f>VLOOKUP($A108,'Data shares'!$C:$FA,93)</f>
        <v>8.2000000000000003E-2</v>
      </c>
      <c r="K108" s="86">
        <f>VLOOKUP($A108,'Data shares'!$C:$FA,94)</f>
        <v>11616150</v>
      </c>
      <c r="L108" s="86">
        <f>VLOOKUP($A108,'Data shares'!$C:$FA,96)</f>
        <v>386400</v>
      </c>
      <c r="M108" s="87">
        <f>VLOOKUP($A108,'Data shares'!$C:$FA,97)</f>
        <v>3.44E-2</v>
      </c>
      <c r="N108" s="86">
        <f>VLOOKUP($A108,'Data shares'!$C:$FA,78)</f>
        <v>40741050</v>
      </c>
      <c r="O108" s="87">
        <f>VLOOKUP($A108,'Data shares'!$C:$FA,81)</f>
        <v>-8.0000000000000004E-4</v>
      </c>
    </row>
    <row r="109" spans="1:15" x14ac:dyDescent="0.25">
      <c r="A109" s="100" t="str">
        <f>'Data Vlaue (Cr)'!C104</f>
        <v>IRFC</v>
      </c>
      <c r="B109" s="82">
        <f>VLOOKUP(A109,'Data shares'!$C$2:$CV$216,98,0)</f>
        <v>99808775</v>
      </c>
      <c r="C109" s="82">
        <f>VLOOKUP(A109,'Data shares'!$C$2:$CX$216,100,0)</f>
        <v>2533350</v>
      </c>
      <c r="D109" s="141">
        <f>VLOOKUP(A109,'Data shares'!$C$2:$CY$539,101,0)</f>
        <v>2.5999999999999999E-2</v>
      </c>
      <c r="E109" s="86">
        <f>VLOOKUP($A109,'Data shares'!$C:$FA,74)</f>
        <v>53169275</v>
      </c>
      <c r="F109" s="86">
        <f>VLOOKUP($A109,'Data shares'!$C:$FA,76)</f>
        <v>81100</v>
      </c>
      <c r="G109" s="87">
        <f>VLOOKUP(A109,'Data shares'!$C$2:$CA$216,77,0)</f>
        <v>1.5E-3</v>
      </c>
      <c r="H109" s="86">
        <f>VLOOKUP($A109,'Data shares'!$C:$FA,90)</f>
        <v>25844250</v>
      </c>
      <c r="I109" s="86">
        <f>VLOOKUP($A109,'Data shares'!$C:$FA,92)</f>
        <v>1134750</v>
      </c>
      <c r="J109" s="87">
        <f>VLOOKUP($A109,'Data shares'!$C:$FA,93)</f>
        <v>4.5900000000000003E-2</v>
      </c>
      <c r="K109" s="86">
        <f>VLOOKUP($A109,'Data shares'!$C:$FA,94)</f>
        <v>20795250</v>
      </c>
      <c r="L109" s="86">
        <f>VLOOKUP($A109,'Data shares'!$C:$FA,96)</f>
        <v>1317500</v>
      </c>
      <c r="M109" s="87">
        <f>VLOOKUP($A109,'Data shares'!$C:$FA,97)</f>
        <v>6.7599999999999993E-2</v>
      </c>
      <c r="N109" s="86">
        <f>VLOOKUP($A109,'Data shares'!$C:$FA,78)</f>
        <v>47536250</v>
      </c>
      <c r="O109" s="87">
        <f>VLOOKUP($A109,'Data shares'!$C:$FA,81)</f>
        <v>-8.9999999999999998E-4</v>
      </c>
    </row>
    <row r="110" spans="1:15" x14ac:dyDescent="0.25">
      <c r="A110" s="100" t="str">
        <f>'Data Vlaue (Cr)'!C105</f>
        <v>ITC</v>
      </c>
      <c r="B110" s="82">
        <f>VLOOKUP(A110,'Data shares'!$C$2:$CV$216,98,0)</f>
        <v>300419450</v>
      </c>
      <c r="C110" s="82">
        <f>VLOOKUP(A110,'Data shares'!$C$2:$CX$216,100,0)</f>
        <v>19063925</v>
      </c>
      <c r="D110" s="141">
        <f>VLOOKUP(A110,'Data shares'!$C$2:$CY$539,101,0)</f>
        <v>6.7799999999999999E-2</v>
      </c>
      <c r="E110" s="86">
        <f>VLOOKUP($A110,'Data shares'!$C:$FA,74)</f>
        <v>175454400</v>
      </c>
      <c r="F110" s="86">
        <f>VLOOKUP($A110,'Data shares'!$C:$FA,76)</f>
        <v>1775675</v>
      </c>
      <c r="G110" s="87">
        <f>VLOOKUP(A110,'Data shares'!$C$2:$CA$216,77,0)</f>
        <v>1.0200000000000001E-2</v>
      </c>
      <c r="H110" s="86">
        <f>VLOOKUP($A110,'Data shares'!$C:$FA,90)</f>
        <v>87576250</v>
      </c>
      <c r="I110" s="86">
        <f>VLOOKUP($A110,'Data shares'!$C:$FA,92)</f>
        <v>18683450</v>
      </c>
      <c r="J110" s="87">
        <f>VLOOKUP($A110,'Data shares'!$C:$FA,93)</f>
        <v>0.2712</v>
      </c>
      <c r="K110" s="86">
        <f>VLOOKUP($A110,'Data shares'!$C:$FA,94)</f>
        <v>37388800</v>
      </c>
      <c r="L110" s="86">
        <f>VLOOKUP($A110,'Data shares'!$C:$FA,96)</f>
        <v>-1395200</v>
      </c>
      <c r="M110" s="87">
        <f>VLOOKUP($A110,'Data shares'!$C:$FA,97)</f>
        <v>-3.5999999999999997E-2</v>
      </c>
      <c r="N110" s="86">
        <f>VLOOKUP($A110,'Data shares'!$C:$FA,78)</f>
        <v>154499200</v>
      </c>
      <c r="O110" s="87">
        <f>VLOOKUP($A110,'Data shares'!$C:$FA,81)</f>
        <v>3.0000000000000001E-3</v>
      </c>
    </row>
    <row r="111" spans="1:15" x14ac:dyDescent="0.25">
      <c r="A111" s="100" t="str">
        <f>'Data Vlaue (Cr)'!C106</f>
        <v>JINDALSTEL</v>
      </c>
      <c r="B111" s="82">
        <f>VLOOKUP(A111,'Data shares'!$C$2:$CV$216,98,0)</f>
        <v>18154375</v>
      </c>
      <c r="C111" s="82">
        <f>VLOOKUP(A111,'Data shares'!$C$2:$CX$216,100,0)</f>
        <v>607500</v>
      </c>
      <c r="D111" s="141">
        <f>VLOOKUP(A111,'Data shares'!$C$2:$CY$539,101,0)</f>
        <v>3.4599999999999999E-2</v>
      </c>
      <c r="E111" s="86">
        <f>VLOOKUP($A111,'Data shares'!$C:$FA,74)</f>
        <v>12855625</v>
      </c>
      <c r="F111" s="86">
        <f>VLOOKUP($A111,'Data shares'!$C:$FA,76)</f>
        <v>-128750</v>
      </c>
      <c r="G111" s="87">
        <f>VLOOKUP(A111,'Data shares'!$C$2:$CA$216,77,0)</f>
        <v>-9.9000000000000008E-3</v>
      </c>
      <c r="H111" s="86">
        <f>VLOOKUP($A111,'Data shares'!$C:$FA,90)</f>
        <v>2906875</v>
      </c>
      <c r="I111" s="86">
        <f>VLOOKUP($A111,'Data shares'!$C:$FA,92)</f>
        <v>572500</v>
      </c>
      <c r="J111" s="87">
        <f>VLOOKUP($A111,'Data shares'!$C:$FA,93)</f>
        <v>0.2452</v>
      </c>
      <c r="K111" s="86">
        <f>VLOOKUP($A111,'Data shares'!$C:$FA,94)</f>
        <v>2391875</v>
      </c>
      <c r="L111" s="86">
        <f>VLOOKUP($A111,'Data shares'!$C:$FA,96)</f>
        <v>163750</v>
      </c>
      <c r="M111" s="87">
        <f>VLOOKUP($A111,'Data shares'!$C:$FA,97)</f>
        <v>7.3499999999999996E-2</v>
      </c>
      <c r="N111" s="86">
        <f>VLOOKUP($A111,'Data shares'!$C:$FA,78)</f>
        <v>12771250</v>
      </c>
      <c r="O111" s="87">
        <f>VLOOKUP($A111,'Data shares'!$C:$FA,81)</f>
        <v>-1.03E-2</v>
      </c>
    </row>
    <row r="112" spans="1:15" x14ac:dyDescent="0.25">
      <c r="A112" s="100" t="str">
        <f>'Data Vlaue (Cr)'!C107</f>
        <v>JIOFIN</v>
      </c>
      <c r="B112" s="82">
        <f>VLOOKUP(A112,'Data shares'!$C$2:$CV$216,98,0)</f>
        <v>293108450</v>
      </c>
      <c r="C112" s="82">
        <f>VLOOKUP(A112,'Data shares'!$C$2:$CX$216,100,0)</f>
        <v>1407650</v>
      </c>
      <c r="D112" s="141">
        <f>VLOOKUP(A112,'Data shares'!$C$2:$CY$539,101,0)</f>
        <v>4.7999999999999996E-3</v>
      </c>
      <c r="E112" s="86">
        <f>VLOOKUP($A112,'Data shares'!$C:$FA,74)</f>
        <v>199503250</v>
      </c>
      <c r="F112" s="86">
        <f>VLOOKUP($A112,'Data shares'!$C:$FA,76)</f>
        <v>-1118600</v>
      </c>
      <c r="G112" s="87">
        <f>VLOOKUP(A112,'Data shares'!$C$2:$CA$216,77,0)</f>
        <v>-5.5999999999999999E-3</v>
      </c>
      <c r="H112" s="86">
        <f>VLOOKUP($A112,'Data shares'!$C:$FA,90)</f>
        <v>55779600</v>
      </c>
      <c r="I112" s="86">
        <f>VLOOKUP($A112,'Data shares'!$C:$FA,92)</f>
        <v>994050</v>
      </c>
      <c r="J112" s="87">
        <f>VLOOKUP($A112,'Data shares'!$C:$FA,93)</f>
        <v>1.8100000000000002E-2</v>
      </c>
      <c r="K112" s="86">
        <f>VLOOKUP($A112,'Data shares'!$C:$FA,94)</f>
        <v>37825600</v>
      </c>
      <c r="L112" s="86">
        <f>VLOOKUP($A112,'Data shares'!$C:$FA,96)</f>
        <v>1532200</v>
      </c>
      <c r="M112" s="87">
        <f>VLOOKUP($A112,'Data shares'!$C:$FA,97)</f>
        <v>4.2200000000000001E-2</v>
      </c>
      <c r="N112" s="86">
        <f>VLOOKUP($A112,'Data shares'!$C:$FA,78)</f>
        <v>179062950</v>
      </c>
      <c r="O112" s="87">
        <f>VLOOKUP($A112,'Data shares'!$C:$FA,81)</f>
        <v>-1.2999999999999999E-2</v>
      </c>
    </row>
    <row r="113" spans="1:15" x14ac:dyDescent="0.25">
      <c r="A113" s="100" t="str">
        <f>'Data Vlaue (Cr)'!C108</f>
        <v>JSWENERGY</v>
      </c>
      <c r="B113" s="82">
        <f>VLOOKUP(A113,'Data shares'!$C$2:$CV$216,98,0)</f>
        <v>33501300</v>
      </c>
      <c r="C113" s="82">
        <f>VLOOKUP(A113,'Data shares'!$C$2:$CX$216,100,0)</f>
        <v>283075</v>
      </c>
      <c r="D113" s="141">
        <f>VLOOKUP(A113,'Data shares'!$C$2:$CY$539,101,0)</f>
        <v>8.5000000000000006E-3</v>
      </c>
      <c r="E113" s="86">
        <f>VLOOKUP($A113,'Data shares'!$C:$FA,74)</f>
        <v>24424300</v>
      </c>
      <c r="F113" s="86">
        <f>VLOOKUP($A113,'Data shares'!$C:$FA,76)</f>
        <v>-136925</v>
      </c>
      <c r="G113" s="87">
        <f>VLOOKUP(A113,'Data shares'!$C$2:$CA$216,77,0)</f>
        <v>-5.5999999999999999E-3</v>
      </c>
      <c r="H113" s="86">
        <f>VLOOKUP($A113,'Data shares'!$C:$FA,90)</f>
        <v>5342000</v>
      </c>
      <c r="I113" s="86">
        <f>VLOOKUP($A113,'Data shares'!$C:$FA,92)</f>
        <v>220000</v>
      </c>
      <c r="J113" s="87">
        <f>VLOOKUP($A113,'Data shares'!$C:$FA,93)</f>
        <v>4.2999999999999997E-2</v>
      </c>
      <c r="K113" s="86">
        <f>VLOOKUP($A113,'Data shares'!$C:$FA,94)</f>
        <v>3735000</v>
      </c>
      <c r="L113" s="86">
        <f>VLOOKUP($A113,'Data shares'!$C:$FA,96)</f>
        <v>200000</v>
      </c>
      <c r="M113" s="87">
        <f>VLOOKUP($A113,'Data shares'!$C:$FA,97)</f>
        <v>5.6599999999999998E-2</v>
      </c>
      <c r="N113" s="86">
        <f>VLOOKUP($A113,'Data shares'!$C:$FA,78)</f>
        <v>24053000</v>
      </c>
      <c r="O113" s="87">
        <f>VLOOKUP($A113,'Data shares'!$C:$FA,81)</f>
        <v>-5.7999999999999996E-3</v>
      </c>
    </row>
    <row r="114" spans="1:15" x14ac:dyDescent="0.25">
      <c r="A114" s="100" t="str">
        <f>'Data Vlaue (Cr)'!C109</f>
        <v>JSWSTEEL</v>
      </c>
      <c r="B114" s="82">
        <f>VLOOKUP(A114,'Data shares'!$C$2:$CV$216,98,0)</f>
        <v>57477600</v>
      </c>
      <c r="C114" s="82">
        <f>VLOOKUP(A114,'Data shares'!$C$2:$CX$216,100,0)</f>
        <v>870075</v>
      </c>
      <c r="D114" s="141">
        <f>VLOOKUP(A114,'Data shares'!$C$2:$CY$539,101,0)</f>
        <v>1.54E-2</v>
      </c>
      <c r="E114" s="86">
        <f>VLOOKUP($A114,'Data shares'!$C:$FA,74)</f>
        <v>49495050</v>
      </c>
      <c r="F114" s="86">
        <f>VLOOKUP($A114,'Data shares'!$C:$FA,76)</f>
        <v>172800</v>
      </c>
      <c r="G114" s="87">
        <f>VLOOKUP(A114,'Data shares'!$C$2:$CA$216,77,0)</f>
        <v>3.5000000000000001E-3</v>
      </c>
      <c r="H114" s="86">
        <f>VLOOKUP($A114,'Data shares'!$C:$FA,90)</f>
        <v>4518450</v>
      </c>
      <c r="I114" s="86">
        <f>VLOOKUP($A114,'Data shares'!$C:$FA,92)</f>
        <v>648675</v>
      </c>
      <c r="J114" s="87">
        <f>VLOOKUP($A114,'Data shares'!$C:$FA,93)</f>
        <v>0.1676</v>
      </c>
      <c r="K114" s="86">
        <f>VLOOKUP($A114,'Data shares'!$C:$FA,94)</f>
        <v>3464100</v>
      </c>
      <c r="L114" s="86">
        <f>VLOOKUP($A114,'Data shares'!$C:$FA,96)</f>
        <v>48600</v>
      </c>
      <c r="M114" s="87">
        <f>VLOOKUP($A114,'Data shares'!$C:$FA,97)</f>
        <v>1.4200000000000001E-2</v>
      </c>
      <c r="N114" s="86">
        <f>VLOOKUP($A114,'Data shares'!$C:$FA,78)</f>
        <v>48446100</v>
      </c>
      <c r="O114" s="87">
        <f>VLOOKUP($A114,'Data shares'!$C:$FA,81)</f>
        <v>2.3999999999999998E-3</v>
      </c>
    </row>
    <row r="115" spans="1:15" x14ac:dyDescent="0.25">
      <c r="A115" s="100" t="str">
        <f>'Data Vlaue (Cr)'!C110</f>
        <v>JUBLFOOD</v>
      </c>
      <c r="B115" s="82">
        <f>VLOOKUP(A115,'Data shares'!$C$2:$CV$216,98,0)</f>
        <v>49366250</v>
      </c>
      <c r="C115" s="82">
        <f>VLOOKUP(A115,'Data shares'!$C$2:$CX$216,100,0)</f>
        <v>1293750</v>
      </c>
      <c r="D115" s="141">
        <f>VLOOKUP(A115,'Data shares'!$C$2:$CY$539,101,0)</f>
        <v>2.69E-2</v>
      </c>
      <c r="E115" s="86">
        <f>VLOOKUP($A115,'Data shares'!$C:$FA,74)</f>
        <v>39626250</v>
      </c>
      <c r="F115" s="86">
        <f>VLOOKUP($A115,'Data shares'!$C:$FA,76)</f>
        <v>530000</v>
      </c>
      <c r="G115" s="87">
        <f>VLOOKUP(A115,'Data shares'!$C$2:$CA$216,77,0)</f>
        <v>1.3599999999999999E-2</v>
      </c>
      <c r="H115" s="86">
        <f>VLOOKUP($A115,'Data shares'!$C:$FA,90)</f>
        <v>5600000</v>
      </c>
      <c r="I115" s="86">
        <f>VLOOKUP($A115,'Data shares'!$C:$FA,92)</f>
        <v>567500</v>
      </c>
      <c r="J115" s="87">
        <f>VLOOKUP($A115,'Data shares'!$C:$FA,93)</f>
        <v>0.1128</v>
      </c>
      <c r="K115" s="86">
        <f>VLOOKUP($A115,'Data shares'!$C:$FA,94)</f>
        <v>4140000</v>
      </c>
      <c r="L115" s="86">
        <f>VLOOKUP($A115,'Data shares'!$C:$FA,96)</f>
        <v>196250</v>
      </c>
      <c r="M115" s="87">
        <f>VLOOKUP($A115,'Data shares'!$C:$FA,97)</f>
        <v>4.9799999999999997E-2</v>
      </c>
      <c r="N115" s="86">
        <f>VLOOKUP($A115,'Data shares'!$C:$FA,78)</f>
        <v>38005000</v>
      </c>
      <c r="O115" s="87">
        <f>VLOOKUP($A115,'Data shares'!$C:$FA,81)</f>
        <v>9.4000000000000004E-3</v>
      </c>
    </row>
    <row r="116" spans="1:15" x14ac:dyDescent="0.25">
      <c r="A116" s="100" t="str">
        <f>'Data Vlaue (Cr)'!C111</f>
        <v>KALYANKJIL</v>
      </c>
      <c r="B116" s="82">
        <f>VLOOKUP(A116,'Data shares'!$C$2:$CV$216,98,0)</f>
        <v>35103175</v>
      </c>
      <c r="C116" s="82">
        <f>VLOOKUP(A116,'Data shares'!$C$2:$CX$216,100,0)</f>
        <v>1533900</v>
      </c>
      <c r="D116" s="141">
        <f>VLOOKUP(A116,'Data shares'!$C$2:$CY$539,101,0)</f>
        <v>4.5699999999999998E-2</v>
      </c>
      <c r="E116" s="86">
        <f>VLOOKUP($A116,'Data shares'!$C:$FA,74)</f>
        <v>26294200</v>
      </c>
      <c r="F116" s="86">
        <f>VLOOKUP($A116,'Data shares'!$C:$FA,76)</f>
        <v>390625</v>
      </c>
      <c r="G116" s="87">
        <f>VLOOKUP(A116,'Data shares'!$C$2:$CA$216,77,0)</f>
        <v>1.5100000000000001E-2</v>
      </c>
      <c r="H116" s="86">
        <f>VLOOKUP($A116,'Data shares'!$C:$FA,90)</f>
        <v>5463750</v>
      </c>
      <c r="I116" s="86">
        <f>VLOOKUP($A116,'Data shares'!$C:$FA,92)</f>
        <v>865975</v>
      </c>
      <c r="J116" s="87">
        <f>VLOOKUP($A116,'Data shares'!$C:$FA,93)</f>
        <v>0.1883</v>
      </c>
      <c r="K116" s="86">
        <f>VLOOKUP($A116,'Data shares'!$C:$FA,94)</f>
        <v>3345225</v>
      </c>
      <c r="L116" s="86">
        <f>VLOOKUP($A116,'Data shares'!$C:$FA,96)</f>
        <v>277300</v>
      </c>
      <c r="M116" s="87">
        <f>VLOOKUP($A116,'Data shares'!$C:$FA,97)</f>
        <v>9.0399999999999994E-2</v>
      </c>
      <c r="N116" s="86">
        <f>VLOOKUP($A116,'Data shares'!$C:$FA,78)</f>
        <v>25792425</v>
      </c>
      <c r="O116" s="87">
        <f>VLOOKUP($A116,'Data shares'!$C:$FA,81)</f>
        <v>1.47E-2</v>
      </c>
    </row>
    <row r="117" spans="1:15" x14ac:dyDescent="0.25">
      <c r="A117" s="100" t="str">
        <f>'Data Vlaue (Cr)'!C112</f>
        <v>KAYNES</v>
      </c>
      <c r="B117" s="82">
        <f>VLOOKUP(A117,'Data shares'!$C$2:$CV$216,98,0)</f>
        <v>4389100</v>
      </c>
      <c r="C117" s="82">
        <f>VLOOKUP(A117,'Data shares'!$C$2:$CX$216,100,0)</f>
        <v>148300</v>
      </c>
      <c r="D117" s="141">
        <f>VLOOKUP(A117,'Data shares'!$C$2:$CY$539,101,0)</f>
        <v>3.5000000000000003E-2</v>
      </c>
      <c r="E117" s="86">
        <f>VLOOKUP($A117,'Data shares'!$C:$FA,74)</f>
        <v>2745600</v>
      </c>
      <c r="F117" s="86">
        <f>VLOOKUP($A117,'Data shares'!$C:$FA,76)</f>
        <v>20600</v>
      </c>
      <c r="G117" s="87">
        <f>VLOOKUP(A117,'Data shares'!$C$2:$CA$216,77,0)</f>
        <v>7.6E-3</v>
      </c>
      <c r="H117" s="86">
        <f>VLOOKUP($A117,'Data shares'!$C:$FA,90)</f>
        <v>971900</v>
      </c>
      <c r="I117" s="86">
        <f>VLOOKUP($A117,'Data shares'!$C:$FA,92)</f>
        <v>97300</v>
      </c>
      <c r="J117" s="87">
        <f>VLOOKUP($A117,'Data shares'!$C:$FA,93)</f>
        <v>0.1113</v>
      </c>
      <c r="K117" s="86">
        <f>VLOOKUP($A117,'Data shares'!$C:$FA,94)</f>
        <v>671600</v>
      </c>
      <c r="L117" s="86">
        <f>VLOOKUP($A117,'Data shares'!$C:$FA,96)</f>
        <v>30400</v>
      </c>
      <c r="M117" s="87">
        <f>VLOOKUP($A117,'Data shares'!$C:$FA,97)</f>
        <v>4.7399999999999998E-2</v>
      </c>
      <c r="N117" s="86">
        <f>VLOOKUP($A117,'Data shares'!$C:$FA,78)</f>
        <v>2577000</v>
      </c>
      <c r="O117" s="87">
        <f>VLOOKUP($A117,'Data shares'!$C:$FA,81)</f>
        <v>6.6E-3</v>
      </c>
    </row>
    <row r="118" spans="1:15" x14ac:dyDescent="0.25">
      <c r="A118" s="100" t="str">
        <f>'Data Vlaue (Cr)'!C113</f>
        <v>KEI</v>
      </c>
      <c r="B118" s="82">
        <f>VLOOKUP(A118,'Data shares'!$C$2:$CV$216,98,0)</f>
        <v>2657200</v>
      </c>
      <c r="C118" s="82">
        <f>VLOOKUP(A118,'Data shares'!$C$2:$CX$216,100,0)</f>
        <v>439950</v>
      </c>
      <c r="D118" s="141">
        <f>VLOOKUP(A118,'Data shares'!$C$2:$CY$539,101,0)</f>
        <v>0.19839999999999999</v>
      </c>
      <c r="E118" s="86">
        <f>VLOOKUP($A118,'Data shares'!$C:$FA,74)</f>
        <v>1680875</v>
      </c>
      <c r="F118" s="86">
        <f>VLOOKUP($A118,'Data shares'!$C:$FA,76)</f>
        <v>40950</v>
      </c>
      <c r="G118" s="87">
        <f>VLOOKUP(A118,'Data shares'!$C$2:$CA$216,77,0)</f>
        <v>2.5000000000000001E-2</v>
      </c>
      <c r="H118" s="86">
        <f>VLOOKUP($A118,'Data shares'!$C:$FA,90)</f>
        <v>548975</v>
      </c>
      <c r="I118" s="86">
        <f>VLOOKUP($A118,'Data shares'!$C:$FA,92)</f>
        <v>231350</v>
      </c>
      <c r="J118" s="87">
        <f>VLOOKUP($A118,'Data shares'!$C:$FA,93)</f>
        <v>0.72840000000000005</v>
      </c>
      <c r="K118" s="86">
        <f>VLOOKUP($A118,'Data shares'!$C:$FA,94)</f>
        <v>427350</v>
      </c>
      <c r="L118" s="86">
        <f>VLOOKUP($A118,'Data shares'!$C:$FA,96)</f>
        <v>167650</v>
      </c>
      <c r="M118" s="87">
        <f>VLOOKUP($A118,'Data shares'!$C:$FA,97)</f>
        <v>0.64559999999999995</v>
      </c>
      <c r="N118" s="86">
        <f>VLOOKUP($A118,'Data shares'!$C:$FA,78)</f>
        <v>1660050</v>
      </c>
      <c r="O118" s="87">
        <f>VLOOKUP($A118,'Data shares'!$C:$FA,81)</f>
        <v>2.23E-2</v>
      </c>
    </row>
    <row r="119" spans="1:15" x14ac:dyDescent="0.25">
      <c r="A119" s="100" t="str">
        <f>'Data Vlaue (Cr)'!C114</f>
        <v>KFINTECH</v>
      </c>
      <c r="B119" s="82">
        <f>VLOOKUP(A119,'Data shares'!$C$2:$CV$216,98,0)</f>
        <v>13494175</v>
      </c>
      <c r="C119" s="82">
        <f>VLOOKUP(A119,'Data shares'!$C$2:$CX$216,100,0)</f>
        <v>1637700</v>
      </c>
      <c r="D119" s="141">
        <f>VLOOKUP(A119,'Data shares'!$C$2:$CY$539,101,0)</f>
        <v>0.1381</v>
      </c>
      <c r="E119" s="86">
        <f>VLOOKUP($A119,'Data shares'!$C:$FA,74)</f>
        <v>5753100</v>
      </c>
      <c r="F119" s="86">
        <f>VLOOKUP($A119,'Data shares'!$C:$FA,76)</f>
        <v>350625</v>
      </c>
      <c r="G119" s="87">
        <f>VLOOKUP(A119,'Data shares'!$C$2:$CA$216,77,0)</f>
        <v>6.4899999999999999E-2</v>
      </c>
      <c r="H119" s="86">
        <f>VLOOKUP($A119,'Data shares'!$C:$FA,90)</f>
        <v>5272000</v>
      </c>
      <c r="I119" s="86">
        <f>VLOOKUP($A119,'Data shares'!$C:$FA,92)</f>
        <v>1012500</v>
      </c>
      <c r="J119" s="87">
        <f>VLOOKUP($A119,'Data shares'!$C:$FA,93)</f>
        <v>0.23769999999999999</v>
      </c>
      <c r="K119" s="86">
        <f>VLOOKUP($A119,'Data shares'!$C:$FA,94)</f>
        <v>2469075</v>
      </c>
      <c r="L119" s="86">
        <f>VLOOKUP($A119,'Data shares'!$C:$FA,96)</f>
        <v>274575</v>
      </c>
      <c r="M119" s="87">
        <f>VLOOKUP($A119,'Data shares'!$C:$FA,97)</f>
        <v>0.12509999999999999</v>
      </c>
      <c r="N119" s="86">
        <f>VLOOKUP($A119,'Data shares'!$C:$FA,78)</f>
        <v>5187000</v>
      </c>
      <c r="O119" s="87">
        <f>VLOOKUP($A119,'Data shares'!$C:$FA,81)</f>
        <v>3.5799999999999998E-2</v>
      </c>
    </row>
    <row r="120" spans="1:15" x14ac:dyDescent="0.25">
      <c r="A120" s="100" t="str">
        <f>'Data Vlaue (Cr)'!C115</f>
        <v>KOTAKBANK</v>
      </c>
      <c r="B120" s="82">
        <f>VLOOKUP(A120,'Data shares'!$C$2:$CV$216,98,0)</f>
        <v>308854000</v>
      </c>
      <c r="C120" s="82">
        <f>VLOOKUP(A120,'Data shares'!$C$2:$CX$216,100,0)</f>
        <v>5330000</v>
      </c>
      <c r="D120" s="141">
        <f>VLOOKUP(A120,'Data shares'!$C$2:$CY$539,101,0)</f>
        <v>1.7600000000000001E-2</v>
      </c>
      <c r="E120" s="86">
        <f>VLOOKUP($A120,'Data shares'!$C:$FA,74)</f>
        <v>227986000</v>
      </c>
      <c r="F120" s="86">
        <f>VLOOKUP($A120,'Data shares'!$C:$FA,76)</f>
        <v>-14152000</v>
      </c>
      <c r="G120" s="87">
        <f>VLOOKUP(A120,'Data shares'!$C$2:$CA$216,77,0)</f>
        <v>-5.8400000000000001E-2</v>
      </c>
      <c r="H120" s="86">
        <f>VLOOKUP($A120,'Data shares'!$C:$FA,90)</f>
        <v>48982000</v>
      </c>
      <c r="I120" s="86">
        <f>VLOOKUP($A120,'Data shares'!$C:$FA,92)</f>
        <v>18018000</v>
      </c>
      <c r="J120" s="87">
        <f>VLOOKUP($A120,'Data shares'!$C:$FA,93)</f>
        <v>0.58189999999999997</v>
      </c>
      <c r="K120" s="86">
        <f>VLOOKUP($A120,'Data shares'!$C:$FA,94)</f>
        <v>31886000</v>
      </c>
      <c r="L120" s="86">
        <f>VLOOKUP($A120,'Data shares'!$C:$FA,96)</f>
        <v>1464000</v>
      </c>
      <c r="M120" s="87">
        <f>VLOOKUP($A120,'Data shares'!$C:$FA,97)</f>
        <v>4.8099999999999997E-2</v>
      </c>
      <c r="N120" s="86">
        <f>VLOOKUP($A120,'Data shares'!$C:$FA,78)</f>
        <v>186694000</v>
      </c>
      <c r="O120" s="87">
        <f>VLOOKUP($A120,'Data shares'!$C:$FA,81)</f>
        <v>-8.3099999999999993E-2</v>
      </c>
    </row>
    <row r="121" spans="1:15" x14ac:dyDescent="0.25">
      <c r="A121" s="100" t="str">
        <f>'Data Vlaue (Cr)'!C116</f>
        <v>KPITTECH</v>
      </c>
      <c r="B121" s="82">
        <f>VLOOKUP(A121,'Data shares'!$C$2:$CV$216,98,0)</f>
        <v>10204100</v>
      </c>
      <c r="C121" s="82">
        <f>VLOOKUP(A121,'Data shares'!$C$2:$CX$216,100,0)</f>
        <v>886400</v>
      </c>
      <c r="D121" s="141">
        <f>VLOOKUP(A121,'Data shares'!$C$2:$CY$539,101,0)</f>
        <v>9.5100000000000004E-2</v>
      </c>
      <c r="E121" s="86">
        <f>VLOOKUP($A121,'Data shares'!$C:$FA,74)</f>
        <v>6247775</v>
      </c>
      <c r="F121" s="86">
        <f>VLOOKUP($A121,'Data shares'!$C:$FA,76)</f>
        <v>51700</v>
      </c>
      <c r="G121" s="87">
        <f>VLOOKUP(A121,'Data shares'!$C$2:$CA$216,77,0)</f>
        <v>8.3000000000000001E-3</v>
      </c>
      <c r="H121" s="86">
        <f>VLOOKUP($A121,'Data shares'!$C:$FA,90)</f>
        <v>2405075</v>
      </c>
      <c r="I121" s="86">
        <f>VLOOKUP($A121,'Data shares'!$C:$FA,92)</f>
        <v>681700</v>
      </c>
      <c r="J121" s="87">
        <f>VLOOKUP($A121,'Data shares'!$C:$FA,93)</f>
        <v>0.39560000000000001</v>
      </c>
      <c r="K121" s="86">
        <f>VLOOKUP($A121,'Data shares'!$C:$FA,94)</f>
        <v>1551250</v>
      </c>
      <c r="L121" s="86">
        <f>VLOOKUP($A121,'Data shares'!$C:$FA,96)</f>
        <v>153000</v>
      </c>
      <c r="M121" s="87">
        <f>VLOOKUP($A121,'Data shares'!$C:$FA,97)</f>
        <v>0.1094</v>
      </c>
      <c r="N121" s="86">
        <f>VLOOKUP($A121,'Data shares'!$C:$FA,78)</f>
        <v>6028625</v>
      </c>
      <c r="O121" s="87">
        <f>VLOOKUP($A121,'Data shares'!$C:$FA,81)</f>
        <v>7.6E-3</v>
      </c>
    </row>
    <row r="122" spans="1:15" x14ac:dyDescent="0.25">
      <c r="A122" s="100" t="str">
        <f>'Data Vlaue (Cr)'!C117</f>
        <v>LAURUSLABS</v>
      </c>
      <c r="B122" s="82">
        <f>VLOOKUP(A122,'Data shares'!$C$2:$CV$216,98,0)</f>
        <v>27562100</v>
      </c>
      <c r="C122" s="82">
        <f>VLOOKUP(A122,'Data shares'!$C$2:$CX$216,100,0)</f>
        <v>1409300</v>
      </c>
      <c r="D122" s="141">
        <f>VLOOKUP(A122,'Data shares'!$C$2:$CY$539,101,0)</f>
        <v>5.3900000000000003E-2</v>
      </c>
      <c r="E122" s="86">
        <f>VLOOKUP($A122,'Data shares'!$C:$FA,74)</f>
        <v>18218050</v>
      </c>
      <c r="F122" s="86">
        <f>VLOOKUP($A122,'Data shares'!$C:$FA,76)</f>
        <v>147900</v>
      </c>
      <c r="G122" s="87">
        <f>VLOOKUP(A122,'Data shares'!$C$2:$CA$216,77,0)</f>
        <v>8.2000000000000007E-3</v>
      </c>
      <c r="H122" s="86">
        <f>VLOOKUP($A122,'Data shares'!$C:$FA,90)</f>
        <v>5701800</v>
      </c>
      <c r="I122" s="86">
        <f>VLOOKUP($A122,'Data shares'!$C:$FA,92)</f>
        <v>605200</v>
      </c>
      <c r="J122" s="87">
        <f>VLOOKUP($A122,'Data shares'!$C:$FA,93)</f>
        <v>0.1187</v>
      </c>
      <c r="K122" s="86">
        <f>VLOOKUP($A122,'Data shares'!$C:$FA,94)</f>
        <v>3642250</v>
      </c>
      <c r="L122" s="86">
        <f>VLOOKUP($A122,'Data shares'!$C:$FA,96)</f>
        <v>656200</v>
      </c>
      <c r="M122" s="87">
        <f>VLOOKUP($A122,'Data shares'!$C:$FA,97)</f>
        <v>0.2198</v>
      </c>
      <c r="N122" s="86">
        <f>VLOOKUP($A122,'Data shares'!$C:$FA,78)</f>
        <v>18000450</v>
      </c>
      <c r="O122" s="87">
        <f>VLOOKUP($A122,'Data shares'!$C:$FA,81)</f>
        <v>6.4999999999999997E-3</v>
      </c>
    </row>
    <row r="123" spans="1:15" x14ac:dyDescent="0.25">
      <c r="A123" s="100" t="str">
        <f>'Data Vlaue (Cr)'!C118</f>
        <v>LICHSGFIN</v>
      </c>
      <c r="B123" s="82">
        <f>VLOOKUP(A123,'Data shares'!$C$2:$CV$216,98,0)</f>
        <v>38906000</v>
      </c>
      <c r="C123" s="82">
        <f>VLOOKUP(A123,'Data shares'!$C$2:$CX$216,100,0)</f>
        <v>705000</v>
      </c>
      <c r="D123" s="141">
        <f>VLOOKUP(A123,'Data shares'!$C$2:$CY$539,101,0)</f>
        <v>1.8499999999999999E-2</v>
      </c>
      <c r="E123" s="86">
        <f>VLOOKUP($A123,'Data shares'!$C:$FA,74)</f>
        <v>30300000</v>
      </c>
      <c r="F123" s="86">
        <f>VLOOKUP($A123,'Data shares'!$C:$FA,76)</f>
        <v>419000</v>
      </c>
      <c r="G123" s="87">
        <f>VLOOKUP(A123,'Data shares'!$C$2:$CA$216,77,0)</f>
        <v>1.4E-2</v>
      </c>
      <c r="H123" s="86">
        <f>VLOOKUP($A123,'Data shares'!$C:$FA,90)</f>
        <v>5221000</v>
      </c>
      <c r="I123" s="86">
        <f>VLOOKUP($A123,'Data shares'!$C:$FA,92)</f>
        <v>221000</v>
      </c>
      <c r="J123" s="87">
        <f>VLOOKUP($A123,'Data shares'!$C:$FA,93)</f>
        <v>4.4200000000000003E-2</v>
      </c>
      <c r="K123" s="86">
        <f>VLOOKUP($A123,'Data shares'!$C:$FA,94)</f>
        <v>3385000</v>
      </c>
      <c r="L123" s="86">
        <f>VLOOKUP($A123,'Data shares'!$C:$FA,96)</f>
        <v>65000</v>
      </c>
      <c r="M123" s="87">
        <f>VLOOKUP($A123,'Data shares'!$C:$FA,97)</f>
        <v>1.9599999999999999E-2</v>
      </c>
      <c r="N123" s="86">
        <f>VLOOKUP($A123,'Data shares'!$C:$FA,78)</f>
        <v>29895000</v>
      </c>
      <c r="O123" s="87">
        <f>VLOOKUP($A123,'Data shares'!$C:$FA,81)</f>
        <v>1.3599999999999999E-2</v>
      </c>
    </row>
    <row r="124" spans="1:15" x14ac:dyDescent="0.25">
      <c r="A124" s="100" t="str">
        <f>'Data Vlaue (Cr)'!C119</f>
        <v>LICI</v>
      </c>
      <c r="B124" s="82">
        <f>VLOOKUP(A124,'Data shares'!$C$2:$CV$216,98,0)</f>
        <v>19342400</v>
      </c>
      <c r="C124" s="82">
        <f>VLOOKUP(A124,'Data shares'!$C$2:$CX$216,100,0)</f>
        <v>991900</v>
      </c>
      <c r="D124" s="141">
        <f>VLOOKUP(A124,'Data shares'!$C$2:$CY$539,101,0)</f>
        <v>5.4100000000000002E-2</v>
      </c>
      <c r="E124" s="86">
        <f>VLOOKUP($A124,'Data shares'!$C:$FA,74)</f>
        <v>9912000</v>
      </c>
      <c r="F124" s="86">
        <f>VLOOKUP($A124,'Data shares'!$C:$FA,76)</f>
        <v>45500</v>
      </c>
      <c r="G124" s="87">
        <f>VLOOKUP(A124,'Data shares'!$C$2:$CA$216,77,0)</f>
        <v>4.5999999999999999E-3</v>
      </c>
      <c r="H124" s="86">
        <f>VLOOKUP($A124,'Data shares'!$C:$FA,90)</f>
        <v>5843600</v>
      </c>
      <c r="I124" s="86">
        <f>VLOOKUP($A124,'Data shares'!$C:$FA,92)</f>
        <v>716800</v>
      </c>
      <c r="J124" s="87">
        <f>VLOOKUP($A124,'Data shares'!$C:$FA,93)</f>
        <v>0.13980000000000001</v>
      </c>
      <c r="K124" s="86">
        <f>VLOOKUP($A124,'Data shares'!$C:$FA,94)</f>
        <v>3586800</v>
      </c>
      <c r="L124" s="86">
        <f>VLOOKUP($A124,'Data shares'!$C:$FA,96)</f>
        <v>229600</v>
      </c>
      <c r="M124" s="87">
        <f>VLOOKUP($A124,'Data shares'!$C:$FA,97)</f>
        <v>6.8400000000000002E-2</v>
      </c>
      <c r="N124" s="86">
        <f>VLOOKUP($A124,'Data shares'!$C:$FA,78)</f>
        <v>8852900</v>
      </c>
      <c r="O124" s="87">
        <f>VLOOKUP($A124,'Data shares'!$C:$FA,81)</f>
        <v>-6.4000000000000003E-3</v>
      </c>
    </row>
    <row r="125" spans="1:15" x14ac:dyDescent="0.25">
      <c r="A125" s="100" t="str">
        <f>'Data Vlaue (Cr)'!C120</f>
        <v>LODHA</v>
      </c>
      <c r="B125" s="82">
        <f>VLOOKUP(A125,'Data shares'!$C$2:$CV$216,98,0)</f>
        <v>19060575</v>
      </c>
      <c r="C125" s="82">
        <f>VLOOKUP(A125,'Data shares'!$C$2:$CX$216,100,0)</f>
        <v>-290875</v>
      </c>
      <c r="D125" s="141">
        <f>VLOOKUP(A125,'Data shares'!$C$2:$CY$539,101,0)</f>
        <v>-1.4999999999999999E-2</v>
      </c>
      <c r="E125" s="86">
        <f>VLOOKUP($A125,'Data shares'!$C:$FA,74)</f>
        <v>14957925</v>
      </c>
      <c r="F125" s="86">
        <f>VLOOKUP($A125,'Data shares'!$C:$FA,76)</f>
        <v>-260275</v>
      </c>
      <c r="G125" s="87">
        <f>VLOOKUP(A125,'Data shares'!$C$2:$CA$216,77,0)</f>
        <v>-1.7100000000000001E-2</v>
      </c>
      <c r="H125" s="86">
        <f>VLOOKUP($A125,'Data shares'!$C:$FA,90)</f>
        <v>2461950</v>
      </c>
      <c r="I125" s="86">
        <f>VLOOKUP($A125,'Data shares'!$C:$FA,92)</f>
        <v>-128700</v>
      </c>
      <c r="J125" s="87">
        <f>VLOOKUP($A125,'Data shares'!$C:$FA,93)</f>
        <v>-4.9700000000000001E-2</v>
      </c>
      <c r="K125" s="86">
        <f>VLOOKUP($A125,'Data shares'!$C:$FA,94)</f>
        <v>1640700</v>
      </c>
      <c r="L125" s="86">
        <f>VLOOKUP($A125,'Data shares'!$C:$FA,96)</f>
        <v>98100</v>
      </c>
      <c r="M125" s="87">
        <f>VLOOKUP($A125,'Data shares'!$C:$FA,97)</f>
        <v>6.3600000000000004E-2</v>
      </c>
      <c r="N125" s="86">
        <f>VLOOKUP($A125,'Data shares'!$C:$FA,78)</f>
        <v>13664700</v>
      </c>
      <c r="O125" s="87">
        <f>VLOOKUP($A125,'Data shares'!$C:$FA,81)</f>
        <v>-1.8499999999999999E-2</v>
      </c>
    </row>
    <row r="126" spans="1:15" x14ac:dyDescent="0.25">
      <c r="A126" s="100" t="str">
        <f>'Data Vlaue (Cr)'!C121</f>
        <v>LT</v>
      </c>
      <c r="B126" s="82">
        <f>VLOOKUP(A126,'Data shares'!$C$2:$CV$216,98,0)</f>
        <v>23251375</v>
      </c>
      <c r="C126" s="82">
        <f>VLOOKUP(A126,'Data shares'!$C$2:$CX$216,100,0)</f>
        <v>1334900</v>
      </c>
      <c r="D126" s="141">
        <f>VLOOKUP(A126,'Data shares'!$C$2:$CY$539,101,0)</f>
        <v>6.0900000000000003E-2</v>
      </c>
      <c r="E126" s="86">
        <f>VLOOKUP($A126,'Data shares'!$C:$FA,74)</f>
        <v>14180075</v>
      </c>
      <c r="F126" s="86">
        <f>VLOOKUP($A126,'Data shares'!$C:$FA,76)</f>
        <v>-230475</v>
      </c>
      <c r="G126" s="87">
        <f>VLOOKUP(A126,'Data shares'!$C$2:$CA$216,77,0)</f>
        <v>-1.6E-2</v>
      </c>
      <c r="H126" s="86">
        <f>VLOOKUP($A126,'Data shares'!$C:$FA,90)</f>
        <v>4955475</v>
      </c>
      <c r="I126" s="86">
        <f>VLOOKUP($A126,'Data shares'!$C:$FA,92)</f>
        <v>1159375</v>
      </c>
      <c r="J126" s="87">
        <f>VLOOKUP($A126,'Data shares'!$C:$FA,93)</f>
        <v>0.3054</v>
      </c>
      <c r="K126" s="86">
        <f>VLOOKUP($A126,'Data shares'!$C:$FA,94)</f>
        <v>4115825</v>
      </c>
      <c r="L126" s="86">
        <f>VLOOKUP($A126,'Data shares'!$C:$FA,96)</f>
        <v>406000</v>
      </c>
      <c r="M126" s="87">
        <f>VLOOKUP($A126,'Data shares'!$C:$FA,97)</f>
        <v>0.1094</v>
      </c>
      <c r="N126" s="86">
        <f>VLOOKUP($A126,'Data shares'!$C:$FA,78)</f>
        <v>13508075</v>
      </c>
      <c r="O126" s="87">
        <f>VLOOKUP($A126,'Data shares'!$C:$FA,81)</f>
        <v>-1.9400000000000001E-2</v>
      </c>
    </row>
    <row r="127" spans="1:15" x14ac:dyDescent="0.25">
      <c r="A127" s="100" t="str">
        <f>'Data Vlaue (Cr)'!C122</f>
        <v>LTF</v>
      </c>
      <c r="B127" s="82">
        <f>VLOOKUP(A127,'Data shares'!$C$2:$CV$216,98,0)</f>
        <v>69414750</v>
      </c>
      <c r="C127" s="82">
        <f>VLOOKUP(A127,'Data shares'!$C$2:$CX$216,100,0)</f>
        <v>2828250</v>
      </c>
      <c r="D127" s="141">
        <f>VLOOKUP(A127,'Data shares'!$C$2:$CY$539,101,0)</f>
        <v>4.2500000000000003E-2</v>
      </c>
      <c r="E127" s="86">
        <f>VLOOKUP($A127,'Data shares'!$C:$FA,74)</f>
        <v>44559000</v>
      </c>
      <c r="F127" s="86">
        <f>VLOOKUP($A127,'Data shares'!$C:$FA,76)</f>
        <v>531000</v>
      </c>
      <c r="G127" s="87">
        <f>VLOOKUP(A127,'Data shares'!$C$2:$CA$216,77,0)</f>
        <v>1.21E-2</v>
      </c>
      <c r="H127" s="86">
        <f>VLOOKUP($A127,'Data shares'!$C:$FA,90)</f>
        <v>14175000</v>
      </c>
      <c r="I127" s="86">
        <f>VLOOKUP($A127,'Data shares'!$C:$FA,92)</f>
        <v>1800000</v>
      </c>
      <c r="J127" s="87">
        <f>VLOOKUP($A127,'Data shares'!$C:$FA,93)</f>
        <v>0.14549999999999999</v>
      </c>
      <c r="K127" s="86">
        <f>VLOOKUP($A127,'Data shares'!$C:$FA,94)</f>
        <v>10680750</v>
      </c>
      <c r="L127" s="86">
        <f>VLOOKUP($A127,'Data shares'!$C:$FA,96)</f>
        <v>497250</v>
      </c>
      <c r="M127" s="87">
        <f>VLOOKUP($A127,'Data shares'!$C:$FA,97)</f>
        <v>4.8800000000000003E-2</v>
      </c>
      <c r="N127" s="86">
        <f>VLOOKUP($A127,'Data shares'!$C:$FA,78)</f>
        <v>43647750</v>
      </c>
      <c r="O127" s="87">
        <f>VLOOKUP($A127,'Data shares'!$C:$FA,81)</f>
        <v>7.1999999999999998E-3</v>
      </c>
    </row>
    <row r="128" spans="1:15" x14ac:dyDescent="0.25">
      <c r="A128" s="100" t="str">
        <f>'Data Vlaue (Cr)'!C123</f>
        <v>LTM</v>
      </c>
      <c r="B128" s="82">
        <f>VLOOKUP(A128,'Data shares'!$C$2:$CV$216,98,0)</f>
        <v>4805700</v>
      </c>
      <c r="C128" s="82">
        <f>VLOOKUP(A128,'Data shares'!$C$2:$CX$216,100,0)</f>
        <v>166350</v>
      </c>
      <c r="D128" s="141">
        <f>VLOOKUP(A128,'Data shares'!$C$2:$CY$539,101,0)</f>
        <v>3.5900000000000001E-2</v>
      </c>
      <c r="E128" s="86">
        <f>VLOOKUP($A128,'Data shares'!$C:$FA,74)</f>
        <v>3267450</v>
      </c>
      <c r="F128" s="86">
        <f>VLOOKUP($A128,'Data shares'!$C:$FA,76)</f>
        <v>8550</v>
      </c>
      <c r="G128" s="87">
        <f>VLOOKUP(A128,'Data shares'!$C$2:$CA$216,77,0)</f>
        <v>2.5999999999999999E-3</v>
      </c>
      <c r="H128" s="86">
        <f>VLOOKUP($A128,'Data shares'!$C:$FA,90)</f>
        <v>919950</v>
      </c>
      <c r="I128" s="86">
        <f>VLOOKUP($A128,'Data shares'!$C:$FA,92)</f>
        <v>104550</v>
      </c>
      <c r="J128" s="87">
        <f>VLOOKUP($A128,'Data shares'!$C:$FA,93)</f>
        <v>0.12820000000000001</v>
      </c>
      <c r="K128" s="86">
        <f>VLOOKUP($A128,'Data shares'!$C:$FA,94)</f>
        <v>618300</v>
      </c>
      <c r="L128" s="86">
        <f>VLOOKUP($A128,'Data shares'!$C:$FA,96)</f>
        <v>53250</v>
      </c>
      <c r="M128" s="87">
        <f>VLOOKUP($A128,'Data shares'!$C:$FA,97)</f>
        <v>9.4200000000000006E-2</v>
      </c>
      <c r="N128" s="86">
        <f>VLOOKUP($A128,'Data shares'!$C:$FA,78)</f>
        <v>3131850</v>
      </c>
      <c r="O128" s="87">
        <f>VLOOKUP($A128,'Data shares'!$C:$FA,81)</f>
        <v>-4.7000000000000002E-3</v>
      </c>
    </row>
    <row r="129" spans="1:15" x14ac:dyDescent="0.25">
      <c r="A129" s="100" t="str">
        <f>'Data Vlaue (Cr)'!C124</f>
        <v>LUPIN</v>
      </c>
      <c r="B129" s="82">
        <f>VLOOKUP(A129,'Data shares'!$C$2:$CV$216,98,0)</f>
        <v>11816700</v>
      </c>
      <c r="C129" s="82">
        <f>VLOOKUP(A129,'Data shares'!$C$2:$CX$216,100,0)</f>
        <v>1537225</v>
      </c>
      <c r="D129" s="141">
        <f>VLOOKUP(A129,'Data shares'!$C$2:$CY$539,101,0)</f>
        <v>0.14949999999999999</v>
      </c>
      <c r="E129" s="86">
        <f>VLOOKUP($A129,'Data shares'!$C:$FA,74)</f>
        <v>7131075</v>
      </c>
      <c r="F129" s="86">
        <f>VLOOKUP($A129,'Data shares'!$C:$FA,76)</f>
        <v>142800</v>
      </c>
      <c r="G129" s="87">
        <f>VLOOKUP(A129,'Data shares'!$C$2:$CA$216,77,0)</f>
        <v>2.0400000000000001E-2</v>
      </c>
      <c r="H129" s="86">
        <f>VLOOKUP($A129,'Data shares'!$C:$FA,90)</f>
        <v>2872575</v>
      </c>
      <c r="I129" s="86">
        <f>VLOOKUP($A129,'Data shares'!$C:$FA,92)</f>
        <v>1045075</v>
      </c>
      <c r="J129" s="87">
        <f>VLOOKUP($A129,'Data shares'!$C:$FA,93)</f>
        <v>0.57189999999999996</v>
      </c>
      <c r="K129" s="86">
        <f>VLOOKUP($A129,'Data shares'!$C:$FA,94)</f>
        <v>1813050</v>
      </c>
      <c r="L129" s="86">
        <f>VLOOKUP($A129,'Data shares'!$C:$FA,96)</f>
        <v>349350</v>
      </c>
      <c r="M129" s="87">
        <f>VLOOKUP($A129,'Data shares'!$C:$FA,97)</f>
        <v>0.2387</v>
      </c>
      <c r="N129" s="86">
        <f>VLOOKUP($A129,'Data shares'!$C:$FA,78)</f>
        <v>6731575</v>
      </c>
      <c r="O129" s="87">
        <f>VLOOKUP($A129,'Data shares'!$C:$FA,81)</f>
        <v>1.8599999999999998E-2</v>
      </c>
    </row>
    <row r="130" spans="1:15" x14ac:dyDescent="0.25">
      <c r="A130" s="100" t="str">
        <f>'Data Vlaue (Cr)'!C125</f>
        <v>M&amp;M</v>
      </c>
      <c r="B130" s="82">
        <f>VLOOKUP(A130,'Data shares'!$C$2:$CV$216,98,0)</f>
        <v>28714600</v>
      </c>
      <c r="C130" s="82">
        <f>VLOOKUP(A130,'Data shares'!$C$2:$CX$216,100,0)</f>
        <v>2047000</v>
      </c>
      <c r="D130" s="141">
        <f>VLOOKUP(A130,'Data shares'!$C$2:$CY$539,101,0)</f>
        <v>7.6799999999999993E-2</v>
      </c>
      <c r="E130" s="86">
        <f>VLOOKUP($A130,'Data shares'!$C:$FA,74)</f>
        <v>20421000</v>
      </c>
      <c r="F130" s="86">
        <f>VLOOKUP($A130,'Data shares'!$C:$FA,76)</f>
        <v>478400</v>
      </c>
      <c r="G130" s="87">
        <f>VLOOKUP(A130,'Data shares'!$C$2:$CA$216,77,0)</f>
        <v>2.4E-2</v>
      </c>
      <c r="H130" s="86">
        <f>VLOOKUP($A130,'Data shares'!$C:$FA,90)</f>
        <v>4595200</v>
      </c>
      <c r="I130" s="86">
        <f>VLOOKUP($A130,'Data shares'!$C:$FA,92)</f>
        <v>1038200</v>
      </c>
      <c r="J130" s="87">
        <f>VLOOKUP($A130,'Data shares'!$C:$FA,93)</f>
        <v>0.29189999999999999</v>
      </c>
      <c r="K130" s="86">
        <f>VLOOKUP($A130,'Data shares'!$C:$FA,94)</f>
        <v>3698400</v>
      </c>
      <c r="L130" s="86">
        <f>VLOOKUP($A130,'Data shares'!$C:$FA,96)</f>
        <v>530400</v>
      </c>
      <c r="M130" s="87">
        <f>VLOOKUP($A130,'Data shares'!$C:$FA,97)</f>
        <v>0.16739999999999999</v>
      </c>
      <c r="N130" s="86">
        <f>VLOOKUP($A130,'Data shares'!$C:$FA,78)</f>
        <v>17552000</v>
      </c>
      <c r="O130" s="87">
        <f>VLOOKUP($A130,'Data shares'!$C:$FA,81)</f>
        <v>2.1999999999999999E-2</v>
      </c>
    </row>
    <row r="131" spans="1:15" x14ac:dyDescent="0.25">
      <c r="A131" s="100" t="str">
        <f>'Data Vlaue (Cr)'!C126</f>
        <v>MANAPPURAM</v>
      </c>
      <c r="B131" s="82">
        <f>VLOOKUP(A131,'Data shares'!$C$2:$CV$216,98,0)</f>
        <v>74247000</v>
      </c>
      <c r="C131" s="82">
        <f>VLOOKUP(A131,'Data shares'!$C$2:$CX$216,100,0)</f>
        <v>6693000</v>
      </c>
      <c r="D131" s="141">
        <f>VLOOKUP(A131,'Data shares'!$C$2:$CY$539,101,0)</f>
        <v>9.9099999999999994E-2</v>
      </c>
      <c r="E131" s="86">
        <f>VLOOKUP($A131,'Data shares'!$C:$FA,74)</f>
        <v>52860000</v>
      </c>
      <c r="F131" s="86">
        <f>VLOOKUP($A131,'Data shares'!$C:$FA,76)</f>
        <v>861000</v>
      </c>
      <c r="G131" s="87">
        <f>VLOOKUP(A131,'Data shares'!$C$2:$CA$216,77,0)</f>
        <v>1.66E-2</v>
      </c>
      <c r="H131" s="86">
        <f>VLOOKUP($A131,'Data shares'!$C:$FA,90)</f>
        <v>12933000</v>
      </c>
      <c r="I131" s="86">
        <f>VLOOKUP($A131,'Data shares'!$C:$FA,92)</f>
        <v>2811000</v>
      </c>
      <c r="J131" s="87">
        <f>VLOOKUP($A131,'Data shares'!$C:$FA,93)</f>
        <v>0.2777</v>
      </c>
      <c r="K131" s="86">
        <f>VLOOKUP($A131,'Data shares'!$C:$FA,94)</f>
        <v>8454000</v>
      </c>
      <c r="L131" s="86">
        <f>VLOOKUP($A131,'Data shares'!$C:$FA,96)</f>
        <v>3021000</v>
      </c>
      <c r="M131" s="87">
        <f>VLOOKUP($A131,'Data shares'!$C:$FA,97)</f>
        <v>0.55600000000000005</v>
      </c>
      <c r="N131" s="86">
        <f>VLOOKUP($A131,'Data shares'!$C:$FA,78)</f>
        <v>52521000</v>
      </c>
      <c r="O131" s="87">
        <f>VLOOKUP($A131,'Data shares'!$C:$FA,81)</f>
        <v>1.5900000000000001E-2</v>
      </c>
    </row>
    <row r="132" spans="1:15" x14ac:dyDescent="0.25">
      <c r="A132" s="100" t="str">
        <f>'Data Vlaue (Cr)'!C127</f>
        <v>MANKIND</v>
      </c>
      <c r="B132" s="82">
        <f>VLOOKUP(A132,'Data shares'!$C$2:$CV$216,98,0)</f>
        <v>4412700</v>
      </c>
      <c r="C132" s="82">
        <f>VLOOKUP(A132,'Data shares'!$C$2:$CX$216,100,0)</f>
        <v>203625</v>
      </c>
      <c r="D132" s="141">
        <f>VLOOKUP(A132,'Data shares'!$C$2:$CY$539,101,0)</f>
        <v>4.8399999999999999E-2</v>
      </c>
      <c r="E132" s="86">
        <f>VLOOKUP($A132,'Data shares'!$C:$FA,74)</f>
        <v>3513150</v>
      </c>
      <c r="F132" s="86">
        <f>VLOOKUP($A132,'Data shares'!$C:$FA,76)</f>
        <v>30150</v>
      </c>
      <c r="G132" s="87">
        <f>VLOOKUP(A132,'Data shares'!$C$2:$CA$216,77,0)</f>
        <v>8.6999999999999994E-3</v>
      </c>
      <c r="H132" s="86">
        <f>VLOOKUP($A132,'Data shares'!$C:$FA,90)</f>
        <v>495000</v>
      </c>
      <c r="I132" s="86">
        <f>VLOOKUP($A132,'Data shares'!$C:$FA,92)</f>
        <v>153450</v>
      </c>
      <c r="J132" s="87">
        <f>VLOOKUP($A132,'Data shares'!$C:$FA,93)</f>
        <v>0.44929999999999998</v>
      </c>
      <c r="K132" s="86">
        <f>VLOOKUP($A132,'Data shares'!$C:$FA,94)</f>
        <v>404550</v>
      </c>
      <c r="L132" s="86">
        <f>VLOOKUP($A132,'Data shares'!$C:$FA,96)</f>
        <v>20025</v>
      </c>
      <c r="M132" s="87">
        <f>VLOOKUP($A132,'Data shares'!$C:$FA,97)</f>
        <v>5.21E-2</v>
      </c>
      <c r="N132" s="86">
        <f>VLOOKUP($A132,'Data shares'!$C:$FA,78)</f>
        <v>3487950</v>
      </c>
      <c r="O132" s="87">
        <f>VLOOKUP($A132,'Data shares'!$C:$FA,81)</f>
        <v>8.5000000000000006E-3</v>
      </c>
    </row>
    <row r="133" spans="1:15" x14ac:dyDescent="0.25">
      <c r="A133" s="100" t="str">
        <f>'Data Vlaue (Cr)'!C128</f>
        <v>MARICO</v>
      </c>
      <c r="B133" s="82">
        <f>VLOOKUP(A133,'Data shares'!$C$2:$CV$216,98,0)</f>
        <v>27924000</v>
      </c>
      <c r="C133" s="82">
        <f>VLOOKUP(A133,'Data shares'!$C$2:$CX$216,100,0)</f>
        <v>1350000</v>
      </c>
      <c r="D133" s="141">
        <f>VLOOKUP(A133,'Data shares'!$C$2:$CY$539,101,0)</f>
        <v>5.0799999999999998E-2</v>
      </c>
      <c r="E133" s="86">
        <f>VLOOKUP($A133,'Data shares'!$C:$FA,74)</f>
        <v>22135200</v>
      </c>
      <c r="F133" s="86">
        <f>VLOOKUP($A133,'Data shares'!$C:$FA,76)</f>
        <v>146400</v>
      </c>
      <c r="G133" s="87">
        <f>VLOOKUP(A133,'Data shares'!$C$2:$CA$216,77,0)</f>
        <v>6.7000000000000002E-3</v>
      </c>
      <c r="H133" s="86">
        <f>VLOOKUP($A133,'Data shares'!$C:$FA,90)</f>
        <v>3210000</v>
      </c>
      <c r="I133" s="86">
        <f>VLOOKUP($A133,'Data shares'!$C:$FA,92)</f>
        <v>642000</v>
      </c>
      <c r="J133" s="87">
        <f>VLOOKUP($A133,'Data shares'!$C:$FA,93)</f>
        <v>0.25</v>
      </c>
      <c r="K133" s="86">
        <f>VLOOKUP($A133,'Data shares'!$C:$FA,94)</f>
        <v>2578800</v>
      </c>
      <c r="L133" s="86">
        <f>VLOOKUP($A133,'Data shares'!$C:$FA,96)</f>
        <v>561600</v>
      </c>
      <c r="M133" s="87">
        <f>VLOOKUP($A133,'Data shares'!$C:$FA,97)</f>
        <v>0.27839999999999998</v>
      </c>
      <c r="N133" s="86">
        <f>VLOOKUP($A133,'Data shares'!$C:$FA,78)</f>
        <v>20880000</v>
      </c>
      <c r="O133" s="87">
        <f>VLOOKUP($A133,'Data shares'!$C:$FA,81)</f>
        <v>6.7999999999999996E-3</v>
      </c>
    </row>
    <row r="134" spans="1:15" x14ac:dyDescent="0.25">
      <c r="A134" s="100" t="str">
        <f>'Data Vlaue (Cr)'!C129</f>
        <v>MARUTI</v>
      </c>
      <c r="B134" s="82">
        <f>VLOOKUP(A134,'Data shares'!$C$2:$CV$216,98,0)</f>
        <v>5947550</v>
      </c>
      <c r="C134" s="82">
        <f>VLOOKUP(A134,'Data shares'!$C$2:$CX$216,100,0)</f>
        <v>483950</v>
      </c>
      <c r="D134" s="141">
        <f>VLOOKUP(A134,'Data shares'!$C$2:$CY$539,101,0)</f>
        <v>8.8599999999999998E-2</v>
      </c>
      <c r="E134" s="86">
        <f>VLOOKUP($A134,'Data shares'!$C:$FA,74)</f>
        <v>3103150</v>
      </c>
      <c r="F134" s="86">
        <f>VLOOKUP($A134,'Data shares'!$C:$FA,76)</f>
        <v>24950</v>
      </c>
      <c r="G134" s="87">
        <f>VLOOKUP(A134,'Data shares'!$C$2:$CA$216,77,0)</f>
        <v>8.0999999999999996E-3</v>
      </c>
      <c r="H134" s="86">
        <f>VLOOKUP($A134,'Data shares'!$C:$FA,90)</f>
        <v>1902100</v>
      </c>
      <c r="I134" s="86">
        <f>VLOOKUP($A134,'Data shares'!$C:$FA,92)</f>
        <v>282000</v>
      </c>
      <c r="J134" s="87">
        <f>VLOOKUP($A134,'Data shares'!$C:$FA,93)</f>
        <v>0.1741</v>
      </c>
      <c r="K134" s="86">
        <f>VLOOKUP($A134,'Data shares'!$C:$FA,94)</f>
        <v>942300</v>
      </c>
      <c r="L134" s="86">
        <f>VLOOKUP($A134,'Data shares'!$C:$FA,96)</f>
        <v>177000</v>
      </c>
      <c r="M134" s="87">
        <f>VLOOKUP($A134,'Data shares'!$C:$FA,97)</f>
        <v>0.23130000000000001</v>
      </c>
      <c r="N134" s="86">
        <f>VLOOKUP($A134,'Data shares'!$C:$FA,78)</f>
        <v>2494200</v>
      </c>
      <c r="O134" s="87">
        <f>VLOOKUP($A134,'Data shares'!$C:$FA,81)</f>
        <v>-5.3E-3</v>
      </c>
    </row>
    <row r="135" spans="1:15" x14ac:dyDescent="0.25">
      <c r="A135" s="100" t="str">
        <f>'Data Vlaue (Cr)'!C130</f>
        <v>MAXHEALTH</v>
      </c>
      <c r="B135" s="82">
        <f>VLOOKUP(A135,'Data shares'!$C$2:$CV$216,98,0)</f>
        <v>16648800</v>
      </c>
      <c r="C135" s="82">
        <f>VLOOKUP(A135,'Data shares'!$C$2:$CX$216,100,0)</f>
        <v>772800</v>
      </c>
      <c r="D135" s="141">
        <f>VLOOKUP(A135,'Data shares'!$C$2:$CY$539,101,0)</f>
        <v>4.87E-2</v>
      </c>
      <c r="E135" s="86">
        <f>VLOOKUP($A135,'Data shares'!$C:$FA,74)</f>
        <v>13225800</v>
      </c>
      <c r="F135" s="86">
        <f>VLOOKUP($A135,'Data shares'!$C:$FA,76)</f>
        <v>267750</v>
      </c>
      <c r="G135" s="87">
        <f>VLOOKUP(A135,'Data shares'!$C$2:$CA$216,77,0)</f>
        <v>2.07E-2</v>
      </c>
      <c r="H135" s="86">
        <f>VLOOKUP($A135,'Data shares'!$C:$FA,90)</f>
        <v>2087925</v>
      </c>
      <c r="I135" s="86">
        <f>VLOOKUP($A135,'Data shares'!$C:$FA,92)</f>
        <v>212100</v>
      </c>
      <c r="J135" s="87">
        <f>VLOOKUP($A135,'Data shares'!$C:$FA,93)</f>
        <v>0.11310000000000001</v>
      </c>
      <c r="K135" s="86">
        <f>VLOOKUP($A135,'Data shares'!$C:$FA,94)</f>
        <v>1335075</v>
      </c>
      <c r="L135" s="86">
        <f>VLOOKUP($A135,'Data shares'!$C:$FA,96)</f>
        <v>292950</v>
      </c>
      <c r="M135" s="87">
        <f>VLOOKUP($A135,'Data shares'!$C:$FA,97)</f>
        <v>0.28110000000000002</v>
      </c>
      <c r="N135" s="86">
        <f>VLOOKUP($A135,'Data shares'!$C:$FA,78)</f>
        <v>12040350</v>
      </c>
      <c r="O135" s="87">
        <f>VLOOKUP($A135,'Data shares'!$C:$FA,81)</f>
        <v>1.4500000000000001E-2</v>
      </c>
    </row>
    <row r="136" spans="1:15" x14ac:dyDescent="0.25">
      <c r="A136" s="100" t="str">
        <f>'Data Vlaue (Cr)'!C131</f>
        <v>MAZDOCK</v>
      </c>
      <c r="B136" s="82">
        <f>VLOOKUP(A136,'Data shares'!$C$2:$CV$216,98,0)</f>
        <v>11171950</v>
      </c>
      <c r="C136" s="82">
        <f>VLOOKUP(A136,'Data shares'!$C$2:$CX$216,100,0)</f>
        <v>2868525</v>
      </c>
      <c r="D136" s="141">
        <f>VLOOKUP(A136,'Data shares'!$C$2:$CY$539,101,0)</f>
        <v>0.34549999999999997</v>
      </c>
      <c r="E136" s="86">
        <f>VLOOKUP($A136,'Data shares'!$C:$FA,74)</f>
        <v>4866550</v>
      </c>
      <c r="F136" s="86">
        <f>VLOOKUP($A136,'Data shares'!$C:$FA,76)</f>
        <v>653725</v>
      </c>
      <c r="G136" s="87">
        <f>VLOOKUP(A136,'Data shares'!$C$2:$CA$216,77,0)</f>
        <v>0.1552</v>
      </c>
      <c r="H136" s="86">
        <f>VLOOKUP($A136,'Data shares'!$C:$FA,90)</f>
        <v>4546000</v>
      </c>
      <c r="I136" s="86">
        <f>VLOOKUP($A136,'Data shares'!$C:$FA,92)</f>
        <v>1809000</v>
      </c>
      <c r="J136" s="87">
        <f>VLOOKUP($A136,'Data shares'!$C:$FA,93)</f>
        <v>0.66090000000000004</v>
      </c>
      <c r="K136" s="86">
        <f>VLOOKUP($A136,'Data shares'!$C:$FA,94)</f>
        <v>1759400</v>
      </c>
      <c r="L136" s="86">
        <f>VLOOKUP($A136,'Data shares'!$C:$FA,96)</f>
        <v>405800</v>
      </c>
      <c r="M136" s="87">
        <f>VLOOKUP($A136,'Data shares'!$C:$FA,97)</f>
        <v>0.29980000000000001</v>
      </c>
      <c r="N136" s="86">
        <f>VLOOKUP($A136,'Data shares'!$C:$FA,78)</f>
        <v>4630200</v>
      </c>
      <c r="O136" s="87">
        <f>VLOOKUP($A136,'Data shares'!$C:$FA,81)</f>
        <v>0.13600000000000001</v>
      </c>
    </row>
    <row r="137" spans="1:15" x14ac:dyDescent="0.25">
      <c r="A137" s="100" t="str">
        <f>'Data Vlaue (Cr)'!C132</f>
        <v>MCX</v>
      </c>
      <c r="B137" s="82">
        <f>VLOOKUP(A137,'Data shares'!$C$2:$CV$216,98,0)</f>
        <v>20730625</v>
      </c>
      <c r="C137" s="82">
        <f>VLOOKUP(A137,'Data shares'!$C$2:$CX$216,100,0)</f>
        <v>1107475</v>
      </c>
      <c r="D137" s="141">
        <f>VLOOKUP(A137,'Data shares'!$C$2:$CY$539,101,0)</f>
        <v>5.6399999999999999E-2</v>
      </c>
      <c r="E137" s="86">
        <f>VLOOKUP($A137,'Data shares'!$C:$FA,74)</f>
        <v>12953750</v>
      </c>
      <c r="F137" s="86">
        <f>VLOOKUP($A137,'Data shares'!$C:$FA,76)</f>
        <v>381850</v>
      </c>
      <c r="G137" s="87">
        <f>VLOOKUP(A137,'Data shares'!$C$2:$CA$216,77,0)</f>
        <v>3.04E-2</v>
      </c>
      <c r="H137" s="86">
        <f>VLOOKUP($A137,'Data shares'!$C:$FA,90)</f>
        <v>4511250</v>
      </c>
      <c r="I137" s="86">
        <f>VLOOKUP($A137,'Data shares'!$C:$FA,92)</f>
        <v>500625</v>
      </c>
      <c r="J137" s="87">
        <f>VLOOKUP($A137,'Data shares'!$C:$FA,93)</f>
        <v>0.12479999999999999</v>
      </c>
      <c r="K137" s="86">
        <f>VLOOKUP($A137,'Data shares'!$C:$FA,94)</f>
        <v>3265625</v>
      </c>
      <c r="L137" s="86">
        <f>VLOOKUP($A137,'Data shares'!$C:$FA,96)</f>
        <v>225000</v>
      </c>
      <c r="M137" s="87">
        <f>VLOOKUP($A137,'Data shares'!$C:$FA,97)</f>
        <v>7.3999999999999996E-2</v>
      </c>
      <c r="N137" s="86">
        <f>VLOOKUP($A137,'Data shares'!$C:$FA,78)</f>
        <v>12500000</v>
      </c>
      <c r="O137" s="87">
        <f>VLOOKUP($A137,'Data shares'!$C:$FA,81)</f>
        <v>2.63E-2</v>
      </c>
    </row>
    <row r="138" spans="1:15" x14ac:dyDescent="0.25">
      <c r="A138" s="100" t="str">
        <f>'Data Vlaue (Cr)'!C133</f>
        <v>MFSL</v>
      </c>
      <c r="B138" s="82">
        <f>VLOOKUP(A138,'Data shares'!$C$2:$CV$216,98,0)</f>
        <v>9849600</v>
      </c>
      <c r="C138" s="82">
        <f>VLOOKUP(A138,'Data shares'!$C$2:$CX$216,100,0)</f>
        <v>182800</v>
      </c>
      <c r="D138" s="141">
        <f>VLOOKUP(A138,'Data shares'!$C$2:$CY$539,101,0)</f>
        <v>1.89E-2</v>
      </c>
      <c r="E138" s="86">
        <f>VLOOKUP($A138,'Data shares'!$C:$FA,74)</f>
        <v>9185600</v>
      </c>
      <c r="F138" s="86">
        <f>VLOOKUP($A138,'Data shares'!$C:$FA,76)</f>
        <v>8400</v>
      </c>
      <c r="G138" s="87">
        <f>VLOOKUP(A138,'Data shares'!$C$2:$CA$216,77,0)</f>
        <v>8.9999999999999998E-4</v>
      </c>
      <c r="H138" s="86">
        <f>VLOOKUP($A138,'Data shares'!$C:$FA,90)</f>
        <v>358400</v>
      </c>
      <c r="I138" s="86">
        <f>VLOOKUP($A138,'Data shares'!$C:$FA,92)</f>
        <v>134800</v>
      </c>
      <c r="J138" s="87">
        <f>VLOOKUP($A138,'Data shares'!$C:$FA,93)</f>
        <v>0.60289999999999999</v>
      </c>
      <c r="K138" s="86">
        <f>VLOOKUP($A138,'Data shares'!$C:$FA,94)</f>
        <v>305600</v>
      </c>
      <c r="L138" s="86">
        <f>VLOOKUP($A138,'Data shares'!$C:$FA,96)</f>
        <v>39600</v>
      </c>
      <c r="M138" s="87">
        <f>VLOOKUP($A138,'Data shares'!$C:$FA,97)</f>
        <v>0.1489</v>
      </c>
      <c r="N138" s="86">
        <f>VLOOKUP($A138,'Data shares'!$C:$FA,78)</f>
        <v>9157200</v>
      </c>
      <c r="O138" s="87">
        <f>VLOOKUP($A138,'Data shares'!$C:$FA,81)</f>
        <v>8.9999999999999998E-4</v>
      </c>
    </row>
    <row r="139" spans="1:15" x14ac:dyDescent="0.25">
      <c r="A139" s="100" t="str">
        <f>'Data Vlaue (Cr)'!C134</f>
        <v>MIDCPNIFTY</v>
      </c>
      <c r="B139" s="82">
        <f>VLOOKUP(A139,'Data shares'!$C$2:$CV$216,98,0)</f>
        <v>9549720</v>
      </c>
      <c r="C139" s="82">
        <f>VLOOKUP(A139,'Data shares'!$C$2:$CX$216,100,0)</f>
        <v>1164960</v>
      </c>
      <c r="D139" s="141">
        <f>VLOOKUP(A139,'Data shares'!$C$2:$CY$539,101,0)</f>
        <v>0.1389</v>
      </c>
      <c r="E139" s="86">
        <f>VLOOKUP($A139,'Data shares'!$C:$FA,74)</f>
        <v>2257440</v>
      </c>
      <c r="F139" s="86">
        <f>VLOOKUP($A139,'Data shares'!$C:$FA,76)</f>
        <v>15600</v>
      </c>
      <c r="G139" s="87">
        <f>VLOOKUP(A139,'Data shares'!$C$2:$CA$216,77,0)</f>
        <v>7.0000000000000001E-3</v>
      </c>
      <c r="H139" s="86">
        <f>VLOOKUP($A139,'Data shares'!$C:$FA,90)</f>
        <v>3415680</v>
      </c>
      <c r="I139" s="86">
        <f>VLOOKUP($A139,'Data shares'!$C:$FA,92)</f>
        <v>382800</v>
      </c>
      <c r="J139" s="87">
        <f>VLOOKUP($A139,'Data shares'!$C:$FA,93)</f>
        <v>0.12620000000000001</v>
      </c>
      <c r="K139" s="86">
        <f>VLOOKUP($A139,'Data shares'!$C:$FA,94)</f>
        <v>3876600</v>
      </c>
      <c r="L139" s="86">
        <f>VLOOKUP($A139,'Data shares'!$C:$FA,96)</f>
        <v>766560</v>
      </c>
      <c r="M139" s="87">
        <f>VLOOKUP($A139,'Data shares'!$C:$FA,97)</f>
        <v>0.2465</v>
      </c>
      <c r="N139" s="86">
        <f>VLOOKUP($A139,'Data shares'!$C:$FA,78)</f>
        <v>2208120</v>
      </c>
      <c r="O139" s="87">
        <f>VLOOKUP($A139,'Data shares'!$C:$FA,81)</f>
        <v>6.3E-3</v>
      </c>
    </row>
    <row r="140" spans="1:15" x14ac:dyDescent="0.25">
      <c r="A140" s="100" t="str">
        <f>'Data Vlaue (Cr)'!C135</f>
        <v>MOTHERSON</v>
      </c>
      <c r="B140" s="82">
        <f>VLOOKUP(A140,'Data shares'!$C$2:$CV$216,98,0)</f>
        <v>178860450</v>
      </c>
      <c r="C140" s="82">
        <f>VLOOKUP(A140,'Data shares'!$C$2:$CX$216,100,0)</f>
        <v>4452600</v>
      </c>
      <c r="D140" s="141">
        <f>VLOOKUP(A140,'Data shares'!$C$2:$CY$539,101,0)</f>
        <v>2.5499999999999998E-2</v>
      </c>
      <c r="E140" s="86">
        <f>VLOOKUP($A140,'Data shares'!$C:$FA,74)</f>
        <v>133664100</v>
      </c>
      <c r="F140" s="86">
        <f>VLOOKUP($A140,'Data shares'!$C:$FA,76)</f>
        <v>547350</v>
      </c>
      <c r="G140" s="87">
        <f>VLOOKUP(A140,'Data shares'!$C$2:$CA$216,77,0)</f>
        <v>4.1000000000000003E-3</v>
      </c>
      <c r="H140" s="86">
        <f>VLOOKUP($A140,'Data shares'!$C:$FA,90)</f>
        <v>27299850</v>
      </c>
      <c r="I140" s="86">
        <f>VLOOKUP($A140,'Data shares'!$C:$FA,92)</f>
        <v>3228750</v>
      </c>
      <c r="J140" s="87">
        <f>VLOOKUP($A140,'Data shares'!$C:$FA,93)</f>
        <v>0.1341</v>
      </c>
      <c r="K140" s="86">
        <f>VLOOKUP($A140,'Data shares'!$C:$FA,94)</f>
        <v>17896500</v>
      </c>
      <c r="L140" s="86">
        <f>VLOOKUP($A140,'Data shares'!$C:$FA,96)</f>
        <v>676500</v>
      </c>
      <c r="M140" s="87">
        <f>VLOOKUP($A140,'Data shares'!$C:$FA,97)</f>
        <v>3.9300000000000002E-2</v>
      </c>
      <c r="N140" s="86">
        <f>VLOOKUP($A140,'Data shares'!$C:$FA,78)</f>
        <v>123338250</v>
      </c>
      <c r="O140" s="87">
        <f>VLOOKUP($A140,'Data shares'!$C:$FA,81)</f>
        <v>4.0000000000000001E-3</v>
      </c>
    </row>
    <row r="141" spans="1:15" x14ac:dyDescent="0.25">
      <c r="A141" s="100" t="str">
        <f>'Data Vlaue (Cr)'!C136</f>
        <v>MOTILALOFS</v>
      </c>
      <c r="B141" s="82">
        <f>VLOOKUP(A141,'Data shares'!$C$2:$CV$216,98,0)</f>
        <v>6244175</v>
      </c>
      <c r="C141" s="82">
        <f>VLOOKUP(A141,'Data shares'!$C$2:$CX$216,100,0)</f>
        <v>290625</v>
      </c>
      <c r="D141" s="141">
        <f>VLOOKUP(A141,'Data shares'!$C$2:$CY$539,101,0)</f>
        <v>4.8800000000000003E-2</v>
      </c>
      <c r="E141" s="86">
        <f>VLOOKUP($A141,'Data shares'!$C:$FA,74)</f>
        <v>2852775</v>
      </c>
      <c r="F141" s="86">
        <f>VLOOKUP($A141,'Data shares'!$C:$FA,76)</f>
        <v>127100</v>
      </c>
      <c r="G141" s="87">
        <f>VLOOKUP(A141,'Data shares'!$C$2:$CA$216,77,0)</f>
        <v>4.6600000000000003E-2</v>
      </c>
      <c r="H141" s="86">
        <f>VLOOKUP($A141,'Data shares'!$C:$FA,90)</f>
        <v>2025075</v>
      </c>
      <c r="I141" s="86">
        <f>VLOOKUP($A141,'Data shares'!$C:$FA,92)</f>
        <v>168175</v>
      </c>
      <c r="J141" s="87">
        <f>VLOOKUP($A141,'Data shares'!$C:$FA,93)</f>
        <v>9.06E-2</v>
      </c>
      <c r="K141" s="86">
        <f>VLOOKUP($A141,'Data shares'!$C:$FA,94)</f>
        <v>1366325</v>
      </c>
      <c r="L141" s="86">
        <f>VLOOKUP($A141,'Data shares'!$C:$FA,96)</f>
        <v>-4650</v>
      </c>
      <c r="M141" s="87">
        <f>VLOOKUP($A141,'Data shares'!$C:$FA,97)</f>
        <v>-3.3999999999999998E-3</v>
      </c>
      <c r="N141" s="86">
        <f>VLOOKUP($A141,'Data shares'!$C:$FA,78)</f>
        <v>2804725</v>
      </c>
      <c r="O141" s="87">
        <f>VLOOKUP($A141,'Data shares'!$C:$FA,81)</f>
        <v>4.4400000000000002E-2</v>
      </c>
    </row>
    <row r="142" spans="1:15" x14ac:dyDescent="0.25">
      <c r="A142" s="100" t="str">
        <f>'Data Vlaue (Cr)'!C137</f>
        <v>MPHASIS</v>
      </c>
      <c r="B142" s="82">
        <f>VLOOKUP(A142,'Data shares'!$C$2:$CV$216,98,0)</f>
        <v>7153300</v>
      </c>
      <c r="C142" s="82">
        <f>VLOOKUP(A142,'Data shares'!$C$2:$CX$216,100,0)</f>
        <v>-195800</v>
      </c>
      <c r="D142" s="141">
        <f>VLOOKUP(A142,'Data shares'!$C$2:$CY$539,101,0)</f>
        <v>-2.6599999999999999E-2</v>
      </c>
      <c r="E142" s="86">
        <f>VLOOKUP($A142,'Data shares'!$C:$FA,74)</f>
        <v>4777025</v>
      </c>
      <c r="F142" s="86">
        <f>VLOOKUP($A142,'Data shares'!$C:$FA,76)</f>
        <v>-33825</v>
      </c>
      <c r="G142" s="87">
        <f>VLOOKUP(A142,'Data shares'!$C$2:$CA$216,77,0)</f>
        <v>-7.0000000000000001E-3</v>
      </c>
      <c r="H142" s="86">
        <f>VLOOKUP($A142,'Data shares'!$C:$FA,90)</f>
        <v>1411575</v>
      </c>
      <c r="I142" s="86">
        <f>VLOOKUP($A142,'Data shares'!$C:$FA,92)</f>
        <v>-99825</v>
      </c>
      <c r="J142" s="87">
        <f>VLOOKUP($A142,'Data shares'!$C:$FA,93)</f>
        <v>-6.6000000000000003E-2</v>
      </c>
      <c r="K142" s="86">
        <f>VLOOKUP($A142,'Data shares'!$C:$FA,94)</f>
        <v>964700</v>
      </c>
      <c r="L142" s="86">
        <f>VLOOKUP($A142,'Data shares'!$C:$FA,96)</f>
        <v>-62150</v>
      </c>
      <c r="M142" s="87">
        <f>VLOOKUP($A142,'Data shares'!$C:$FA,97)</f>
        <v>-6.0499999999999998E-2</v>
      </c>
      <c r="N142" s="86">
        <f>VLOOKUP($A142,'Data shares'!$C:$FA,78)</f>
        <v>4741550</v>
      </c>
      <c r="O142" s="87">
        <f>VLOOKUP($A142,'Data shares'!$C:$FA,81)</f>
        <v>-7.1999999999999998E-3</v>
      </c>
    </row>
    <row r="143" spans="1:15" x14ac:dyDescent="0.25">
      <c r="A143" s="100" t="str">
        <f>'Data Vlaue (Cr)'!C138</f>
        <v>MUTHOOTFIN</v>
      </c>
      <c r="B143" s="82">
        <f>VLOOKUP(A143,'Data shares'!$C$2:$CV$216,98,0)</f>
        <v>5396600</v>
      </c>
      <c r="C143" s="82">
        <f>VLOOKUP(A143,'Data shares'!$C$2:$CX$216,100,0)</f>
        <v>282150</v>
      </c>
      <c r="D143" s="141">
        <f>VLOOKUP(A143,'Data shares'!$C$2:$CY$539,101,0)</f>
        <v>5.5199999999999999E-2</v>
      </c>
      <c r="E143" s="86">
        <f>VLOOKUP($A143,'Data shares'!$C:$FA,74)</f>
        <v>3728175</v>
      </c>
      <c r="F143" s="86">
        <f>VLOOKUP($A143,'Data shares'!$C:$FA,76)</f>
        <v>-22825</v>
      </c>
      <c r="G143" s="87">
        <f>VLOOKUP(A143,'Data shares'!$C$2:$CA$216,77,0)</f>
        <v>-6.1000000000000004E-3</v>
      </c>
      <c r="H143" s="86">
        <f>VLOOKUP($A143,'Data shares'!$C:$FA,90)</f>
        <v>994125</v>
      </c>
      <c r="I143" s="86">
        <f>VLOOKUP($A143,'Data shares'!$C:$FA,92)</f>
        <v>223025</v>
      </c>
      <c r="J143" s="87">
        <f>VLOOKUP($A143,'Data shares'!$C:$FA,93)</f>
        <v>0.28920000000000001</v>
      </c>
      <c r="K143" s="86">
        <f>VLOOKUP($A143,'Data shares'!$C:$FA,94)</f>
        <v>674300</v>
      </c>
      <c r="L143" s="86">
        <f>VLOOKUP($A143,'Data shares'!$C:$FA,96)</f>
        <v>81950</v>
      </c>
      <c r="M143" s="87">
        <f>VLOOKUP($A143,'Data shares'!$C:$FA,97)</f>
        <v>0.13830000000000001</v>
      </c>
      <c r="N143" s="86">
        <f>VLOOKUP($A143,'Data shares'!$C:$FA,78)</f>
        <v>3668225</v>
      </c>
      <c r="O143" s="87">
        <f>VLOOKUP($A143,'Data shares'!$C:$FA,81)</f>
        <v>-6.7999999999999996E-3</v>
      </c>
    </row>
    <row r="144" spans="1:15" x14ac:dyDescent="0.25">
      <c r="A144" s="100" t="str">
        <f>'Data Vlaue (Cr)'!C139</f>
        <v>NAM-INDIA</v>
      </c>
      <c r="B144" s="82">
        <f>VLOOKUP(A144,'Data shares'!$C$2:$CV$216,98,0)</f>
        <v>5109375</v>
      </c>
      <c r="C144" s="82">
        <f>VLOOKUP(A144,'Data shares'!$C$2:$CX$216,100,0)</f>
        <v>108750</v>
      </c>
      <c r="D144" s="141">
        <f>VLOOKUP(A144,'Data shares'!$C$2:$CY$539,101,0)</f>
        <v>2.1700000000000001E-2</v>
      </c>
      <c r="E144" s="86">
        <f>VLOOKUP($A144,'Data shares'!$C:$FA,74)</f>
        <v>3342500</v>
      </c>
      <c r="F144" s="86">
        <f>VLOOKUP($A144,'Data shares'!$C:$FA,76)</f>
        <v>-127500</v>
      </c>
      <c r="G144" s="87">
        <f>VLOOKUP(A144,'Data shares'!$C$2:$CA$216,77,0)</f>
        <v>-3.6700000000000003E-2</v>
      </c>
      <c r="H144" s="86">
        <f>VLOOKUP($A144,'Data shares'!$C:$FA,90)</f>
        <v>1216250</v>
      </c>
      <c r="I144" s="86">
        <f>VLOOKUP($A144,'Data shares'!$C:$FA,92)</f>
        <v>225625</v>
      </c>
      <c r="J144" s="87">
        <f>VLOOKUP($A144,'Data shares'!$C:$FA,93)</f>
        <v>0.2278</v>
      </c>
      <c r="K144" s="86">
        <f>VLOOKUP($A144,'Data shares'!$C:$FA,94)</f>
        <v>550625</v>
      </c>
      <c r="L144" s="86">
        <f>VLOOKUP($A144,'Data shares'!$C:$FA,96)</f>
        <v>10625</v>
      </c>
      <c r="M144" s="87">
        <f>VLOOKUP($A144,'Data shares'!$C:$FA,97)</f>
        <v>1.9699999999999999E-2</v>
      </c>
      <c r="N144" s="86">
        <f>VLOOKUP($A144,'Data shares'!$C:$FA,78)</f>
        <v>3294375</v>
      </c>
      <c r="O144" s="87">
        <f>VLOOKUP($A144,'Data shares'!$C:$FA,81)</f>
        <v>-3.73E-2</v>
      </c>
    </row>
    <row r="145" spans="1:15" x14ac:dyDescent="0.25">
      <c r="A145" s="100" t="str">
        <f>'Data Vlaue (Cr)'!C140</f>
        <v>NATIONALUM</v>
      </c>
      <c r="B145" s="82">
        <f>VLOOKUP(A145,'Data shares'!$C$2:$CV$216,98,0)</f>
        <v>95660625</v>
      </c>
      <c r="C145" s="82">
        <f>VLOOKUP(A145,'Data shares'!$C$2:$CX$216,100,0)</f>
        <v>4295625</v>
      </c>
      <c r="D145" s="141">
        <f>VLOOKUP(A145,'Data shares'!$C$2:$CY$539,101,0)</f>
        <v>4.7E-2</v>
      </c>
      <c r="E145" s="86">
        <f>VLOOKUP($A145,'Data shares'!$C:$FA,74)</f>
        <v>51298125</v>
      </c>
      <c r="F145" s="86">
        <f>VLOOKUP($A145,'Data shares'!$C:$FA,76)</f>
        <v>1110000</v>
      </c>
      <c r="G145" s="87">
        <f>VLOOKUP(A145,'Data shares'!$C$2:$CA$216,77,0)</f>
        <v>2.2100000000000002E-2</v>
      </c>
      <c r="H145" s="86">
        <f>VLOOKUP($A145,'Data shares'!$C:$FA,90)</f>
        <v>28505625</v>
      </c>
      <c r="I145" s="86">
        <f>VLOOKUP($A145,'Data shares'!$C:$FA,92)</f>
        <v>2392500</v>
      </c>
      <c r="J145" s="87">
        <f>VLOOKUP($A145,'Data shares'!$C:$FA,93)</f>
        <v>9.1600000000000001E-2</v>
      </c>
      <c r="K145" s="86">
        <f>VLOOKUP($A145,'Data shares'!$C:$FA,94)</f>
        <v>15856875</v>
      </c>
      <c r="L145" s="86">
        <f>VLOOKUP($A145,'Data shares'!$C:$FA,96)</f>
        <v>793125</v>
      </c>
      <c r="M145" s="87">
        <f>VLOOKUP($A145,'Data shares'!$C:$FA,97)</f>
        <v>5.2699999999999997E-2</v>
      </c>
      <c r="N145" s="86">
        <f>VLOOKUP($A145,'Data shares'!$C:$FA,78)</f>
        <v>50071875</v>
      </c>
      <c r="O145" s="87">
        <f>VLOOKUP($A145,'Data shares'!$C:$FA,81)</f>
        <v>2.1499999999999998E-2</v>
      </c>
    </row>
    <row r="146" spans="1:15" x14ac:dyDescent="0.25">
      <c r="A146" s="100" t="str">
        <f>'Data Vlaue (Cr)'!C141</f>
        <v>NAUKRI</v>
      </c>
      <c r="B146" s="82">
        <f>VLOOKUP(A146,'Data shares'!$C$2:$CV$216,98,0)</f>
        <v>13502450</v>
      </c>
      <c r="C146" s="82">
        <f>VLOOKUP(A146,'Data shares'!$C$2:$CX$216,100,0)</f>
        <v>110250</v>
      </c>
      <c r="D146" s="141">
        <f>VLOOKUP(A146,'Data shares'!$C$2:$CY$539,101,0)</f>
        <v>8.2000000000000007E-3</v>
      </c>
      <c r="E146" s="86">
        <f>VLOOKUP($A146,'Data shares'!$C:$FA,74)</f>
        <v>10358825</v>
      </c>
      <c r="F146" s="86">
        <f>VLOOKUP($A146,'Data shares'!$C:$FA,76)</f>
        <v>54750</v>
      </c>
      <c r="G146" s="87">
        <f>VLOOKUP(A146,'Data shares'!$C$2:$CA$216,77,0)</f>
        <v>5.3E-3</v>
      </c>
      <c r="H146" s="86">
        <f>VLOOKUP($A146,'Data shares'!$C:$FA,90)</f>
        <v>2186625</v>
      </c>
      <c r="I146" s="86">
        <f>VLOOKUP($A146,'Data shares'!$C:$FA,92)</f>
        <v>76875</v>
      </c>
      <c r="J146" s="87">
        <f>VLOOKUP($A146,'Data shares'!$C:$FA,93)</f>
        <v>3.6400000000000002E-2</v>
      </c>
      <c r="K146" s="86">
        <f>VLOOKUP($A146,'Data shares'!$C:$FA,94)</f>
        <v>957000</v>
      </c>
      <c r="L146" s="86">
        <f>VLOOKUP($A146,'Data shares'!$C:$FA,96)</f>
        <v>-21375</v>
      </c>
      <c r="M146" s="87">
        <f>VLOOKUP($A146,'Data shares'!$C:$FA,97)</f>
        <v>-2.18E-2</v>
      </c>
      <c r="N146" s="86">
        <f>VLOOKUP($A146,'Data shares'!$C:$FA,78)</f>
        <v>10234500</v>
      </c>
      <c r="O146" s="87">
        <f>VLOOKUP($A146,'Data shares'!$C:$FA,81)</f>
        <v>5.1999999999999998E-3</v>
      </c>
    </row>
    <row r="147" spans="1:15" x14ac:dyDescent="0.25">
      <c r="A147" s="100" t="str">
        <f>'Data Vlaue (Cr)'!C142</f>
        <v>NBCC</v>
      </c>
      <c r="B147" s="82">
        <f>VLOOKUP(A147,'Data shares'!$C$2:$CV$216,98,0)</f>
        <v>100165000</v>
      </c>
      <c r="C147" s="82">
        <f>VLOOKUP(A147,'Data shares'!$C$2:$CX$216,100,0)</f>
        <v>4381000</v>
      </c>
      <c r="D147" s="141">
        <f>VLOOKUP(A147,'Data shares'!$C$2:$CY$539,101,0)</f>
        <v>4.5699999999999998E-2</v>
      </c>
      <c r="E147" s="86">
        <f>VLOOKUP($A147,'Data shares'!$C:$FA,74)</f>
        <v>73827000</v>
      </c>
      <c r="F147" s="86">
        <f>VLOOKUP($A147,'Data shares'!$C:$FA,76)</f>
        <v>481000</v>
      </c>
      <c r="G147" s="87">
        <f>VLOOKUP(A147,'Data shares'!$C$2:$CA$216,77,0)</f>
        <v>6.6E-3</v>
      </c>
      <c r="H147" s="86">
        <f>VLOOKUP($A147,'Data shares'!$C:$FA,90)</f>
        <v>14625000</v>
      </c>
      <c r="I147" s="86">
        <f>VLOOKUP($A147,'Data shares'!$C:$FA,92)</f>
        <v>2073500</v>
      </c>
      <c r="J147" s="87">
        <f>VLOOKUP($A147,'Data shares'!$C:$FA,93)</f>
        <v>0.16520000000000001</v>
      </c>
      <c r="K147" s="86">
        <f>VLOOKUP($A147,'Data shares'!$C:$FA,94)</f>
        <v>11713000</v>
      </c>
      <c r="L147" s="86">
        <f>VLOOKUP($A147,'Data shares'!$C:$FA,96)</f>
        <v>1826500</v>
      </c>
      <c r="M147" s="87">
        <f>VLOOKUP($A147,'Data shares'!$C:$FA,97)</f>
        <v>0.1847</v>
      </c>
      <c r="N147" s="86">
        <f>VLOOKUP($A147,'Data shares'!$C:$FA,78)</f>
        <v>72143500</v>
      </c>
      <c r="O147" s="87">
        <f>VLOOKUP($A147,'Data shares'!$C:$FA,81)</f>
        <v>6.3E-3</v>
      </c>
    </row>
    <row r="148" spans="1:15" x14ac:dyDescent="0.25">
      <c r="A148" s="100" t="str">
        <f>'Data Vlaue (Cr)'!C143</f>
        <v>NESTLEIND</v>
      </c>
      <c r="B148" s="82">
        <f>VLOOKUP(A148,'Data shares'!$C$2:$CV$216,98,0)</f>
        <v>21420500</v>
      </c>
      <c r="C148" s="82">
        <f>VLOOKUP(A148,'Data shares'!$C$2:$CX$216,100,0)</f>
        <v>124000</v>
      </c>
      <c r="D148" s="141">
        <f>VLOOKUP(A148,'Data shares'!$C$2:$CY$539,101,0)</f>
        <v>5.7999999999999996E-3</v>
      </c>
      <c r="E148" s="86">
        <f>VLOOKUP($A148,'Data shares'!$C:$FA,74)</f>
        <v>14609000</v>
      </c>
      <c r="F148" s="86">
        <f>VLOOKUP($A148,'Data shares'!$C:$FA,76)</f>
        <v>-203500</v>
      </c>
      <c r="G148" s="87">
        <f>VLOOKUP(A148,'Data shares'!$C$2:$CA$216,77,0)</f>
        <v>-1.37E-2</v>
      </c>
      <c r="H148" s="86">
        <f>VLOOKUP($A148,'Data shares'!$C:$FA,90)</f>
        <v>3640500</v>
      </c>
      <c r="I148" s="86">
        <f>VLOOKUP($A148,'Data shares'!$C:$FA,92)</f>
        <v>233000</v>
      </c>
      <c r="J148" s="87">
        <f>VLOOKUP($A148,'Data shares'!$C:$FA,93)</f>
        <v>6.8400000000000002E-2</v>
      </c>
      <c r="K148" s="86">
        <f>VLOOKUP($A148,'Data shares'!$C:$FA,94)</f>
        <v>3171000</v>
      </c>
      <c r="L148" s="86">
        <f>VLOOKUP($A148,'Data shares'!$C:$FA,96)</f>
        <v>94500</v>
      </c>
      <c r="M148" s="87">
        <f>VLOOKUP($A148,'Data shares'!$C:$FA,97)</f>
        <v>3.0700000000000002E-2</v>
      </c>
      <c r="N148" s="86">
        <f>VLOOKUP($A148,'Data shares'!$C:$FA,78)</f>
        <v>13542000</v>
      </c>
      <c r="O148" s="87">
        <f>VLOOKUP($A148,'Data shares'!$C:$FA,81)</f>
        <v>-1.6199999999999999E-2</v>
      </c>
    </row>
    <row r="149" spans="1:15" x14ac:dyDescent="0.25">
      <c r="A149" s="100" t="str">
        <f>'Data Vlaue (Cr)'!C144</f>
        <v>NHPC</v>
      </c>
      <c r="B149" s="82">
        <f>VLOOKUP(A149,'Data shares'!$C$2:$CV$216,98,0)</f>
        <v>157934150</v>
      </c>
      <c r="C149" s="82">
        <f>VLOOKUP(A149,'Data shares'!$C$2:$CX$216,100,0)</f>
        <v>7076400</v>
      </c>
      <c r="D149" s="141">
        <f>VLOOKUP(A149,'Data shares'!$C$2:$CY$539,101,0)</f>
        <v>4.6899999999999997E-2</v>
      </c>
      <c r="E149" s="86">
        <f>VLOOKUP($A149,'Data shares'!$C:$FA,74)</f>
        <v>99169350</v>
      </c>
      <c r="F149" s="86">
        <f>VLOOKUP($A149,'Data shares'!$C:$FA,76)</f>
        <v>1028400</v>
      </c>
      <c r="G149" s="87">
        <f>VLOOKUP(A149,'Data shares'!$C$2:$CA$216,77,0)</f>
        <v>1.0500000000000001E-2</v>
      </c>
      <c r="H149" s="86">
        <f>VLOOKUP($A149,'Data shares'!$C:$FA,90)</f>
        <v>37696000</v>
      </c>
      <c r="I149" s="86">
        <f>VLOOKUP($A149,'Data shares'!$C:$FA,92)</f>
        <v>4076800</v>
      </c>
      <c r="J149" s="87">
        <f>VLOOKUP($A149,'Data shares'!$C:$FA,93)</f>
        <v>0.12130000000000001</v>
      </c>
      <c r="K149" s="86">
        <f>VLOOKUP($A149,'Data shares'!$C:$FA,94)</f>
        <v>21068800</v>
      </c>
      <c r="L149" s="86">
        <f>VLOOKUP($A149,'Data shares'!$C:$FA,96)</f>
        <v>1971200</v>
      </c>
      <c r="M149" s="87">
        <f>VLOOKUP($A149,'Data shares'!$C:$FA,97)</f>
        <v>0.1032</v>
      </c>
      <c r="N149" s="86">
        <f>VLOOKUP($A149,'Data shares'!$C:$FA,78)</f>
        <v>95481600</v>
      </c>
      <c r="O149" s="87">
        <f>VLOOKUP($A149,'Data shares'!$C:$FA,81)</f>
        <v>8.6999999999999994E-3</v>
      </c>
    </row>
    <row r="150" spans="1:15" x14ac:dyDescent="0.25">
      <c r="A150" s="100" t="str">
        <f>'Data Vlaue (Cr)'!C145</f>
        <v>NIFTY</v>
      </c>
      <c r="B150" s="82">
        <f>VLOOKUP(A150,'Data shares'!$C$2:$CV$216,98,0)</f>
        <v>560265400</v>
      </c>
      <c r="C150" s="82">
        <f>VLOOKUP(A150,'Data shares'!$C$2:$CX$216,100,0)</f>
        <v>141423300</v>
      </c>
      <c r="D150" s="141">
        <f>VLOOKUP(A150,'Data shares'!$C$2:$CY$539,101,0)</f>
        <v>0.3377</v>
      </c>
      <c r="E150" s="86">
        <f>VLOOKUP($A150,'Data shares'!$C:$FA,74)</f>
        <v>17341155</v>
      </c>
      <c r="F150" s="86">
        <f>VLOOKUP($A150,'Data shares'!$C:$FA,76)</f>
        <v>633620</v>
      </c>
      <c r="G150" s="87">
        <f>VLOOKUP(A150,'Data shares'!$C$2:$CA$216,77,0)</f>
        <v>3.7900000000000003E-2</v>
      </c>
      <c r="H150" s="86">
        <f>VLOOKUP($A150,'Data shares'!$C:$FA,90)</f>
        <v>301435305</v>
      </c>
      <c r="I150" s="86">
        <f>VLOOKUP($A150,'Data shares'!$C:$FA,92)</f>
        <v>98642785</v>
      </c>
      <c r="J150" s="87">
        <f>VLOOKUP($A150,'Data shares'!$C:$FA,93)</f>
        <v>0.4864</v>
      </c>
      <c r="K150" s="86">
        <f>VLOOKUP($A150,'Data shares'!$C:$FA,94)</f>
        <v>241488940</v>
      </c>
      <c r="L150" s="86">
        <f>VLOOKUP($A150,'Data shares'!$C:$FA,96)</f>
        <v>42146895</v>
      </c>
      <c r="M150" s="87">
        <f>VLOOKUP($A150,'Data shares'!$C:$FA,97)</f>
        <v>0.2114</v>
      </c>
      <c r="N150" s="86">
        <f>VLOOKUP($A150,'Data shares'!$C:$FA,78)</f>
        <v>15691520</v>
      </c>
      <c r="O150" s="87">
        <f>VLOOKUP($A150,'Data shares'!$C:$FA,81)</f>
        <v>3.0300000000000001E-2</v>
      </c>
    </row>
    <row r="151" spans="1:15" x14ac:dyDescent="0.25">
      <c r="A151" s="100" t="str">
        <f>'Data Vlaue (Cr)'!C146</f>
        <v>NIFTYNXT50</v>
      </c>
      <c r="B151" s="82">
        <f>VLOOKUP(A151,'Data shares'!$C$2:$CV$216,98,0)</f>
        <v>20225</v>
      </c>
      <c r="C151" s="82">
        <f>VLOOKUP(A151,'Data shares'!$C$2:$CX$216,100,0)</f>
        <v>1050</v>
      </c>
      <c r="D151" s="141">
        <f>VLOOKUP(A151,'Data shares'!$C$2:$CY$539,101,0)</f>
        <v>5.4800000000000001E-2</v>
      </c>
      <c r="E151" s="86">
        <f>VLOOKUP($A151,'Data shares'!$C:$FA,74)</f>
        <v>19275</v>
      </c>
      <c r="F151" s="86">
        <f>VLOOKUP($A151,'Data shares'!$C:$FA,76)</f>
        <v>500</v>
      </c>
      <c r="G151" s="87">
        <f>VLOOKUP(A151,'Data shares'!$C$2:$CA$216,77,0)</f>
        <v>2.6599999999999999E-2</v>
      </c>
      <c r="H151" s="86">
        <f>VLOOKUP($A151,'Data shares'!$C:$FA,90)</f>
        <v>825</v>
      </c>
      <c r="I151" s="86">
        <f>VLOOKUP($A151,'Data shares'!$C:$FA,92)</f>
        <v>500</v>
      </c>
      <c r="J151" s="87">
        <f>VLOOKUP($A151,'Data shares'!$C:$FA,93)</f>
        <v>1.5385</v>
      </c>
      <c r="K151" s="86">
        <f>VLOOKUP($A151,'Data shares'!$C:$FA,94)</f>
        <v>125</v>
      </c>
      <c r="L151" s="86">
        <f>VLOOKUP($A151,'Data shares'!$C:$FA,96)</f>
        <v>50</v>
      </c>
      <c r="M151" s="87">
        <f>VLOOKUP($A151,'Data shares'!$C:$FA,97)</f>
        <v>0.66669999999999996</v>
      </c>
      <c r="N151" s="86">
        <f>VLOOKUP($A151,'Data shares'!$C:$FA,78)</f>
        <v>18525</v>
      </c>
      <c r="O151" s="87">
        <f>VLOOKUP($A151,'Data shares'!$C:$FA,81)</f>
        <v>2.35E-2</v>
      </c>
    </row>
    <row r="152" spans="1:15" x14ac:dyDescent="0.25">
      <c r="A152" s="100" t="str">
        <f>'Data Vlaue (Cr)'!C147</f>
        <v>NMDC</v>
      </c>
      <c r="B152" s="82">
        <f>VLOOKUP(A152,'Data shares'!$C$2:$CV$216,98,0)</f>
        <v>419438250</v>
      </c>
      <c r="C152" s="82">
        <f>VLOOKUP(A152,'Data shares'!$C$2:$CX$216,100,0)</f>
        <v>9929250</v>
      </c>
      <c r="D152" s="141">
        <f>VLOOKUP(A152,'Data shares'!$C$2:$CY$539,101,0)</f>
        <v>2.4199999999999999E-2</v>
      </c>
      <c r="E152" s="86">
        <f>VLOOKUP($A152,'Data shares'!$C:$FA,74)</f>
        <v>320780250</v>
      </c>
      <c r="F152" s="86">
        <f>VLOOKUP($A152,'Data shares'!$C:$FA,76)</f>
        <v>1788750</v>
      </c>
      <c r="G152" s="87">
        <f>VLOOKUP(A152,'Data shares'!$C$2:$CA$216,77,0)</f>
        <v>5.5999999999999999E-3</v>
      </c>
      <c r="H152" s="86">
        <f>VLOOKUP($A152,'Data shares'!$C:$FA,90)</f>
        <v>66116250</v>
      </c>
      <c r="I152" s="86">
        <f>VLOOKUP($A152,'Data shares'!$C:$FA,92)</f>
        <v>6331500</v>
      </c>
      <c r="J152" s="87">
        <f>VLOOKUP($A152,'Data shares'!$C:$FA,93)</f>
        <v>0.10589999999999999</v>
      </c>
      <c r="K152" s="86">
        <f>VLOOKUP($A152,'Data shares'!$C:$FA,94)</f>
        <v>32541750</v>
      </c>
      <c r="L152" s="86">
        <f>VLOOKUP($A152,'Data shares'!$C:$FA,96)</f>
        <v>1809000</v>
      </c>
      <c r="M152" s="87">
        <f>VLOOKUP($A152,'Data shares'!$C:$FA,97)</f>
        <v>5.8900000000000001E-2</v>
      </c>
      <c r="N152" s="86">
        <f>VLOOKUP($A152,'Data shares'!$C:$FA,78)</f>
        <v>312477750</v>
      </c>
      <c r="O152" s="87">
        <f>VLOOKUP($A152,'Data shares'!$C:$FA,81)</f>
        <v>5.3E-3</v>
      </c>
    </row>
    <row r="153" spans="1:15" x14ac:dyDescent="0.25">
      <c r="A153" s="100" t="str">
        <f>'Data Vlaue (Cr)'!C148</f>
        <v>NTPC</v>
      </c>
      <c r="B153" s="82">
        <f>VLOOKUP(A153,'Data shares'!$C$2:$CV$216,98,0)</f>
        <v>157033500</v>
      </c>
      <c r="C153" s="82">
        <f>VLOOKUP(A153,'Data shares'!$C$2:$CX$216,100,0)</f>
        <v>3577500</v>
      </c>
      <c r="D153" s="141">
        <f>VLOOKUP(A153,'Data shares'!$C$2:$CY$539,101,0)</f>
        <v>2.3300000000000001E-2</v>
      </c>
      <c r="E153" s="86">
        <f>VLOOKUP($A153,'Data shares'!$C:$FA,74)</f>
        <v>111685500</v>
      </c>
      <c r="F153" s="86">
        <f>VLOOKUP($A153,'Data shares'!$C:$FA,76)</f>
        <v>996000</v>
      </c>
      <c r="G153" s="87">
        <f>VLOOKUP(A153,'Data shares'!$C$2:$CA$216,77,0)</f>
        <v>8.9999999999999993E-3</v>
      </c>
      <c r="H153" s="86">
        <f>VLOOKUP($A153,'Data shares'!$C:$FA,90)</f>
        <v>31764000</v>
      </c>
      <c r="I153" s="86">
        <f>VLOOKUP($A153,'Data shares'!$C:$FA,92)</f>
        <v>1981500</v>
      </c>
      <c r="J153" s="87">
        <f>VLOOKUP($A153,'Data shares'!$C:$FA,93)</f>
        <v>6.6500000000000004E-2</v>
      </c>
      <c r="K153" s="86">
        <f>VLOOKUP($A153,'Data shares'!$C:$FA,94)</f>
        <v>13584000</v>
      </c>
      <c r="L153" s="86">
        <f>VLOOKUP($A153,'Data shares'!$C:$FA,96)</f>
        <v>600000</v>
      </c>
      <c r="M153" s="87">
        <f>VLOOKUP($A153,'Data shares'!$C:$FA,97)</f>
        <v>4.6199999999999998E-2</v>
      </c>
      <c r="N153" s="86">
        <f>VLOOKUP($A153,'Data shares'!$C:$FA,78)</f>
        <v>101590500</v>
      </c>
      <c r="O153" s="87">
        <f>VLOOKUP($A153,'Data shares'!$C:$FA,81)</f>
        <v>3.7000000000000002E-3</v>
      </c>
    </row>
    <row r="154" spans="1:15" x14ac:dyDescent="0.25">
      <c r="A154" s="100" t="str">
        <f>'Data Vlaue (Cr)'!C149</f>
        <v>NUVAMA</v>
      </c>
      <c r="B154" s="82">
        <f>VLOOKUP(A154,'Data shares'!$C$2:$CV$216,98,0)</f>
        <v>2104500</v>
      </c>
      <c r="C154" s="82">
        <f>VLOOKUP(A154,'Data shares'!$C$2:$CX$216,100,0)</f>
        <v>94500</v>
      </c>
      <c r="D154" s="141">
        <f>VLOOKUP(A154,'Data shares'!$C$2:$CY$539,101,0)</f>
        <v>4.7E-2</v>
      </c>
      <c r="E154" s="86">
        <f>VLOOKUP($A154,'Data shares'!$C:$FA,74)</f>
        <v>1273500</v>
      </c>
      <c r="F154" s="86">
        <f>VLOOKUP($A154,'Data shares'!$C:$FA,76)</f>
        <v>-48500</v>
      </c>
      <c r="G154" s="87">
        <f>VLOOKUP(A154,'Data shares'!$C$2:$CA$216,77,0)</f>
        <v>-3.6700000000000003E-2</v>
      </c>
      <c r="H154" s="86">
        <f>VLOOKUP($A154,'Data shares'!$C:$FA,90)</f>
        <v>548000</v>
      </c>
      <c r="I154" s="86">
        <f>VLOOKUP($A154,'Data shares'!$C:$FA,92)</f>
        <v>111500</v>
      </c>
      <c r="J154" s="87">
        <f>VLOOKUP($A154,'Data shares'!$C:$FA,93)</f>
        <v>0.25540000000000002</v>
      </c>
      <c r="K154" s="86">
        <f>VLOOKUP($A154,'Data shares'!$C:$FA,94)</f>
        <v>283000</v>
      </c>
      <c r="L154" s="86">
        <f>VLOOKUP($A154,'Data shares'!$C:$FA,96)</f>
        <v>31500</v>
      </c>
      <c r="M154" s="87">
        <f>VLOOKUP($A154,'Data shares'!$C:$FA,97)</f>
        <v>0.12520000000000001</v>
      </c>
      <c r="N154" s="86">
        <f>VLOOKUP($A154,'Data shares'!$C:$FA,78)</f>
        <v>1211000</v>
      </c>
      <c r="O154" s="87">
        <f>VLOOKUP($A154,'Data shares'!$C:$FA,81)</f>
        <v>-4.2700000000000002E-2</v>
      </c>
    </row>
    <row r="155" spans="1:15" x14ac:dyDescent="0.25">
      <c r="A155" s="100" t="str">
        <f>'Data Vlaue (Cr)'!C150</f>
        <v>NYKAA</v>
      </c>
      <c r="B155" s="82">
        <f>VLOOKUP(A155,'Data shares'!$C$2:$CV$216,98,0)</f>
        <v>55231250</v>
      </c>
      <c r="C155" s="82">
        <f>VLOOKUP(A155,'Data shares'!$C$2:$CX$216,100,0)</f>
        <v>1615625</v>
      </c>
      <c r="D155" s="141">
        <f>VLOOKUP(A155,'Data shares'!$C$2:$CY$539,101,0)</f>
        <v>3.0099999999999998E-2</v>
      </c>
      <c r="E155" s="86">
        <f>VLOOKUP($A155,'Data shares'!$C:$FA,74)</f>
        <v>47225000</v>
      </c>
      <c r="F155" s="86">
        <f>VLOOKUP($A155,'Data shares'!$C:$FA,76)</f>
        <v>896875</v>
      </c>
      <c r="G155" s="87">
        <f>VLOOKUP(A155,'Data shares'!$C$2:$CA$216,77,0)</f>
        <v>1.9400000000000001E-2</v>
      </c>
      <c r="H155" s="86">
        <f>VLOOKUP($A155,'Data shares'!$C:$FA,90)</f>
        <v>4765625</v>
      </c>
      <c r="I155" s="86">
        <f>VLOOKUP($A155,'Data shares'!$C:$FA,92)</f>
        <v>765625</v>
      </c>
      <c r="J155" s="87">
        <f>VLOOKUP($A155,'Data shares'!$C:$FA,93)</f>
        <v>0.19139999999999999</v>
      </c>
      <c r="K155" s="86">
        <f>VLOOKUP($A155,'Data shares'!$C:$FA,94)</f>
        <v>3240625</v>
      </c>
      <c r="L155" s="86">
        <f>VLOOKUP($A155,'Data shares'!$C:$FA,96)</f>
        <v>-46875</v>
      </c>
      <c r="M155" s="87">
        <f>VLOOKUP($A155,'Data shares'!$C:$FA,97)</f>
        <v>-1.43E-2</v>
      </c>
      <c r="N155" s="86">
        <f>VLOOKUP($A155,'Data shares'!$C:$FA,78)</f>
        <v>47053125</v>
      </c>
      <c r="O155" s="87">
        <f>VLOOKUP($A155,'Data shares'!$C:$FA,81)</f>
        <v>1.9E-2</v>
      </c>
    </row>
    <row r="156" spans="1:15" x14ac:dyDescent="0.25">
      <c r="A156" s="100" t="str">
        <f>'Data Vlaue (Cr)'!C151</f>
        <v>OBEROIRLTY</v>
      </c>
      <c r="B156" s="82">
        <f>VLOOKUP(A156,'Data shares'!$C$2:$CV$216,98,0)</f>
        <v>8325450</v>
      </c>
      <c r="C156" s="82">
        <f>VLOOKUP(A156,'Data shares'!$C$2:$CX$216,100,0)</f>
        <v>130550</v>
      </c>
      <c r="D156" s="141">
        <f>VLOOKUP(A156,'Data shares'!$C$2:$CY$539,101,0)</f>
        <v>1.5900000000000001E-2</v>
      </c>
      <c r="E156" s="86">
        <f>VLOOKUP($A156,'Data shares'!$C:$FA,74)</f>
        <v>6989150</v>
      </c>
      <c r="F156" s="86">
        <f>VLOOKUP($A156,'Data shares'!$C:$FA,76)</f>
        <v>-8750</v>
      </c>
      <c r="G156" s="87">
        <f>VLOOKUP(A156,'Data shares'!$C$2:$CA$216,77,0)</f>
        <v>-1.2999999999999999E-3</v>
      </c>
      <c r="H156" s="86">
        <f>VLOOKUP($A156,'Data shares'!$C:$FA,90)</f>
        <v>989100</v>
      </c>
      <c r="I156" s="86">
        <f>VLOOKUP($A156,'Data shares'!$C:$FA,92)</f>
        <v>100100</v>
      </c>
      <c r="J156" s="87">
        <f>VLOOKUP($A156,'Data shares'!$C:$FA,93)</f>
        <v>0.11260000000000001</v>
      </c>
      <c r="K156" s="86">
        <f>VLOOKUP($A156,'Data shares'!$C:$FA,94)</f>
        <v>347200</v>
      </c>
      <c r="L156" s="86">
        <f>VLOOKUP($A156,'Data shares'!$C:$FA,96)</f>
        <v>39200</v>
      </c>
      <c r="M156" s="87">
        <f>VLOOKUP($A156,'Data shares'!$C:$FA,97)</f>
        <v>0.1273</v>
      </c>
      <c r="N156" s="86">
        <f>VLOOKUP($A156,'Data shares'!$C:$FA,78)</f>
        <v>6923700</v>
      </c>
      <c r="O156" s="87">
        <f>VLOOKUP($A156,'Data shares'!$C:$FA,81)</f>
        <v>-2.7000000000000001E-3</v>
      </c>
    </row>
    <row r="157" spans="1:15" x14ac:dyDescent="0.25">
      <c r="A157" s="100" t="str">
        <f>'Data Vlaue (Cr)'!C152</f>
        <v>OFSS</v>
      </c>
      <c r="B157" s="82">
        <f>VLOOKUP(A157,'Data shares'!$C$2:$CV$216,98,0)</f>
        <v>2544800</v>
      </c>
      <c r="C157" s="82">
        <f>VLOOKUP(A157,'Data shares'!$C$2:$CX$216,100,0)</f>
        <v>48000</v>
      </c>
      <c r="D157" s="141">
        <f>VLOOKUP(A157,'Data shares'!$C$2:$CY$539,101,0)</f>
        <v>1.9199999999999998E-2</v>
      </c>
      <c r="E157" s="86">
        <f>VLOOKUP($A157,'Data shares'!$C:$FA,74)</f>
        <v>1305200</v>
      </c>
      <c r="F157" s="86">
        <f>VLOOKUP($A157,'Data shares'!$C:$FA,76)</f>
        <v>7800</v>
      </c>
      <c r="G157" s="87">
        <f>VLOOKUP(A157,'Data shares'!$C$2:$CA$216,77,0)</f>
        <v>6.0000000000000001E-3</v>
      </c>
      <c r="H157" s="86">
        <f>VLOOKUP($A157,'Data shares'!$C:$FA,90)</f>
        <v>619575</v>
      </c>
      <c r="I157" s="86">
        <f>VLOOKUP($A157,'Data shares'!$C:$FA,92)</f>
        <v>10800</v>
      </c>
      <c r="J157" s="87">
        <f>VLOOKUP($A157,'Data shares'!$C:$FA,93)</f>
        <v>1.77E-2</v>
      </c>
      <c r="K157" s="86">
        <f>VLOOKUP($A157,'Data shares'!$C:$FA,94)</f>
        <v>620025</v>
      </c>
      <c r="L157" s="86">
        <f>VLOOKUP($A157,'Data shares'!$C:$FA,96)</f>
        <v>29400</v>
      </c>
      <c r="M157" s="87">
        <f>VLOOKUP($A157,'Data shares'!$C:$FA,97)</f>
        <v>4.9799999999999997E-2</v>
      </c>
      <c r="N157" s="86">
        <f>VLOOKUP($A157,'Data shares'!$C:$FA,78)</f>
        <v>1283925</v>
      </c>
      <c r="O157" s="87">
        <f>VLOOKUP($A157,'Data shares'!$C:$FA,81)</f>
        <v>4.1000000000000003E-3</v>
      </c>
    </row>
    <row r="158" spans="1:15" x14ac:dyDescent="0.25">
      <c r="A158" s="100" t="str">
        <f>'Data Vlaue (Cr)'!C153</f>
        <v>OIL</v>
      </c>
      <c r="B158" s="82">
        <f>VLOOKUP(A158,'Data shares'!$C$2:$CV$216,98,0)</f>
        <v>32233600</v>
      </c>
      <c r="C158" s="82">
        <f>VLOOKUP(A158,'Data shares'!$C$2:$CX$216,100,0)</f>
        <v>337400</v>
      </c>
      <c r="D158" s="141">
        <f>VLOOKUP(A158,'Data shares'!$C$2:$CY$539,101,0)</f>
        <v>1.06E-2</v>
      </c>
      <c r="E158" s="86">
        <f>VLOOKUP($A158,'Data shares'!$C:$FA,74)</f>
        <v>19317200</v>
      </c>
      <c r="F158" s="86">
        <f>VLOOKUP($A158,'Data shares'!$C:$FA,76)</f>
        <v>-501200</v>
      </c>
      <c r="G158" s="87">
        <f>VLOOKUP(A158,'Data shares'!$C$2:$CA$216,77,0)</f>
        <v>-2.53E-2</v>
      </c>
      <c r="H158" s="86">
        <f>VLOOKUP($A158,'Data shares'!$C:$FA,90)</f>
        <v>8514800</v>
      </c>
      <c r="I158" s="86">
        <f>VLOOKUP($A158,'Data shares'!$C:$FA,92)</f>
        <v>590800</v>
      </c>
      <c r="J158" s="87">
        <f>VLOOKUP($A158,'Data shares'!$C:$FA,93)</f>
        <v>7.46E-2</v>
      </c>
      <c r="K158" s="86">
        <f>VLOOKUP($A158,'Data shares'!$C:$FA,94)</f>
        <v>4401600</v>
      </c>
      <c r="L158" s="86">
        <f>VLOOKUP($A158,'Data shares'!$C:$FA,96)</f>
        <v>247800</v>
      </c>
      <c r="M158" s="87">
        <f>VLOOKUP($A158,'Data shares'!$C:$FA,97)</f>
        <v>5.9700000000000003E-2</v>
      </c>
      <c r="N158" s="86">
        <f>VLOOKUP($A158,'Data shares'!$C:$FA,78)</f>
        <v>18704000</v>
      </c>
      <c r="O158" s="87">
        <f>VLOOKUP($A158,'Data shares'!$C:$FA,81)</f>
        <v>-3.04E-2</v>
      </c>
    </row>
    <row r="159" spans="1:15" x14ac:dyDescent="0.25">
      <c r="A159" s="100" t="str">
        <f>'Data Vlaue (Cr)'!C154</f>
        <v>ONGC</v>
      </c>
      <c r="B159" s="82">
        <f>VLOOKUP(A159,'Data shares'!$C$2:$CV$216,98,0)</f>
        <v>162976500</v>
      </c>
      <c r="C159" s="82">
        <f>VLOOKUP(A159,'Data shares'!$C$2:$CX$216,100,0)</f>
        <v>4641750</v>
      </c>
      <c r="D159" s="141">
        <f>VLOOKUP(A159,'Data shares'!$C$2:$CY$539,101,0)</f>
        <v>2.93E-2</v>
      </c>
      <c r="E159" s="86">
        <f>VLOOKUP($A159,'Data shares'!$C:$FA,74)</f>
        <v>102048750</v>
      </c>
      <c r="F159" s="86">
        <f>VLOOKUP($A159,'Data shares'!$C:$FA,76)</f>
        <v>263250</v>
      </c>
      <c r="G159" s="87">
        <f>VLOOKUP(A159,'Data shares'!$C$2:$CA$216,77,0)</f>
        <v>2.5999999999999999E-3</v>
      </c>
      <c r="H159" s="86">
        <f>VLOOKUP($A159,'Data shares'!$C:$FA,90)</f>
        <v>43314750</v>
      </c>
      <c r="I159" s="86">
        <f>VLOOKUP($A159,'Data shares'!$C:$FA,92)</f>
        <v>6036750</v>
      </c>
      <c r="J159" s="87">
        <f>VLOOKUP($A159,'Data shares'!$C:$FA,93)</f>
        <v>0.16189999999999999</v>
      </c>
      <c r="K159" s="86">
        <f>VLOOKUP($A159,'Data shares'!$C:$FA,94)</f>
        <v>17613000</v>
      </c>
      <c r="L159" s="86">
        <f>VLOOKUP($A159,'Data shares'!$C:$FA,96)</f>
        <v>-1658250</v>
      </c>
      <c r="M159" s="87">
        <f>VLOOKUP($A159,'Data shares'!$C:$FA,97)</f>
        <v>-8.5999999999999993E-2</v>
      </c>
      <c r="N159" s="86">
        <f>VLOOKUP($A159,'Data shares'!$C:$FA,78)</f>
        <v>83549250</v>
      </c>
      <c r="O159" s="87">
        <f>VLOOKUP($A159,'Data shares'!$C:$FA,81)</f>
        <v>-1.2999999999999999E-3</v>
      </c>
    </row>
    <row r="160" spans="1:15" x14ac:dyDescent="0.25">
      <c r="A160" s="100" t="str">
        <f>'Data Vlaue (Cr)'!C155</f>
        <v>PAGEIND</v>
      </c>
      <c r="B160" s="82">
        <f>VLOOKUP(A160,'Data shares'!$C$2:$CV$216,98,0)</f>
        <v>335695</v>
      </c>
      <c r="C160" s="82">
        <f>VLOOKUP(A160,'Data shares'!$C$2:$CX$216,100,0)</f>
        <v>1140</v>
      </c>
      <c r="D160" s="141">
        <f>VLOOKUP(A160,'Data shares'!$C$2:$CY$539,101,0)</f>
        <v>3.3999999999999998E-3</v>
      </c>
      <c r="E160" s="86">
        <f>VLOOKUP($A160,'Data shares'!$C:$FA,74)</f>
        <v>301510</v>
      </c>
      <c r="F160" s="86">
        <f>VLOOKUP($A160,'Data shares'!$C:$FA,76)</f>
        <v>-975</v>
      </c>
      <c r="G160" s="87">
        <f>VLOOKUP(A160,'Data shares'!$C$2:$CA$216,77,0)</f>
        <v>-3.2000000000000002E-3</v>
      </c>
      <c r="H160" s="86">
        <f>VLOOKUP($A160,'Data shares'!$C:$FA,90)</f>
        <v>20715</v>
      </c>
      <c r="I160" s="86">
        <f>VLOOKUP($A160,'Data shares'!$C:$FA,92)</f>
        <v>180</v>
      </c>
      <c r="J160" s="87">
        <f>VLOOKUP($A160,'Data shares'!$C:$FA,93)</f>
        <v>8.8000000000000005E-3</v>
      </c>
      <c r="K160" s="86">
        <f>VLOOKUP($A160,'Data shares'!$C:$FA,94)</f>
        <v>13470</v>
      </c>
      <c r="L160" s="86">
        <f>VLOOKUP($A160,'Data shares'!$C:$FA,96)</f>
        <v>1935</v>
      </c>
      <c r="M160" s="87">
        <f>VLOOKUP($A160,'Data shares'!$C:$FA,97)</f>
        <v>0.1678</v>
      </c>
      <c r="N160" s="86">
        <f>VLOOKUP($A160,'Data shares'!$C:$FA,78)</f>
        <v>298035</v>
      </c>
      <c r="O160" s="87">
        <f>VLOOKUP($A160,'Data shares'!$C:$FA,81)</f>
        <v>-3.5000000000000001E-3</v>
      </c>
    </row>
    <row r="161" spans="1:15" x14ac:dyDescent="0.25">
      <c r="A161" s="100" t="str">
        <f>'Data Vlaue (Cr)'!C156</f>
        <v>PATANJALI</v>
      </c>
      <c r="B161" s="82">
        <f>VLOOKUP(A161,'Data shares'!$C$2:$CV$216,98,0)</f>
        <v>41510125</v>
      </c>
      <c r="C161" s="82">
        <f>VLOOKUP(A161,'Data shares'!$C$2:$CX$216,100,0)</f>
        <v>928250</v>
      </c>
      <c r="D161" s="141">
        <f>VLOOKUP(A161,'Data shares'!$C$2:$CY$539,101,0)</f>
        <v>2.29E-2</v>
      </c>
      <c r="E161" s="86">
        <f>VLOOKUP($A161,'Data shares'!$C:$FA,74)</f>
        <v>34363225</v>
      </c>
      <c r="F161" s="86">
        <f>VLOOKUP($A161,'Data shares'!$C:$FA,76)</f>
        <v>205550</v>
      </c>
      <c r="G161" s="87">
        <f>VLOOKUP(A161,'Data shares'!$C$2:$CA$216,77,0)</f>
        <v>6.0000000000000001E-3</v>
      </c>
      <c r="H161" s="86">
        <f>VLOOKUP($A161,'Data shares'!$C:$FA,90)</f>
        <v>4172400</v>
      </c>
      <c r="I161" s="86">
        <f>VLOOKUP($A161,'Data shares'!$C:$FA,92)</f>
        <v>612000</v>
      </c>
      <c r="J161" s="87">
        <f>VLOOKUP($A161,'Data shares'!$C:$FA,93)</f>
        <v>0.1719</v>
      </c>
      <c r="K161" s="86">
        <f>VLOOKUP($A161,'Data shares'!$C:$FA,94)</f>
        <v>2974500</v>
      </c>
      <c r="L161" s="86">
        <f>VLOOKUP($A161,'Data shares'!$C:$FA,96)</f>
        <v>110700</v>
      </c>
      <c r="M161" s="87">
        <f>VLOOKUP($A161,'Data shares'!$C:$FA,97)</f>
        <v>3.8699999999999998E-2</v>
      </c>
      <c r="N161" s="86">
        <f>VLOOKUP($A161,'Data shares'!$C:$FA,78)</f>
        <v>34086600</v>
      </c>
      <c r="O161" s="87">
        <f>VLOOKUP($A161,'Data shares'!$C:$FA,81)</f>
        <v>2.8E-3</v>
      </c>
    </row>
    <row r="162" spans="1:15" x14ac:dyDescent="0.25">
      <c r="A162" s="100" t="str">
        <f>'Data Vlaue (Cr)'!C157</f>
        <v>PAYTM</v>
      </c>
      <c r="B162" s="82">
        <f>VLOOKUP(A162,'Data shares'!$C$2:$CV$216,98,0)</f>
        <v>24512250</v>
      </c>
      <c r="C162" s="82">
        <f>VLOOKUP(A162,'Data shares'!$C$2:$CX$216,100,0)</f>
        <v>617700</v>
      </c>
      <c r="D162" s="141">
        <f>VLOOKUP(A162,'Data shares'!$C$2:$CY$539,101,0)</f>
        <v>2.5899999999999999E-2</v>
      </c>
      <c r="E162" s="86">
        <f>VLOOKUP($A162,'Data shares'!$C:$FA,74)</f>
        <v>14038900</v>
      </c>
      <c r="F162" s="86">
        <f>VLOOKUP($A162,'Data shares'!$C:$FA,76)</f>
        <v>-115275</v>
      </c>
      <c r="G162" s="87">
        <f>VLOOKUP(A162,'Data shares'!$C$2:$CA$216,77,0)</f>
        <v>-8.0999999999999996E-3</v>
      </c>
      <c r="H162" s="86">
        <f>VLOOKUP($A162,'Data shares'!$C:$FA,90)</f>
        <v>5204775</v>
      </c>
      <c r="I162" s="86">
        <f>VLOOKUP($A162,'Data shares'!$C:$FA,92)</f>
        <v>577825</v>
      </c>
      <c r="J162" s="87">
        <f>VLOOKUP($A162,'Data shares'!$C:$FA,93)</f>
        <v>0.1249</v>
      </c>
      <c r="K162" s="86">
        <f>VLOOKUP($A162,'Data shares'!$C:$FA,94)</f>
        <v>5268575</v>
      </c>
      <c r="L162" s="86">
        <f>VLOOKUP($A162,'Data shares'!$C:$FA,96)</f>
        <v>155150</v>
      </c>
      <c r="M162" s="87">
        <f>VLOOKUP($A162,'Data shares'!$C:$FA,97)</f>
        <v>3.0300000000000001E-2</v>
      </c>
      <c r="N162" s="86">
        <f>VLOOKUP($A162,'Data shares'!$C:$FA,78)</f>
        <v>13755425</v>
      </c>
      <c r="O162" s="87">
        <f>VLOOKUP($A162,'Data shares'!$C:$FA,81)</f>
        <v>-8.3999999999999995E-3</v>
      </c>
    </row>
    <row r="163" spans="1:15" x14ac:dyDescent="0.25">
      <c r="A163" s="100" t="str">
        <f>'Data Vlaue (Cr)'!C158</f>
        <v>PERSISTENT</v>
      </c>
      <c r="B163" s="82">
        <f>VLOOKUP(A163,'Data shares'!$C$2:$CV$216,98,0)</f>
        <v>6582350</v>
      </c>
      <c r="C163" s="82">
        <f>VLOOKUP(A163,'Data shares'!$C$2:$CX$216,100,0)</f>
        <v>76250</v>
      </c>
      <c r="D163" s="141">
        <f>VLOOKUP(A163,'Data shares'!$C$2:$CY$539,101,0)</f>
        <v>1.17E-2</v>
      </c>
      <c r="E163" s="86">
        <f>VLOOKUP($A163,'Data shares'!$C:$FA,74)</f>
        <v>4164550</v>
      </c>
      <c r="F163" s="86">
        <f>VLOOKUP($A163,'Data shares'!$C:$FA,76)</f>
        <v>-67050</v>
      </c>
      <c r="G163" s="87">
        <f>VLOOKUP(A163,'Data shares'!$C$2:$CA$216,77,0)</f>
        <v>-1.5800000000000002E-2</v>
      </c>
      <c r="H163" s="86">
        <f>VLOOKUP($A163,'Data shares'!$C:$FA,90)</f>
        <v>1511400</v>
      </c>
      <c r="I163" s="86">
        <f>VLOOKUP($A163,'Data shares'!$C:$FA,92)</f>
        <v>103400</v>
      </c>
      <c r="J163" s="87">
        <f>VLOOKUP($A163,'Data shares'!$C:$FA,93)</f>
        <v>7.3400000000000007E-2</v>
      </c>
      <c r="K163" s="86">
        <f>VLOOKUP($A163,'Data shares'!$C:$FA,94)</f>
        <v>906400</v>
      </c>
      <c r="L163" s="86">
        <f>VLOOKUP($A163,'Data shares'!$C:$FA,96)</f>
        <v>39900</v>
      </c>
      <c r="M163" s="87">
        <f>VLOOKUP($A163,'Data shares'!$C:$FA,97)</f>
        <v>4.5999999999999999E-2</v>
      </c>
      <c r="N163" s="86">
        <f>VLOOKUP($A163,'Data shares'!$C:$FA,78)</f>
        <v>4048900</v>
      </c>
      <c r="O163" s="87">
        <f>VLOOKUP($A163,'Data shares'!$C:$FA,81)</f>
        <v>-1.7399999999999999E-2</v>
      </c>
    </row>
    <row r="164" spans="1:15" x14ac:dyDescent="0.25">
      <c r="A164" s="100" t="str">
        <f>'Data Vlaue (Cr)'!C159</f>
        <v>PETRONET</v>
      </c>
      <c r="B164" s="82">
        <f>VLOOKUP(A164,'Data shares'!$C$2:$CV$216,98,0)</f>
        <v>50445000</v>
      </c>
      <c r="C164" s="82">
        <f>VLOOKUP(A164,'Data shares'!$C$2:$CX$216,100,0)</f>
        <v>4584700</v>
      </c>
      <c r="D164" s="141">
        <f>VLOOKUP(A164,'Data shares'!$C$2:$CY$539,101,0)</f>
        <v>0.1</v>
      </c>
      <c r="E164" s="86">
        <f>VLOOKUP($A164,'Data shares'!$C:$FA,74)</f>
        <v>33291800</v>
      </c>
      <c r="F164" s="86">
        <f>VLOOKUP($A164,'Data shares'!$C:$FA,76)</f>
        <v>549100</v>
      </c>
      <c r="G164" s="87">
        <f>VLOOKUP(A164,'Data shares'!$C$2:$CA$216,77,0)</f>
        <v>1.6799999999999999E-2</v>
      </c>
      <c r="H164" s="86">
        <f>VLOOKUP($A164,'Data shares'!$C:$FA,90)</f>
        <v>7888800</v>
      </c>
      <c r="I164" s="86">
        <f>VLOOKUP($A164,'Data shares'!$C:$FA,92)</f>
        <v>1822100</v>
      </c>
      <c r="J164" s="87">
        <f>VLOOKUP($A164,'Data shares'!$C:$FA,93)</f>
        <v>0.30030000000000001</v>
      </c>
      <c r="K164" s="86">
        <f>VLOOKUP($A164,'Data shares'!$C:$FA,94)</f>
        <v>9264400</v>
      </c>
      <c r="L164" s="86">
        <f>VLOOKUP($A164,'Data shares'!$C:$FA,96)</f>
        <v>2213500</v>
      </c>
      <c r="M164" s="87">
        <f>VLOOKUP($A164,'Data shares'!$C:$FA,97)</f>
        <v>0.31390000000000001</v>
      </c>
      <c r="N164" s="86">
        <f>VLOOKUP($A164,'Data shares'!$C:$FA,78)</f>
        <v>32921300</v>
      </c>
      <c r="O164" s="87">
        <f>VLOOKUP($A164,'Data shares'!$C:$FA,81)</f>
        <v>1.5900000000000001E-2</v>
      </c>
    </row>
    <row r="165" spans="1:15" x14ac:dyDescent="0.25">
      <c r="A165" s="100" t="str">
        <f>'Data Vlaue (Cr)'!C160</f>
        <v>PFC</v>
      </c>
      <c r="B165" s="82">
        <f>VLOOKUP(A165,'Data shares'!$C$2:$CV$216,98,0)</f>
        <v>86980400</v>
      </c>
      <c r="C165" s="82">
        <f>VLOOKUP(A165,'Data shares'!$C$2:$CX$216,100,0)</f>
        <v>1787500</v>
      </c>
      <c r="D165" s="141">
        <f>VLOOKUP(A165,'Data shares'!$C$2:$CY$539,101,0)</f>
        <v>2.1000000000000001E-2</v>
      </c>
      <c r="E165" s="86">
        <f>VLOOKUP($A165,'Data shares'!$C:$FA,74)</f>
        <v>56886700</v>
      </c>
      <c r="F165" s="86">
        <f>VLOOKUP($A165,'Data shares'!$C:$FA,76)</f>
        <v>-408200</v>
      </c>
      <c r="G165" s="87">
        <f>VLOOKUP(A165,'Data shares'!$C$2:$CA$216,77,0)</f>
        <v>-7.1000000000000004E-3</v>
      </c>
      <c r="H165" s="86">
        <f>VLOOKUP($A165,'Data shares'!$C:$FA,90)</f>
        <v>19344000</v>
      </c>
      <c r="I165" s="86">
        <f>VLOOKUP($A165,'Data shares'!$C:$FA,92)</f>
        <v>1498900</v>
      </c>
      <c r="J165" s="87">
        <f>VLOOKUP($A165,'Data shares'!$C:$FA,93)</f>
        <v>8.4000000000000005E-2</v>
      </c>
      <c r="K165" s="86">
        <f>VLOOKUP($A165,'Data shares'!$C:$FA,94)</f>
        <v>10749700</v>
      </c>
      <c r="L165" s="86">
        <f>VLOOKUP($A165,'Data shares'!$C:$FA,96)</f>
        <v>696800</v>
      </c>
      <c r="M165" s="87">
        <f>VLOOKUP($A165,'Data shares'!$C:$FA,97)</f>
        <v>6.93E-2</v>
      </c>
      <c r="N165" s="86">
        <f>VLOOKUP($A165,'Data shares'!$C:$FA,78)</f>
        <v>55368300</v>
      </c>
      <c r="O165" s="87">
        <f>VLOOKUP($A165,'Data shares'!$C:$FA,81)</f>
        <v>-8.5000000000000006E-3</v>
      </c>
    </row>
    <row r="166" spans="1:15" x14ac:dyDescent="0.25">
      <c r="A166" s="100" t="str">
        <f>'Data Vlaue (Cr)'!C161</f>
        <v>PGEL</v>
      </c>
      <c r="B166" s="82">
        <f>VLOOKUP(A166,'Data shares'!$C$2:$CV$216,98,0)</f>
        <v>18356850</v>
      </c>
      <c r="C166" s="82">
        <f>VLOOKUP(A166,'Data shares'!$C$2:$CX$216,100,0)</f>
        <v>409450</v>
      </c>
      <c r="D166" s="141">
        <f>VLOOKUP(A166,'Data shares'!$C$2:$CY$539,101,0)</f>
        <v>2.2800000000000001E-2</v>
      </c>
      <c r="E166" s="86">
        <f>VLOOKUP($A166,'Data shares'!$C:$FA,74)</f>
        <v>11186250</v>
      </c>
      <c r="F166" s="86">
        <f>VLOOKUP($A166,'Data shares'!$C:$FA,76)</f>
        <v>-167200</v>
      </c>
      <c r="G166" s="87">
        <f>VLOOKUP(A166,'Data shares'!$C$2:$CA$216,77,0)</f>
        <v>-1.47E-2</v>
      </c>
      <c r="H166" s="86">
        <f>VLOOKUP($A166,'Data shares'!$C:$FA,90)</f>
        <v>3666050</v>
      </c>
      <c r="I166" s="86">
        <f>VLOOKUP($A166,'Data shares'!$C:$FA,92)</f>
        <v>326800</v>
      </c>
      <c r="J166" s="87">
        <f>VLOOKUP($A166,'Data shares'!$C:$FA,93)</f>
        <v>9.7900000000000001E-2</v>
      </c>
      <c r="K166" s="86">
        <f>VLOOKUP($A166,'Data shares'!$C:$FA,94)</f>
        <v>3504550</v>
      </c>
      <c r="L166" s="86">
        <f>VLOOKUP($A166,'Data shares'!$C:$FA,96)</f>
        <v>249850</v>
      </c>
      <c r="M166" s="87">
        <f>VLOOKUP($A166,'Data shares'!$C:$FA,97)</f>
        <v>7.6799999999999993E-2</v>
      </c>
      <c r="N166" s="86">
        <f>VLOOKUP($A166,'Data shares'!$C:$FA,78)</f>
        <v>10266650</v>
      </c>
      <c r="O166" s="87">
        <f>VLOOKUP($A166,'Data shares'!$C:$FA,81)</f>
        <v>-1.7999999999999999E-2</v>
      </c>
    </row>
    <row r="167" spans="1:15" x14ac:dyDescent="0.25">
      <c r="A167" s="100" t="str">
        <f>'Data Vlaue (Cr)'!C162</f>
        <v>PHOENIXLTD</v>
      </c>
      <c r="B167" s="82">
        <f>VLOOKUP(A167,'Data shares'!$C$2:$CV$216,98,0)</f>
        <v>5629050</v>
      </c>
      <c r="C167" s="82">
        <f>VLOOKUP(A167,'Data shares'!$C$2:$CX$216,100,0)</f>
        <v>62300</v>
      </c>
      <c r="D167" s="141">
        <f>VLOOKUP(A167,'Data shares'!$C$2:$CY$539,101,0)</f>
        <v>1.12E-2</v>
      </c>
      <c r="E167" s="86">
        <f>VLOOKUP($A167,'Data shares'!$C:$FA,74)</f>
        <v>4030600</v>
      </c>
      <c r="F167" s="86">
        <f>VLOOKUP($A167,'Data shares'!$C:$FA,76)</f>
        <v>57400</v>
      </c>
      <c r="G167" s="87">
        <f>VLOOKUP(A167,'Data shares'!$C$2:$CA$216,77,0)</f>
        <v>1.44E-2</v>
      </c>
      <c r="H167" s="86">
        <f>VLOOKUP($A167,'Data shares'!$C:$FA,90)</f>
        <v>914900</v>
      </c>
      <c r="I167" s="86">
        <f>VLOOKUP($A167,'Data shares'!$C:$FA,92)</f>
        <v>-4550</v>
      </c>
      <c r="J167" s="87">
        <f>VLOOKUP($A167,'Data shares'!$C:$FA,93)</f>
        <v>-4.8999999999999998E-3</v>
      </c>
      <c r="K167" s="86">
        <f>VLOOKUP($A167,'Data shares'!$C:$FA,94)</f>
        <v>683550</v>
      </c>
      <c r="L167" s="86">
        <f>VLOOKUP($A167,'Data shares'!$C:$FA,96)</f>
        <v>9450</v>
      </c>
      <c r="M167" s="87">
        <f>VLOOKUP($A167,'Data shares'!$C:$FA,97)</f>
        <v>1.4E-2</v>
      </c>
      <c r="N167" s="86">
        <f>VLOOKUP($A167,'Data shares'!$C:$FA,78)</f>
        <v>3666950</v>
      </c>
      <c r="O167" s="87">
        <f>VLOOKUP($A167,'Data shares'!$C:$FA,81)</f>
        <v>1.5699999999999999E-2</v>
      </c>
    </row>
    <row r="168" spans="1:15" x14ac:dyDescent="0.25">
      <c r="A168" s="100" t="str">
        <f>'Data Vlaue (Cr)'!C163</f>
        <v>PIDILITIND</v>
      </c>
      <c r="B168" s="82">
        <f>VLOOKUP(A168,'Data shares'!$C$2:$CV$216,98,0)</f>
        <v>8856000</v>
      </c>
      <c r="C168" s="82">
        <f>VLOOKUP(A168,'Data shares'!$C$2:$CX$216,100,0)</f>
        <v>496500</v>
      </c>
      <c r="D168" s="141">
        <f>VLOOKUP(A168,'Data shares'!$C$2:$CY$539,101,0)</f>
        <v>5.9400000000000001E-2</v>
      </c>
      <c r="E168" s="86">
        <f>VLOOKUP($A168,'Data shares'!$C:$FA,74)</f>
        <v>7198000</v>
      </c>
      <c r="F168" s="86">
        <f>VLOOKUP($A168,'Data shares'!$C:$FA,76)</f>
        <v>84500</v>
      </c>
      <c r="G168" s="87">
        <f>VLOOKUP(A168,'Data shares'!$C$2:$CA$216,77,0)</f>
        <v>1.1900000000000001E-2</v>
      </c>
      <c r="H168" s="86">
        <f>VLOOKUP($A168,'Data shares'!$C:$FA,90)</f>
        <v>1002000</v>
      </c>
      <c r="I168" s="86">
        <f>VLOOKUP($A168,'Data shares'!$C:$FA,92)</f>
        <v>267000</v>
      </c>
      <c r="J168" s="87">
        <f>VLOOKUP($A168,'Data shares'!$C:$FA,93)</f>
        <v>0.36330000000000001</v>
      </c>
      <c r="K168" s="86">
        <f>VLOOKUP($A168,'Data shares'!$C:$FA,94)</f>
        <v>656000</v>
      </c>
      <c r="L168" s="86">
        <f>VLOOKUP($A168,'Data shares'!$C:$FA,96)</f>
        <v>145000</v>
      </c>
      <c r="M168" s="87">
        <f>VLOOKUP($A168,'Data shares'!$C:$FA,97)</f>
        <v>0.2838</v>
      </c>
      <c r="N168" s="86">
        <f>VLOOKUP($A168,'Data shares'!$C:$FA,78)</f>
        <v>7124500</v>
      </c>
      <c r="O168" s="87">
        <f>VLOOKUP($A168,'Data shares'!$C:$FA,81)</f>
        <v>1.09E-2</v>
      </c>
    </row>
    <row r="169" spans="1:15" x14ac:dyDescent="0.25">
      <c r="A169" s="100" t="str">
        <f>'Data Vlaue (Cr)'!C164</f>
        <v>PIIND</v>
      </c>
      <c r="B169" s="82">
        <f>VLOOKUP(A169,'Data shares'!$C$2:$CV$216,98,0)</f>
        <v>4124225</v>
      </c>
      <c r="C169" s="82">
        <f>VLOOKUP(A169,'Data shares'!$C$2:$CX$216,100,0)</f>
        <v>121275</v>
      </c>
      <c r="D169" s="141">
        <f>VLOOKUP(A169,'Data shares'!$C$2:$CY$539,101,0)</f>
        <v>3.0300000000000001E-2</v>
      </c>
      <c r="E169" s="86">
        <f>VLOOKUP($A169,'Data shares'!$C:$FA,74)</f>
        <v>2727550</v>
      </c>
      <c r="F169" s="86">
        <f>VLOOKUP($A169,'Data shares'!$C:$FA,76)</f>
        <v>12775</v>
      </c>
      <c r="G169" s="87">
        <f>VLOOKUP(A169,'Data shares'!$C$2:$CA$216,77,0)</f>
        <v>4.7000000000000002E-3</v>
      </c>
      <c r="H169" s="86">
        <f>VLOOKUP($A169,'Data shares'!$C:$FA,90)</f>
        <v>884450</v>
      </c>
      <c r="I169" s="86">
        <f>VLOOKUP($A169,'Data shares'!$C:$FA,92)</f>
        <v>57400</v>
      </c>
      <c r="J169" s="87">
        <f>VLOOKUP($A169,'Data shares'!$C:$FA,93)</f>
        <v>6.9400000000000003E-2</v>
      </c>
      <c r="K169" s="86">
        <f>VLOOKUP($A169,'Data shares'!$C:$FA,94)</f>
        <v>512225</v>
      </c>
      <c r="L169" s="86">
        <f>VLOOKUP($A169,'Data shares'!$C:$FA,96)</f>
        <v>51100</v>
      </c>
      <c r="M169" s="87">
        <f>VLOOKUP($A169,'Data shares'!$C:$FA,97)</f>
        <v>0.1108</v>
      </c>
      <c r="N169" s="86">
        <f>VLOOKUP($A169,'Data shares'!$C:$FA,78)</f>
        <v>2671725</v>
      </c>
      <c r="O169" s="87">
        <f>VLOOKUP($A169,'Data shares'!$C:$FA,81)</f>
        <v>3.3999999999999998E-3</v>
      </c>
    </row>
    <row r="170" spans="1:15" x14ac:dyDescent="0.25">
      <c r="A170" s="100" t="str">
        <f>'Data Vlaue (Cr)'!C165</f>
        <v>PNB</v>
      </c>
      <c r="B170" s="82">
        <f>VLOOKUP(A170,'Data shares'!$C$2:$CV$216,98,0)</f>
        <v>404008000</v>
      </c>
      <c r="C170" s="82">
        <f>VLOOKUP(A170,'Data shares'!$C$2:$CX$216,100,0)</f>
        <v>17400000</v>
      </c>
      <c r="D170" s="141">
        <f>VLOOKUP(A170,'Data shares'!$C$2:$CY$539,101,0)</f>
        <v>4.4999999999999998E-2</v>
      </c>
      <c r="E170" s="86">
        <f>VLOOKUP($A170,'Data shares'!$C:$FA,74)</f>
        <v>275824000</v>
      </c>
      <c r="F170" s="86">
        <f>VLOOKUP($A170,'Data shares'!$C:$FA,76)</f>
        <v>4336000</v>
      </c>
      <c r="G170" s="87">
        <f>VLOOKUP(A170,'Data shares'!$C$2:$CA$216,77,0)</f>
        <v>1.6E-2</v>
      </c>
      <c r="H170" s="86">
        <f>VLOOKUP($A170,'Data shares'!$C:$FA,90)</f>
        <v>70592000</v>
      </c>
      <c r="I170" s="86">
        <f>VLOOKUP($A170,'Data shares'!$C:$FA,92)</f>
        <v>7720000</v>
      </c>
      <c r="J170" s="87">
        <f>VLOOKUP($A170,'Data shares'!$C:$FA,93)</f>
        <v>0.12280000000000001</v>
      </c>
      <c r="K170" s="86">
        <f>VLOOKUP($A170,'Data shares'!$C:$FA,94)</f>
        <v>57592000</v>
      </c>
      <c r="L170" s="86">
        <f>VLOOKUP($A170,'Data shares'!$C:$FA,96)</f>
        <v>5344000</v>
      </c>
      <c r="M170" s="87">
        <f>VLOOKUP($A170,'Data shares'!$C:$FA,97)</f>
        <v>0.1023</v>
      </c>
      <c r="N170" s="86">
        <f>VLOOKUP($A170,'Data shares'!$C:$FA,78)</f>
        <v>255448000</v>
      </c>
      <c r="O170" s="87">
        <f>VLOOKUP($A170,'Data shares'!$C:$FA,81)</f>
        <v>9.7000000000000003E-3</v>
      </c>
    </row>
    <row r="171" spans="1:15" x14ac:dyDescent="0.25">
      <c r="A171" s="100" t="str">
        <f>'Data Vlaue (Cr)'!C166</f>
        <v>PNBHOUSING</v>
      </c>
      <c r="B171" s="82">
        <f>VLOOKUP(A171,'Data shares'!$C$2:$CV$216,98,0)</f>
        <v>13653250</v>
      </c>
      <c r="C171" s="82">
        <f>VLOOKUP(A171,'Data shares'!$C$2:$CX$216,100,0)</f>
        <v>197600</v>
      </c>
      <c r="D171" s="141">
        <f>VLOOKUP(A171,'Data shares'!$C$2:$CY$539,101,0)</f>
        <v>1.47E-2</v>
      </c>
      <c r="E171" s="86">
        <f>VLOOKUP($A171,'Data shares'!$C:$FA,74)</f>
        <v>10725650</v>
      </c>
      <c r="F171" s="86">
        <f>VLOOKUP($A171,'Data shares'!$C:$FA,76)</f>
        <v>-90350</v>
      </c>
      <c r="G171" s="87">
        <f>VLOOKUP(A171,'Data shares'!$C$2:$CA$216,77,0)</f>
        <v>-8.3999999999999995E-3</v>
      </c>
      <c r="H171" s="86">
        <f>VLOOKUP($A171,'Data shares'!$C:$FA,90)</f>
        <v>1641250</v>
      </c>
      <c r="I171" s="86">
        <f>VLOOKUP($A171,'Data shares'!$C:$FA,92)</f>
        <v>154700</v>
      </c>
      <c r="J171" s="87">
        <f>VLOOKUP($A171,'Data shares'!$C:$FA,93)</f>
        <v>0.1041</v>
      </c>
      <c r="K171" s="86">
        <f>VLOOKUP($A171,'Data shares'!$C:$FA,94)</f>
        <v>1286350</v>
      </c>
      <c r="L171" s="86">
        <f>VLOOKUP($A171,'Data shares'!$C:$FA,96)</f>
        <v>133250</v>
      </c>
      <c r="M171" s="87">
        <f>VLOOKUP($A171,'Data shares'!$C:$FA,97)</f>
        <v>0.11559999999999999</v>
      </c>
      <c r="N171" s="86">
        <f>VLOOKUP($A171,'Data shares'!$C:$FA,78)</f>
        <v>10670400</v>
      </c>
      <c r="O171" s="87">
        <f>VLOOKUP($A171,'Data shares'!$C:$FA,81)</f>
        <v>-8.8000000000000005E-3</v>
      </c>
    </row>
    <row r="172" spans="1:15" x14ac:dyDescent="0.25">
      <c r="A172" s="100" t="str">
        <f>'Data Vlaue (Cr)'!C167</f>
        <v>POLICYBZR</v>
      </c>
      <c r="B172" s="82">
        <f>VLOOKUP(A172,'Data shares'!$C$2:$CV$216,98,0)</f>
        <v>9772350</v>
      </c>
      <c r="C172" s="82">
        <f>VLOOKUP(A172,'Data shares'!$C$2:$CX$216,100,0)</f>
        <v>204050</v>
      </c>
      <c r="D172" s="141">
        <f>VLOOKUP(A172,'Data shares'!$C$2:$CY$539,101,0)</f>
        <v>2.1299999999999999E-2</v>
      </c>
      <c r="E172" s="86">
        <f>VLOOKUP($A172,'Data shares'!$C:$FA,74)</f>
        <v>8170750</v>
      </c>
      <c r="F172" s="86">
        <f>VLOOKUP($A172,'Data shares'!$C:$FA,76)</f>
        <v>-40250</v>
      </c>
      <c r="G172" s="87">
        <f>VLOOKUP(A172,'Data shares'!$C$2:$CA$216,77,0)</f>
        <v>-4.8999999999999998E-3</v>
      </c>
      <c r="H172" s="86">
        <f>VLOOKUP($A172,'Data shares'!$C:$FA,90)</f>
        <v>968800</v>
      </c>
      <c r="I172" s="86">
        <f>VLOOKUP($A172,'Data shares'!$C:$FA,92)</f>
        <v>185500</v>
      </c>
      <c r="J172" s="87">
        <f>VLOOKUP($A172,'Data shares'!$C:$FA,93)</f>
        <v>0.23680000000000001</v>
      </c>
      <c r="K172" s="86">
        <f>VLOOKUP($A172,'Data shares'!$C:$FA,94)</f>
        <v>632800</v>
      </c>
      <c r="L172" s="86">
        <f>VLOOKUP($A172,'Data shares'!$C:$FA,96)</f>
        <v>58800</v>
      </c>
      <c r="M172" s="87">
        <f>VLOOKUP($A172,'Data shares'!$C:$FA,97)</f>
        <v>0.1024</v>
      </c>
      <c r="N172" s="86">
        <f>VLOOKUP($A172,'Data shares'!$C:$FA,78)</f>
        <v>8000650</v>
      </c>
      <c r="O172" s="87">
        <f>VLOOKUP($A172,'Data shares'!$C:$FA,81)</f>
        <v>-5.4999999999999997E-3</v>
      </c>
    </row>
    <row r="173" spans="1:15" x14ac:dyDescent="0.25">
      <c r="A173" s="100" t="str">
        <f>'Data Vlaue (Cr)'!C168</f>
        <v>POLYCAB</v>
      </c>
      <c r="B173" s="82">
        <f>VLOOKUP(A173,'Data shares'!$C$2:$CV$216,98,0)</f>
        <v>3922625</v>
      </c>
      <c r="C173" s="82">
        <f>VLOOKUP(A173,'Data shares'!$C$2:$CX$216,100,0)</f>
        <v>451500</v>
      </c>
      <c r="D173" s="141">
        <f>VLOOKUP(A173,'Data shares'!$C$2:$CY$539,101,0)</f>
        <v>0.13009999999999999</v>
      </c>
      <c r="E173" s="86">
        <f>VLOOKUP($A173,'Data shares'!$C:$FA,74)</f>
        <v>1923250</v>
      </c>
      <c r="F173" s="86">
        <f>VLOOKUP($A173,'Data shares'!$C:$FA,76)</f>
        <v>76875</v>
      </c>
      <c r="G173" s="87">
        <f>VLOOKUP(A173,'Data shares'!$C$2:$CA$216,77,0)</f>
        <v>4.1599999999999998E-2</v>
      </c>
      <c r="H173" s="86">
        <f>VLOOKUP($A173,'Data shares'!$C:$FA,90)</f>
        <v>834500</v>
      </c>
      <c r="I173" s="86">
        <f>VLOOKUP($A173,'Data shares'!$C:$FA,92)</f>
        <v>170125</v>
      </c>
      <c r="J173" s="87">
        <f>VLOOKUP($A173,'Data shares'!$C:$FA,93)</f>
        <v>0.25609999999999999</v>
      </c>
      <c r="K173" s="86">
        <f>VLOOKUP($A173,'Data shares'!$C:$FA,94)</f>
        <v>1164875</v>
      </c>
      <c r="L173" s="86">
        <f>VLOOKUP($A173,'Data shares'!$C:$FA,96)</f>
        <v>204500</v>
      </c>
      <c r="M173" s="87">
        <f>VLOOKUP($A173,'Data shares'!$C:$FA,97)</f>
        <v>0.21290000000000001</v>
      </c>
      <c r="N173" s="86">
        <f>VLOOKUP($A173,'Data shares'!$C:$FA,78)</f>
        <v>1894125</v>
      </c>
      <c r="O173" s="87">
        <f>VLOOKUP($A173,'Data shares'!$C:$FA,81)</f>
        <v>4.1000000000000002E-2</v>
      </c>
    </row>
    <row r="174" spans="1:15" x14ac:dyDescent="0.25">
      <c r="A174" s="100" t="str">
        <f>'Data Vlaue (Cr)'!C169</f>
        <v>POWERGRID</v>
      </c>
      <c r="B174" s="82">
        <f>VLOOKUP(A174,'Data shares'!$C$2:$CV$216,98,0)</f>
        <v>112037300</v>
      </c>
      <c r="C174" s="82">
        <f>VLOOKUP(A174,'Data shares'!$C$2:$CX$216,100,0)</f>
        <v>4455500</v>
      </c>
      <c r="D174" s="141">
        <f>VLOOKUP(A174,'Data shares'!$C$2:$CY$539,101,0)</f>
        <v>4.1399999999999999E-2</v>
      </c>
      <c r="E174" s="86">
        <f>VLOOKUP($A174,'Data shares'!$C:$FA,74)</f>
        <v>80687300</v>
      </c>
      <c r="F174" s="86">
        <f>VLOOKUP($A174,'Data shares'!$C:$FA,76)</f>
        <v>695400</v>
      </c>
      <c r="G174" s="87">
        <f>VLOOKUP(A174,'Data shares'!$C$2:$CA$216,77,0)</f>
        <v>8.6999999999999994E-3</v>
      </c>
      <c r="H174" s="86">
        <f>VLOOKUP($A174,'Data shares'!$C:$FA,90)</f>
        <v>19001900</v>
      </c>
      <c r="I174" s="86">
        <f>VLOOKUP($A174,'Data shares'!$C:$FA,92)</f>
        <v>2756900</v>
      </c>
      <c r="J174" s="87">
        <f>VLOOKUP($A174,'Data shares'!$C:$FA,93)</f>
        <v>0.16969999999999999</v>
      </c>
      <c r="K174" s="86">
        <f>VLOOKUP($A174,'Data shares'!$C:$FA,94)</f>
        <v>12348100</v>
      </c>
      <c r="L174" s="86">
        <f>VLOOKUP($A174,'Data shares'!$C:$FA,96)</f>
        <v>1003200</v>
      </c>
      <c r="M174" s="87">
        <f>VLOOKUP($A174,'Data shares'!$C:$FA,97)</f>
        <v>8.8400000000000006E-2</v>
      </c>
      <c r="N174" s="86">
        <f>VLOOKUP($A174,'Data shares'!$C:$FA,78)</f>
        <v>68603300</v>
      </c>
      <c r="O174" s="87">
        <f>VLOOKUP($A174,'Data shares'!$C:$FA,81)</f>
        <v>5.7999999999999996E-3</v>
      </c>
    </row>
    <row r="175" spans="1:15" x14ac:dyDescent="0.25">
      <c r="A175" s="100" t="str">
        <f>'Data Vlaue (Cr)'!C170</f>
        <v>POWERINDIA</v>
      </c>
      <c r="B175" s="82">
        <f>VLOOKUP(A175,'Data shares'!$C$2:$CV$216,98,0)</f>
        <v>825725</v>
      </c>
      <c r="C175" s="82">
        <f>VLOOKUP(A175,'Data shares'!$C$2:$CX$216,100,0)</f>
        <v>38325</v>
      </c>
      <c r="D175" s="141">
        <f>VLOOKUP(A175,'Data shares'!$C$2:$CY$539,101,0)</f>
        <v>4.87E-2</v>
      </c>
      <c r="E175" s="86">
        <f>VLOOKUP($A175,'Data shares'!$C:$FA,74)</f>
        <v>391250</v>
      </c>
      <c r="F175" s="86">
        <f>VLOOKUP($A175,'Data shares'!$C:$FA,76)</f>
        <v>-5925</v>
      </c>
      <c r="G175" s="87">
        <f>VLOOKUP(A175,'Data shares'!$C$2:$CA$216,77,0)</f>
        <v>-1.49E-2</v>
      </c>
      <c r="H175" s="86">
        <f>VLOOKUP($A175,'Data shares'!$C:$FA,90)</f>
        <v>235900</v>
      </c>
      <c r="I175" s="86">
        <f>VLOOKUP($A175,'Data shares'!$C:$FA,92)</f>
        <v>27275</v>
      </c>
      <c r="J175" s="87">
        <f>VLOOKUP($A175,'Data shares'!$C:$FA,93)</f>
        <v>0.13070000000000001</v>
      </c>
      <c r="K175" s="86">
        <f>VLOOKUP($A175,'Data shares'!$C:$FA,94)</f>
        <v>198575</v>
      </c>
      <c r="L175" s="86">
        <f>VLOOKUP($A175,'Data shares'!$C:$FA,96)</f>
        <v>16975</v>
      </c>
      <c r="M175" s="87">
        <f>VLOOKUP($A175,'Data shares'!$C:$FA,97)</f>
        <v>9.35E-2</v>
      </c>
      <c r="N175" s="86">
        <f>VLOOKUP($A175,'Data shares'!$C:$FA,78)</f>
        <v>380500</v>
      </c>
      <c r="O175" s="87">
        <f>VLOOKUP($A175,'Data shares'!$C:$FA,81)</f>
        <v>-1.67E-2</v>
      </c>
    </row>
    <row r="176" spans="1:15" x14ac:dyDescent="0.25">
      <c r="A176" s="100" t="str">
        <f>'Data Vlaue (Cr)'!C171</f>
        <v>PREMIERENE</v>
      </c>
      <c r="B176" s="82">
        <f>VLOOKUP(A176,'Data shares'!$C$2:$CV$216,98,0)</f>
        <v>13436825</v>
      </c>
      <c r="C176" s="82">
        <f>VLOOKUP(A176,'Data shares'!$C$2:$CX$216,100,0)</f>
        <v>234675</v>
      </c>
      <c r="D176" s="141">
        <f>VLOOKUP(A176,'Data shares'!$C$2:$CY$539,101,0)</f>
        <v>1.78E-2</v>
      </c>
      <c r="E176" s="86">
        <f>VLOOKUP($A176,'Data shares'!$C:$FA,74)</f>
        <v>10630825</v>
      </c>
      <c r="F176" s="86">
        <f>VLOOKUP($A176,'Data shares'!$C:$FA,76)</f>
        <v>-59150</v>
      </c>
      <c r="G176" s="87">
        <f>VLOOKUP(A176,'Data shares'!$C$2:$CA$216,77,0)</f>
        <v>-5.4999999999999997E-3</v>
      </c>
      <c r="H176" s="86">
        <f>VLOOKUP($A176,'Data shares'!$C:$FA,90)</f>
        <v>1361025</v>
      </c>
      <c r="I176" s="86">
        <f>VLOOKUP($A176,'Data shares'!$C:$FA,92)</f>
        <v>32200</v>
      </c>
      <c r="J176" s="87">
        <f>VLOOKUP($A176,'Data shares'!$C:$FA,93)</f>
        <v>2.4199999999999999E-2</v>
      </c>
      <c r="K176" s="86">
        <f>VLOOKUP($A176,'Data shares'!$C:$FA,94)</f>
        <v>1444975</v>
      </c>
      <c r="L176" s="86">
        <f>VLOOKUP($A176,'Data shares'!$C:$FA,96)</f>
        <v>261625</v>
      </c>
      <c r="M176" s="87">
        <f>VLOOKUP($A176,'Data shares'!$C:$FA,97)</f>
        <v>0.22109999999999999</v>
      </c>
      <c r="N176" s="86">
        <f>VLOOKUP($A176,'Data shares'!$C:$FA,78)</f>
        <v>10272950</v>
      </c>
      <c r="O176" s="87">
        <f>VLOOKUP($A176,'Data shares'!$C:$FA,81)</f>
        <v>-6.7999999999999996E-3</v>
      </c>
    </row>
    <row r="177" spans="1:15" x14ac:dyDescent="0.25">
      <c r="A177" s="100" t="str">
        <f>'Data Vlaue (Cr)'!C172</f>
        <v>PRESTIGE</v>
      </c>
      <c r="B177" s="82">
        <f>VLOOKUP(A177,'Data shares'!$C$2:$CV$216,98,0)</f>
        <v>7383600</v>
      </c>
      <c r="C177" s="82">
        <f>VLOOKUP(A177,'Data shares'!$C$2:$CX$216,100,0)</f>
        <v>207000</v>
      </c>
      <c r="D177" s="141">
        <f>VLOOKUP(A177,'Data shares'!$C$2:$CY$539,101,0)</f>
        <v>2.8799999999999999E-2</v>
      </c>
      <c r="E177" s="86">
        <f>VLOOKUP($A177,'Data shares'!$C:$FA,74)</f>
        <v>5806800</v>
      </c>
      <c r="F177" s="86">
        <f>VLOOKUP($A177,'Data shares'!$C:$FA,76)</f>
        <v>-20250</v>
      </c>
      <c r="G177" s="87">
        <f>VLOOKUP(A177,'Data shares'!$C$2:$CA$216,77,0)</f>
        <v>-3.5000000000000001E-3</v>
      </c>
      <c r="H177" s="86">
        <f>VLOOKUP($A177,'Data shares'!$C:$FA,90)</f>
        <v>842850</v>
      </c>
      <c r="I177" s="86">
        <f>VLOOKUP($A177,'Data shares'!$C:$FA,92)</f>
        <v>213750</v>
      </c>
      <c r="J177" s="87">
        <f>VLOOKUP($A177,'Data shares'!$C:$FA,93)</f>
        <v>0.33979999999999999</v>
      </c>
      <c r="K177" s="86">
        <f>VLOOKUP($A177,'Data shares'!$C:$FA,94)</f>
        <v>733950</v>
      </c>
      <c r="L177" s="86">
        <f>VLOOKUP($A177,'Data shares'!$C:$FA,96)</f>
        <v>13500</v>
      </c>
      <c r="M177" s="87">
        <f>VLOOKUP($A177,'Data shares'!$C:$FA,97)</f>
        <v>1.8700000000000001E-2</v>
      </c>
      <c r="N177" s="86">
        <f>VLOOKUP($A177,'Data shares'!$C:$FA,78)</f>
        <v>5560200</v>
      </c>
      <c r="O177" s="87">
        <f>VLOOKUP($A177,'Data shares'!$C:$FA,81)</f>
        <v>-3.8E-3</v>
      </c>
    </row>
    <row r="178" spans="1:15" x14ac:dyDescent="0.25">
      <c r="A178" s="100" t="str">
        <f>'Data Vlaue (Cr)'!C173</f>
        <v>RBLBANK</v>
      </c>
      <c r="B178" s="82">
        <f>VLOOKUP(A178,'Data shares'!$C$2:$CV$216,98,0)</f>
        <v>99050475</v>
      </c>
      <c r="C178" s="82">
        <f>VLOOKUP(A178,'Data shares'!$C$2:$CX$216,100,0)</f>
        <v>5280025</v>
      </c>
      <c r="D178" s="141">
        <f>VLOOKUP(A178,'Data shares'!$C$2:$CY$539,101,0)</f>
        <v>5.6300000000000003E-2</v>
      </c>
      <c r="E178" s="86">
        <f>VLOOKUP($A178,'Data shares'!$C:$FA,74)</f>
        <v>65655825</v>
      </c>
      <c r="F178" s="86">
        <f>VLOOKUP($A178,'Data shares'!$C:$FA,76)</f>
        <v>1797050</v>
      </c>
      <c r="G178" s="87">
        <f>VLOOKUP(A178,'Data shares'!$C$2:$CA$216,77,0)</f>
        <v>2.81E-2</v>
      </c>
      <c r="H178" s="86">
        <f>VLOOKUP($A178,'Data shares'!$C:$FA,90)</f>
        <v>19186525</v>
      </c>
      <c r="I178" s="86">
        <f>VLOOKUP($A178,'Data shares'!$C:$FA,92)</f>
        <v>2435225</v>
      </c>
      <c r="J178" s="87">
        <f>VLOOKUP($A178,'Data shares'!$C:$FA,93)</f>
        <v>0.1454</v>
      </c>
      <c r="K178" s="86">
        <f>VLOOKUP($A178,'Data shares'!$C:$FA,94)</f>
        <v>14208125</v>
      </c>
      <c r="L178" s="86">
        <f>VLOOKUP($A178,'Data shares'!$C:$FA,96)</f>
        <v>1047750</v>
      </c>
      <c r="M178" s="87">
        <f>VLOOKUP($A178,'Data shares'!$C:$FA,97)</f>
        <v>7.9600000000000004E-2</v>
      </c>
      <c r="N178" s="86">
        <f>VLOOKUP($A178,'Data shares'!$C:$FA,78)</f>
        <v>65170050</v>
      </c>
      <c r="O178" s="87">
        <f>VLOOKUP($A178,'Data shares'!$C:$FA,81)</f>
        <v>2.7400000000000001E-2</v>
      </c>
    </row>
    <row r="179" spans="1:15" x14ac:dyDescent="0.25">
      <c r="A179" s="100" t="str">
        <f>'Data Vlaue (Cr)'!C174</f>
        <v>RECLTD</v>
      </c>
      <c r="B179" s="82">
        <f>VLOOKUP(A179,'Data shares'!$C$2:$CV$216,98,0)</f>
        <v>108937850</v>
      </c>
      <c r="C179" s="82">
        <f>VLOOKUP(A179,'Data shares'!$C$2:$CX$216,100,0)</f>
        <v>3218775</v>
      </c>
      <c r="D179" s="141">
        <f>VLOOKUP(A179,'Data shares'!$C$2:$CY$539,101,0)</f>
        <v>3.04E-2</v>
      </c>
      <c r="E179" s="86">
        <f>VLOOKUP($A179,'Data shares'!$C:$FA,74)</f>
        <v>66319050</v>
      </c>
      <c r="F179" s="86">
        <f>VLOOKUP($A179,'Data shares'!$C:$FA,76)</f>
        <v>502775</v>
      </c>
      <c r="G179" s="87">
        <f>VLOOKUP(A179,'Data shares'!$C$2:$CA$216,77,0)</f>
        <v>7.6E-3</v>
      </c>
      <c r="H179" s="86">
        <f>VLOOKUP($A179,'Data shares'!$C:$FA,90)</f>
        <v>26754000</v>
      </c>
      <c r="I179" s="86">
        <f>VLOOKUP($A179,'Data shares'!$C:$FA,92)</f>
        <v>2094400</v>
      </c>
      <c r="J179" s="87">
        <f>VLOOKUP($A179,'Data shares'!$C:$FA,93)</f>
        <v>8.4900000000000003E-2</v>
      </c>
      <c r="K179" s="86">
        <f>VLOOKUP($A179,'Data shares'!$C:$FA,94)</f>
        <v>15864800</v>
      </c>
      <c r="L179" s="86">
        <f>VLOOKUP($A179,'Data shares'!$C:$FA,96)</f>
        <v>621600</v>
      </c>
      <c r="M179" s="87">
        <f>VLOOKUP($A179,'Data shares'!$C:$FA,97)</f>
        <v>4.0800000000000003E-2</v>
      </c>
      <c r="N179" s="86">
        <f>VLOOKUP($A179,'Data shares'!$C:$FA,78)</f>
        <v>62515600</v>
      </c>
      <c r="O179" s="87">
        <f>VLOOKUP($A179,'Data shares'!$C:$FA,81)</f>
        <v>5.4999999999999997E-3</v>
      </c>
    </row>
    <row r="180" spans="1:15" x14ac:dyDescent="0.25">
      <c r="A180" s="100" t="str">
        <f>'Data Vlaue (Cr)'!C175</f>
        <v>RELIANCE</v>
      </c>
      <c r="B180" s="82">
        <f>VLOOKUP(A180,'Data shares'!$C$2:$CV$216,98,0)</f>
        <v>177046000</v>
      </c>
      <c r="C180" s="82">
        <f>VLOOKUP(A180,'Data shares'!$C$2:$CX$216,100,0)</f>
        <v>1376000</v>
      </c>
      <c r="D180" s="141">
        <f>VLOOKUP(A180,'Data shares'!$C$2:$CY$539,101,0)</f>
        <v>7.7999999999999996E-3</v>
      </c>
      <c r="E180" s="86">
        <f>VLOOKUP($A180,'Data shares'!$C:$FA,74)</f>
        <v>98839500</v>
      </c>
      <c r="F180" s="86">
        <f>VLOOKUP($A180,'Data shares'!$C:$FA,76)</f>
        <v>-1910500</v>
      </c>
      <c r="G180" s="87">
        <f>VLOOKUP(A180,'Data shares'!$C$2:$CA$216,77,0)</f>
        <v>-1.9E-2</v>
      </c>
      <c r="H180" s="86">
        <f>VLOOKUP($A180,'Data shares'!$C:$FA,90)</f>
        <v>40771000</v>
      </c>
      <c r="I180" s="86">
        <f>VLOOKUP($A180,'Data shares'!$C:$FA,92)</f>
        <v>357500</v>
      </c>
      <c r="J180" s="87">
        <f>VLOOKUP($A180,'Data shares'!$C:$FA,93)</f>
        <v>8.8000000000000005E-3</v>
      </c>
      <c r="K180" s="86">
        <f>VLOOKUP($A180,'Data shares'!$C:$FA,94)</f>
        <v>37435500</v>
      </c>
      <c r="L180" s="86">
        <f>VLOOKUP($A180,'Data shares'!$C:$FA,96)</f>
        <v>2929000</v>
      </c>
      <c r="M180" s="87">
        <f>VLOOKUP($A180,'Data shares'!$C:$FA,97)</f>
        <v>8.4900000000000003E-2</v>
      </c>
      <c r="N180" s="86">
        <f>VLOOKUP($A180,'Data shares'!$C:$FA,78)</f>
        <v>79726500</v>
      </c>
      <c r="O180" s="87">
        <f>VLOOKUP($A180,'Data shares'!$C:$FA,81)</f>
        <v>-3.09E-2</v>
      </c>
    </row>
    <row r="181" spans="1:15" x14ac:dyDescent="0.25">
      <c r="A181" s="100" t="str">
        <f>'Data Vlaue (Cr)'!C176</f>
        <v>RVNL</v>
      </c>
      <c r="B181" s="82">
        <f>VLOOKUP(A181,'Data shares'!$C$2:$CV$216,98,0)</f>
        <v>74632800</v>
      </c>
      <c r="C181" s="82">
        <f>VLOOKUP(A181,'Data shares'!$C$2:$CX$216,100,0)</f>
        <v>7023125</v>
      </c>
      <c r="D181" s="141">
        <f>VLOOKUP(A181,'Data shares'!$C$2:$CY$539,101,0)</f>
        <v>0.10390000000000001</v>
      </c>
      <c r="E181" s="86">
        <f>VLOOKUP($A181,'Data shares'!$C:$FA,74)</f>
        <v>53929000</v>
      </c>
      <c r="F181" s="86">
        <f>VLOOKUP($A181,'Data shares'!$C:$FA,76)</f>
        <v>4414975</v>
      </c>
      <c r="G181" s="87">
        <f>VLOOKUP(A181,'Data shares'!$C$2:$CA$216,77,0)</f>
        <v>8.9200000000000002E-2</v>
      </c>
      <c r="H181" s="86">
        <f>VLOOKUP($A181,'Data shares'!$C:$FA,90)</f>
        <v>12849650</v>
      </c>
      <c r="I181" s="86">
        <f>VLOOKUP($A181,'Data shares'!$C:$FA,92)</f>
        <v>2128900</v>
      </c>
      <c r="J181" s="87">
        <f>VLOOKUP($A181,'Data shares'!$C:$FA,93)</f>
        <v>0.1986</v>
      </c>
      <c r="K181" s="86">
        <f>VLOOKUP($A181,'Data shares'!$C:$FA,94)</f>
        <v>7854150</v>
      </c>
      <c r="L181" s="86">
        <f>VLOOKUP($A181,'Data shares'!$C:$FA,96)</f>
        <v>479250</v>
      </c>
      <c r="M181" s="87">
        <f>VLOOKUP($A181,'Data shares'!$C:$FA,97)</f>
        <v>6.5000000000000002E-2</v>
      </c>
      <c r="N181" s="86">
        <f>VLOOKUP($A181,'Data shares'!$C:$FA,78)</f>
        <v>48011575</v>
      </c>
      <c r="O181" s="87">
        <f>VLOOKUP($A181,'Data shares'!$C:$FA,81)</f>
        <v>6.6400000000000001E-2</v>
      </c>
    </row>
    <row r="182" spans="1:15" x14ac:dyDescent="0.25">
      <c r="A182" s="100" t="str">
        <f>'Data Vlaue (Cr)'!C177</f>
        <v>SAIL</v>
      </c>
      <c r="B182" s="82">
        <f>VLOOKUP(A182,'Data shares'!$C$2:$CV$216,98,0)</f>
        <v>204722600</v>
      </c>
      <c r="C182" s="82">
        <f>VLOOKUP(A182,'Data shares'!$C$2:$CX$216,100,0)</f>
        <v>7806700</v>
      </c>
      <c r="D182" s="141">
        <f>VLOOKUP(A182,'Data shares'!$C$2:$CY$539,101,0)</f>
        <v>3.9600000000000003E-2</v>
      </c>
      <c r="E182" s="86">
        <f>VLOOKUP($A182,'Data shares'!$C:$FA,74)</f>
        <v>193259300</v>
      </c>
      <c r="F182" s="86">
        <f>VLOOKUP($A182,'Data shares'!$C:$FA,76)</f>
        <v>6669300</v>
      </c>
      <c r="G182" s="87">
        <f>VLOOKUP(A182,'Data shares'!$C$2:$CA$216,77,0)</f>
        <v>3.5700000000000003E-2</v>
      </c>
      <c r="H182" s="86">
        <f>VLOOKUP($A182,'Data shares'!$C:$FA,90)</f>
        <v>6702200</v>
      </c>
      <c r="I182" s="86">
        <f>VLOOKUP($A182,'Data shares'!$C:$FA,92)</f>
        <v>61100</v>
      </c>
      <c r="J182" s="87">
        <f>VLOOKUP($A182,'Data shares'!$C:$FA,93)</f>
        <v>9.1999999999999998E-3</v>
      </c>
      <c r="K182" s="86">
        <f>VLOOKUP($A182,'Data shares'!$C:$FA,94)</f>
        <v>4761100</v>
      </c>
      <c r="L182" s="86">
        <f>VLOOKUP($A182,'Data shares'!$C:$FA,96)</f>
        <v>1076300</v>
      </c>
      <c r="M182" s="87">
        <f>VLOOKUP($A182,'Data shares'!$C:$FA,97)</f>
        <v>0.29210000000000003</v>
      </c>
      <c r="N182" s="86">
        <f>VLOOKUP($A182,'Data shares'!$C:$FA,78)</f>
        <v>190942200</v>
      </c>
      <c r="O182" s="87">
        <f>VLOOKUP($A182,'Data shares'!$C:$FA,81)</f>
        <v>3.2199999999999999E-2</v>
      </c>
    </row>
    <row r="183" spans="1:15" x14ac:dyDescent="0.25">
      <c r="A183" s="100" t="str">
        <f>'Data Vlaue (Cr)'!C178</f>
        <v>SAMMAANCAP</v>
      </c>
      <c r="B183" s="82">
        <f>VLOOKUP(A183,'Data shares'!$C$2:$CV$216,98,0)</f>
        <v>142265500</v>
      </c>
      <c r="C183" s="82">
        <f>VLOOKUP(A183,'Data shares'!$C$2:$CX$216,100,0)</f>
        <v>-1492100</v>
      </c>
      <c r="D183" s="141">
        <f>VLOOKUP(A183,'Data shares'!$C$2:$CY$539,101,0)</f>
        <v>-1.04E-2</v>
      </c>
      <c r="E183" s="86">
        <f>VLOOKUP($A183,'Data shares'!$C:$FA,74)</f>
        <v>108209500</v>
      </c>
      <c r="F183" s="86">
        <f>VLOOKUP($A183,'Data shares'!$C:$FA,76)</f>
        <v>-2545600</v>
      </c>
      <c r="G183" s="87">
        <f>VLOOKUP(A183,'Data shares'!$C$2:$CA$216,77,0)</f>
        <v>-2.3E-2</v>
      </c>
      <c r="H183" s="86">
        <f>VLOOKUP($A183,'Data shares'!$C:$FA,90)</f>
        <v>20214300</v>
      </c>
      <c r="I183" s="86">
        <f>VLOOKUP($A183,'Data shares'!$C:$FA,92)</f>
        <v>494500</v>
      </c>
      <c r="J183" s="87">
        <f>VLOOKUP($A183,'Data shares'!$C:$FA,93)</f>
        <v>2.5100000000000001E-2</v>
      </c>
      <c r="K183" s="86">
        <f>VLOOKUP($A183,'Data shares'!$C:$FA,94)</f>
        <v>13841700</v>
      </c>
      <c r="L183" s="86">
        <f>VLOOKUP($A183,'Data shares'!$C:$FA,96)</f>
        <v>559000</v>
      </c>
      <c r="M183" s="87">
        <f>VLOOKUP($A183,'Data shares'!$C:$FA,97)</f>
        <v>4.2099999999999999E-2</v>
      </c>
      <c r="N183" s="86">
        <f>VLOOKUP($A183,'Data shares'!$C:$FA,78)</f>
        <v>103458000</v>
      </c>
      <c r="O183" s="87">
        <f>VLOOKUP($A183,'Data shares'!$C:$FA,81)</f>
        <v>-2.6800000000000001E-2</v>
      </c>
    </row>
    <row r="184" spans="1:15" x14ac:dyDescent="0.25">
      <c r="A184" s="100" t="str">
        <f>'Data Vlaue (Cr)'!C179</f>
        <v>SBICARD</v>
      </c>
      <c r="B184" s="82">
        <f>VLOOKUP(A184,'Data shares'!$C$2:$CV$216,98,0)</f>
        <v>40137600</v>
      </c>
      <c r="C184" s="82">
        <f>VLOOKUP(A184,'Data shares'!$C$2:$CX$216,100,0)</f>
        <v>953600</v>
      </c>
      <c r="D184" s="141">
        <f>VLOOKUP(A184,'Data shares'!$C$2:$CY$539,101,0)</f>
        <v>2.4299999999999999E-2</v>
      </c>
      <c r="E184" s="86">
        <f>VLOOKUP($A184,'Data shares'!$C:$FA,74)</f>
        <v>26031200</v>
      </c>
      <c r="F184" s="86">
        <f>VLOOKUP($A184,'Data shares'!$C:$FA,76)</f>
        <v>258400</v>
      </c>
      <c r="G184" s="87">
        <f>VLOOKUP(A184,'Data shares'!$C$2:$CA$216,77,0)</f>
        <v>0.01</v>
      </c>
      <c r="H184" s="86">
        <f>VLOOKUP($A184,'Data shares'!$C:$FA,90)</f>
        <v>8842400</v>
      </c>
      <c r="I184" s="86">
        <f>VLOOKUP($A184,'Data shares'!$C:$FA,92)</f>
        <v>568800</v>
      </c>
      <c r="J184" s="87">
        <f>VLOOKUP($A184,'Data shares'!$C:$FA,93)</f>
        <v>6.8699999999999997E-2</v>
      </c>
      <c r="K184" s="86">
        <f>VLOOKUP($A184,'Data shares'!$C:$FA,94)</f>
        <v>5264000</v>
      </c>
      <c r="L184" s="86">
        <f>VLOOKUP($A184,'Data shares'!$C:$FA,96)</f>
        <v>126400</v>
      </c>
      <c r="M184" s="87">
        <f>VLOOKUP($A184,'Data shares'!$C:$FA,97)</f>
        <v>2.46E-2</v>
      </c>
      <c r="N184" s="86">
        <f>VLOOKUP($A184,'Data shares'!$C:$FA,78)</f>
        <v>23351200</v>
      </c>
      <c r="O184" s="87">
        <f>VLOOKUP($A184,'Data shares'!$C:$FA,81)</f>
        <v>5.7999999999999996E-3</v>
      </c>
    </row>
    <row r="185" spans="1:15" x14ac:dyDescent="0.25">
      <c r="A185" s="100" t="str">
        <f>'Data Vlaue (Cr)'!C180</f>
        <v>SBILIFE</v>
      </c>
      <c r="B185" s="82">
        <f>VLOOKUP(A185,'Data shares'!$C$2:$CV$216,98,0)</f>
        <v>15378750</v>
      </c>
      <c r="C185" s="82">
        <f>VLOOKUP(A185,'Data shares'!$C$2:$CX$216,100,0)</f>
        <v>574125</v>
      </c>
      <c r="D185" s="141">
        <f>VLOOKUP(A185,'Data shares'!$C$2:$CY$539,101,0)</f>
        <v>3.8800000000000001E-2</v>
      </c>
      <c r="E185" s="86">
        <f>VLOOKUP($A185,'Data shares'!$C:$FA,74)</f>
        <v>10467375</v>
      </c>
      <c r="F185" s="86">
        <f>VLOOKUP($A185,'Data shares'!$C:$FA,76)</f>
        <v>-11625</v>
      </c>
      <c r="G185" s="87">
        <f>VLOOKUP(A185,'Data shares'!$C$2:$CA$216,77,0)</f>
        <v>-1.1000000000000001E-3</v>
      </c>
      <c r="H185" s="86">
        <f>VLOOKUP($A185,'Data shares'!$C:$FA,90)</f>
        <v>3123375</v>
      </c>
      <c r="I185" s="86">
        <f>VLOOKUP($A185,'Data shares'!$C:$FA,92)</f>
        <v>563250</v>
      </c>
      <c r="J185" s="87">
        <f>VLOOKUP($A185,'Data shares'!$C:$FA,93)</f>
        <v>0.22</v>
      </c>
      <c r="K185" s="86">
        <f>VLOOKUP($A185,'Data shares'!$C:$FA,94)</f>
        <v>1788000</v>
      </c>
      <c r="L185" s="86">
        <f>VLOOKUP($A185,'Data shares'!$C:$FA,96)</f>
        <v>22500</v>
      </c>
      <c r="M185" s="87">
        <f>VLOOKUP($A185,'Data shares'!$C:$FA,97)</f>
        <v>1.2699999999999999E-2</v>
      </c>
      <c r="N185" s="86">
        <f>VLOOKUP($A185,'Data shares'!$C:$FA,78)</f>
        <v>9169500</v>
      </c>
      <c r="O185" s="87">
        <f>VLOOKUP($A185,'Data shares'!$C:$FA,81)</f>
        <v>-5.4999999999999997E-3</v>
      </c>
    </row>
    <row r="186" spans="1:15" x14ac:dyDescent="0.25">
      <c r="A186" s="100" t="str">
        <f>'Data Vlaue (Cr)'!C181</f>
        <v>SBIN</v>
      </c>
      <c r="B186" s="82">
        <f>VLOOKUP(A186,'Data shares'!$C$2:$CV$216,98,0)</f>
        <v>149257500</v>
      </c>
      <c r="C186" s="82">
        <f>VLOOKUP(A186,'Data shares'!$C$2:$CX$216,100,0)</f>
        <v>10801500</v>
      </c>
      <c r="D186" s="141">
        <f>VLOOKUP(A186,'Data shares'!$C$2:$CY$539,101,0)</f>
        <v>7.8E-2</v>
      </c>
      <c r="E186" s="86">
        <f>VLOOKUP($A186,'Data shares'!$C:$FA,74)</f>
        <v>94068750</v>
      </c>
      <c r="F186" s="86">
        <f>VLOOKUP($A186,'Data shares'!$C:$FA,76)</f>
        <v>3954750</v>
      </c>
      <c r="G186" s="87">
        <f>VLOOKUP(A186,'Data shares'!$C$2:$CA$216,77,0)</f>
        <v>4.3900000000000002E-2</v>
      </c>
      <c r="H186" s="86">
        <f>VLOOKUP($A186,'Data shares'!$C:$FA,90)</f>
        <v>31978500</v>
      </c>
      <c r="I186" s="86">
        <f>VLOOKUP($A186,'Data shares'!$C:$FA,92)</f>
        <v>4428750</v>
      </c>
      <c r="J186" s="87">
        <f>VLOOKUP($A186,'Data shares'!$C:$FA,93)</f>
        <v>0.1608</v>
      </c>
      <c r="K186" s="86">
        <f>VLOOKUP($A186,'Data shares'!$C:$FA,94)</f>
        <v>23210250</v>
      </c>
      <c r="L186" s="86">
        <f>VLOOKUP($A186,'Data shares'!$C:$FA,96)</f>
        <v>2418000</v>
      </c>
      <c r="M186" s="87">
        <f>VLOOKUP($A186,'Data shares'!$C:$FA,97)</f>
        <v>0.1163</v>
      </c>
      <c r="N186" s="86">
        <f>VLOOKUP($A186,'Data shares'!$C:$FA,78)</f>
        <v>73549500</v>
      </c>
      <c r="O186" s="87">
        <f>VLOOKUP($A186,'Data shares'!$C:$FA,81)</f>
        <v>4.4999999999999998E-2</v>
      </c>
    </row>
    <row r="187" spans="1:15" x14ac:dyDescent="0.25">
      <c r="A187" s="100" t="str">
        <f>'Data Vlaue (Cr)'!C182</f>
        <v>SHREECEM</v>
      </c>
      <c r="B187" s="82">
        <f>VLOOKUP(A187,'Data shares'!$C$2:$CV$216,98,0)</f>
        <v>481725</v>
      </c>
      <c r="C187" s="82">
        <f>VLOOKUP(A187,'Data shares'!$C$2:$CX$216,100,0)</f>
        <v>18975</v>
      </c>
      <c r="D187" s="141">
        <f>VLOOKUP(A187,'Data shares'!$C$2:$CY$539,101,0)</f>
        <v>4.1000000000000002E-2</v>
      </c>
      <c r="E187" s="86">
        <f>VLOOKUP($A187,'Data shares'!$C:$FA,74)</f>
        <v>404475</v>
      </c>
      <c r="F187" s="86">
        <f>VLOOKUP($A187,'Data shares'!$C:$FA,76)</f>
        <v>10975</v>
      </c>
      <c r="G187" s="87">
        <f>VLOOKUP(A187,'Data shares'!$C$2:$CA$216,77,0)</f>
        <v>2.7900000000000001E-2</v>
      </c>
      <c r="H187" s="86">
        <f>VLOOKUP($A187,'Data shares'!$C:$FA,90)</f>
        <v>40800</v>
      </c>
      <c r="I187" s="86">
        <f>VLOOKUP($A187,'Data shares'!$C:$FA,92)</f>
        <v>3600</v>
      </c>
      <c r="J187" s="87">
        <f>VLOOKUP($A187,'Data shares'!$C:$FA,93)</f>
        <v>9.6799999999999997E-2</v>
      </c>
      <c r="K187" s="86">
        <f>VLOOKUP($A187,'Data shares'!$C:$FA,94)</f>
        <v>36450</v>
      </c>
      <c r="L187" s="86">
        <f>VLOOKUP($A187,'Data shares'!$C:$FA,96)</f>
        <v>4400</v>
      </c>
      <c r="M187" s="87">
        <f>VLOOKUP($A187,'Data shares'!$C:$FA,97)</f>
        <v>0.13730000000000001</v>
      </c>
      <c r="N187" s="86">
        <f>VLOOKUP($A187,'Data shares'!$C:$FA,78)</f>
        <v>399725</v>
      </c>
      <c r="O187" s="87">
        <f>VLOOKUP($A187,'Data shares'!$C:$FA,81)</f>
        <v>2.8400000000000002E-2</v>
      </c>
    </row>
    <row r="188" spans="1:15" x14ac:dyDescent="0.25">
      <c r="A188" s="100" t="str">
        <f>'Data Vlaue (Cr)'!C183</f>
        <v>SHRIRAMFIN</v>
      </c>
      <c r="B188" s="82">
        <f>VLOOKUP(A188,'Data shares'!$C$2:$CV$216,98,0)</f>
        <v>71866575</v>
      </c>
      <c r="C188" s="82">
        <f>VLOOKUP(A188,'Data shares'!$C$2:$CX$216,100,0)</f>
        <v>1249875</v>
      </c>
      <c r="D188" s="141">
        <f>VLOOKUP(A188,'Data shares'!$C$2:$CY$539,101,0)</f>
        <v>1.77E-2</v>
      </c>
      <c r="E188" s="86">
        <f>VLOOKUP($A188,'Data shares'!$C:$FA,74)</f>
        <v>44382525</v>
      </c>
      <c r="F188" s="86">
        <f>VLOOKUP($A188,'Data shares'!$C:$FA,76)</f>
        <v>1015575</v>
      </c>
      <c r="G188" s="87">
        <f>VLOOKUP(A188,'Data shares'!$C$2:$CA$216,77,0)</f>
        <v>2.3400000000000001E-2</v>
      </c>
      <c r="H188" s="86">
        <f>VLOOKUP($A188,'Data shares'!$C:$FA,90)</f>
        <v>18715125</v>
      </c>
      <c r="I188" s="86">
        <f>VLOOKUP($A188,'Data shares'!$C:$FA,92)</f>
        <v>286275</v>
      </c>
      <c r="J188" s="87">
        <f>VLOOKUP($A188,'Data shares'!$C:$FA,93)</f>
        <v>1.55E-2</v>
      </c>
      <c r="K188" s="86">
        <f>VLOOKUP($A188,'Data shares'!$C:$FA,94)</f>
        <v>8768925</v>
      </c>
      <c r="L188" s="86">
        <f>VLOOKUP($A188,'Data shares'!$C:$FA,96)</f>
        <v>-51975</v>
      </c>
      <c r="M188" s="87">
        <f>VLOOKUP($A188,'Data shares'!$C:$FA,97)</f>
        <v>-5.8999999999999999E-3</v>
      </c>
      <c r="N188" s="86">
        <f>VLOOKUP($A188,'Data shares'!$C:$FA,78)</f>
        <v>38591850</v>
      </c>
      <c r="O188" s="87">
        <f>VLOOKUP($A188,'Data shares'!$C:$FA,81)</f>
        <v>2.3199999999999998E-2</v>
      </c>
    </row>
    <row r="189" spans="1:15" x14ac:dyDescent="0.25">
      <c r="A189" s="100" t="str">
        <f>'Data Vlaue (Cr)'!C184</f>
        <v>SIEMENS</v>
      </c>
      <c r="B189" s="82">
        <f>VLOOKUP(A189,'Data shares'!$C$2:$CV$216,98,0)</f>
        <v>4541075</v>
      </c>
      <c r="C189" s="82">
        <f>VLOOKUP(A189,'Data shares'!$C$2:$CX$216,100,0)</f>
        <v>418075</v>
      </c>
      <c r="D189" s="141">
        <f>VLOOKUP(A189,'Data shares'!$C$2:$CY$539,101,0)</f>
        <v>0.1014</v>
      </c>
      <c r="E189" s="86">
        <f>VLOOKUP($A189,'Data shares'!$C:$FA,74)</f>
        <v>3046575</v>
      </c>
      <c r="F189" s="86">
        <f>VLOOKUP($A189,'Data shares'!$C:$FA,76)</f>
        <v>117950</v>
      </c>
      <c r="G189" s="87">
        <f>VLOOKUP(A189,'Data shares'!$C$2:$CA$216,77,0)</f>
        <v>4.0300000000000002E-2</v>
      </c>
      <c r="H189" s="86">
        <f>VLOOKUP($A189,'Data shares'!$C:$FA,90)</f>
        <v>956375</v>
      </c>
      <c r="I189" s="86">
        <f>VLOOKUP($A189,'Data shares'!$C:$FA,92)</f>
        <v>215075</v>
      </c>
      <c r="J189" s="87">
        <f>VLOOKUP($A189,'Data shares'!$C:$FA,93)</f>
        <v>0.29010000000000002</v>
      </c>
      <c r="K189" s="86">
        <f>VLOOKUP($A189,'Data shares'!$C:$FA,94)</f>
        <v>538125</v>
      </c>
      <c r="L189" s="86">
        <f>VLOOKUP($A189,'Data shares'!$C:$FA,96)</f>
        <v>85050</v>
      </c>
      <c r="M189" s="87">
        <f>VLOOKUP($A189,'Data shares'!$C:$FA,97)</f>
        <v>0.18770000000000001</v>
      </c>
      <c r="N189" s="86">
        <f>VLOOKUP($A189,'Data shares'!$C:$FA,78)</f>
        <v>3005100</v>
      </c>
      <c r="O189" s="87">
        <f>VLOOKUP($A189,'Data shares'!$C:$FA,81)</f>
        <v>4.1700000000000001E-2</v>
      </c>
    </row>
    <row r="190" spans="1:15" x14ac:dyDescent="0.25">
      <c r="A190" s="100" t="str">
        <f>'Data Vlaue (Cr)'!C185</f>
        <v>SOLARINDS</v>
      </c>
      <c r="B190" s="82">
        <f>VLOOKUP(A190,'Data shares'!$C$2:$CV$216,98,0)</f>
        <v>944050</v>
      </c>
      <c r="C190" s="82">
        <f>VLOOKUP(A190,'Data shares'!$C$2:$CX$216,100,0)</f>
        <v>2000</v>
      </c>
      <c r="D190" s="141">
        <f>VLOOKUP(A190,'Data shares'!$C$2:$CY$539,101,0)</f>
        <v>2.0999999999999999E-3</v>
      </c>
      <c r="E190" s="86">
        <f>VLOOKUP($A190,'Data shares'!$C:$FA,74)</f>
        <v>769750</v>
      </c>
      <c r="F190" s="86">
        <f>VLOOKUP($A190,'Data shares'!$C:$FA,76)</f>
        <v>-2950</v>
      </c>
      <c r="G190" s="87">
        <f>VLOOKUP(A190,'Data shares'!$C$2:$CA$216,77,0)</f>
        <v>-3.8E-3</v>
      </c>
      <c r="H190" s="86">
        <f>VLOOKUP($A190,'Data shares'!$C:$FA,90)</f>
        <v>102950</v>
      </c>
      <c r="I190" s="86">
        <f>VLOOKUP($A190,'Data shares'!$C:$FA,92)</f>
        <v>5100</v>
      </c>
      <c r="J190" s="87">
        <f>VLOOKUP($A190,'Data shares'!$C:$FA,93)</f>
        <v>5.21E-2</v>
      </c>
      <c r="K190" s="86">
        <f>VLOOKUP($A190,'Data shares'!$C:$FA,94)</f>
        <v>71350</v>
      </c>
      <c r="L190" s="86">
        <f>VLOOKUP($A190,'Data shares'!$C:$FA,96)</f>
        <v>-150</v>
      </c>
      <c r="M190" s="87">
        <f>VLOOKUP($A190,'Data shares'!$C:$FA,97)</f>
        <v>-2.0999999999999999E-3</v>
      </c>
      <c r="N190" s="86">
        <f>VLOOKUP($A190,'Data shares'!$C:$FA,78)</f>
        <v>715700</v>
      </c>
      <c r="O190" s="87">
        <f>VLOOKUP($A190,'Data shares'!$C:$FA,81)</f>
        <v>-5.7999999999999996E-3</v>
      </c>
    </row>
    <row r="191" spans="1:15" x14ac:dyDescent="0.25">
      <c r="A191" s="100" t="str">
        <f>'Data Vlaue (Cr)'!C186</f>
        <v>SONACOMS</v>
      </c>
      <c r="B191" s="82">
        <f>VLOOKUP(A191,'Data shares'!$C$2:$CV$216,98,0)</f>
        <v>23244375</v>
      </c>
      <c r="C191" s="82">
        <f>VLOOKUP(A191,'Data shares'!$C$2:$CX$216,100,0)</f>
        <v>3699500</v>
      </c>
      <c r="D191" s="141">
        <f>VLOOKUP(A191,'Data shares'!$C$2:$CY$539,101,0)</f>
        <v>0.1893</v>
      </c>
      <c r="E191" s="86">
        <f>VLOOKUP($A191,'Data shares'!$C:$FA,74)</f>
        <v>16223900</v>
      </c>
      <c r="F191" s="86">
        <f>VLOOKUP($A191,'Data shares'!$C:$FA,76)</f>
        <v>1543500</v>
      </c>
      <c r="G191" s="87">
        <f>VLOOKUP(A191,'Data shares'!$C$2:$CA$216,77,0)</f>
        <v>0.1051</v>
      </c>
      <c r="H191" s="86">
        <f>VLOOKUP($A191,'Data shares'!$C:$FA,90)</f>
        <v>4474925</v>
      </c>
      <c r="I191" s="86">
        <f>VLOOKUP($A191,'Data shares'!$C:$FA,92)</f>
        <v>1715000</v>
      </c>
      <c r="J191" s="87">
        <f>VLOOKUP($A191,'Data shares'!$C:$FA,93)</f>
        <v>0.62139999999999995</v>
      </c>
      <c r="K191" s="86">
        <f>VLOOKUP($A191,'Data shares'!$C:$FA,94)</f>
        <v>2545550</v>
      </c>
      <c r="L191" s="86">
        <f>VLOOKUP($A191,'Data shares'!$C:$FA,96)</f>
        <v>441000</v>
      </c>
      <c r="M191" s="87">
        <f>VLOOKUP($A191,'Data shares'!$C:$FA,97)</f>
        <v>0.20949999999999999</v>
      </c>
      <c r="N191" s="86">
        <f>VLOOKUP($A191,'Data shares'!$C:$FA,78)</f>
        <v>16027900</v>
      </c>
      <c r="O191" s="87">
        <f>VLOOKUP($A191,'Data shares'!$C:$FA,81)</f>
        <v>0.10290000000000001</v>
      </c>
    </row>
    <row r="192" spans="1:15" x14ac:dyDescent="0.25">
      <c r="A192" s="100" t="str">
        <f>'Data Vlaue (Cr)'!C187</f>
        <v>SRF</v>
      </c>
      <c r="B192" s="82">
        <f>VLOOKUP(A192,'Data shares'!$C$2:$CV$216,98,0)</f>
        <v>5465800</v>
      </c>
      <c r="C192" s="82">
        <f>VLOOKUP(A192,'Data shares'!$C$2:$CX$216,100,0)</f>
        <v>219000</v>
      </c>
      <c r="D192" s="141">
        <f>VLOOKUP(A192,'Data shares'!$C$2:$CY$539,101,0)</f>
        <v>4.1700000000000001E-2</v>
      </c>
      <c r="E192" s="86">
        <f>VLOOKUP($A192,'Data shares'!$C:$FA,74)</f>
        <v>3517400</v>
      </c>
      <c r="F192" s="86">
        <f>VLOOKUP($A192,'Data shares'!$C:$FA,76)</f>
        <v>28200</v>
      </c>
      <c r="G192" s="87">
        <f>VLOOKUP(A192,'Data shares'!$C$2:$CA$216,77,0)</f>
        <v>8.0999999999999996E-3</v>
      </c>
      <c r="H192" s="86">
        <f>VLOOKUP($A192,'Data shares'!$C:$FA,90)</f>
        <v>1062800</v>
      </c>
      <c r="I192" s="86">
        <f>VLOOKUP($A192,'Data shares'!$C:$FA,92)</f>
        <v>141000</v>
      </c>
      <c r="J192" s="87">
        <f>VLOOKUP($A192,'Data shares'!$C:$FA,93)</f>
        <v>0.153</v>
      </c>
      <c r="K192" s="86">
        <f>VLOOKUP($A192,'Data shares'!$C:$FA,94)</f>
        <v>885600</v>
      </c>
      <c r="L192" s="86">
        <f>VLOOKUP($A192,'Data shares'!$C:$FA,96)</f>
        <v>49800</v>
      </c>
      <c r="M192" s="87">
        <f>VLOOKUP($A192,'Data shares'!$C:$FA,97)</f>
        <v>5.96E-2</v>
      </c>
      <c r="N192" s="86">
        <f>VLOOKUP($A192,'Data shares'!$C:$FA,78)</f>
        <v>3462200</v>
      </c>
      <c r="O192" s="87">
        <f>VLOOKUP($A192,'Data shares'!$C:$FA,81)</f>
        <v>8.0999999999999996E-3</v>
      </c>
    </row>
    <row r="193" spans="1:15" x14ac:dyDescent="0.25">
      <c r="A193" s="100" t="str">
        <f>'Data Vlaue (Cr)'!C188</f>
        <v>SUNPHARMA</v>
      </c>
      <c r="B193" s="82">
        <f>VLOOKUP(A193,'Data shares'!$C$2:$CV$216,98,0)</f>
        <v>44591750</v>
      </c>
      <c r="C193" s="82">
        <f>VLOOKUP(A193,'Data shares'!$C$2:$CX$216,100,0)</f>
        <v>2146900</v>
      </c>
      <c r="D193" s="141">
        <f>VLOOKUP(A193,'Data shares'!$C$2:$CY$539,101,0)</f>
        <v>5.0599999999999999E-2</v>
      </c>
      <c r="E193" s="86">
        <f>VLOOKUP($A193,'Data shares'!$C:$FA,74)</f>
        <v>28402850</v>
      </c>
      <c r="F193" s="86">
        <f>VLOOKUP($A193,'Data shares'!$C:$FA,76)</f>
        <v>101500</v>
      </c>
      <c r="G193" s="87">
        <f>VLOOKUP(A193,'Data shares'!$C$2:$CA$216,77,0)</f>
        <v>3.5999999999999999E-3</v>
      </c>
      <c r="H193" s="86">
        <f>VLOOKUP($A193,'Data shares'!$C:$FA,90)</f>
        <v>9427600</v>
      </c>
      <c r="I193" s="86">
        <f>VLOOKUP($A193,'Data shares'!$C:$FA,92)</f>
        <v>1369900</v>
      </c>
      <c r="J193" s="87">
        <f>VLOOKUP($A193,'Data shares'!$C:$FA,93)</f>
        <v>0.17</v>
      </c>
      <c r="K193" s="86">
        <f>VLOOKUP($A193,'Data shares'!$C:$FA,94)</f>
        <v>6761300</v>
      </c>
      <c r="L193" s="86">
        <f>VLOOKUP($A193,'Data shares'!$C:$FA,96)</f>
        <v>675500</v>
      </c>
      <c r="M193" s="87">
        <f>VLOOKUP($A193,'Data shares'!$C:$FA,97)</f>
        <v>0.111</v>
      </c>
      <c r="N193" s="86">
        <f>VLOOKUP($A193,'Data shares'!$C:$FA,78)</f>
        <v>24770550</v>
      </c>
      <c r="O193" s="87">
        <f>VLOOKUP($A193,'Data shares'!$C:$FA,81)</f>
        <v>-4.0000000000000002E-4</v>
      </c>
    </row>
    <row r="194" spans="1:15" x14ac:dyDescent="0.25">
      <c r="A194" s="100" t="str">
        <f>'Data Vlaue (Cr)'!C189</f>
        <v>SUPREMEIND</v>
      </c>
      <c r="B194" s="82">
        <f>VLOOKUP(A194,'Data shares'!$C$2:$CV$216,98,0)</f>
        <v>3570525</v>
      </c>
      <c r="C194" s="82">
        <f>VLOOKUP(A194,'Data shares'!$C$2:$CX$216,100,0)</f>
        <v>163450</v>
      </c>
      <c r="D194" s="141">
        <f>VLOOKUP(A194,'Data shares'!$C$2:$CY$539,101,0)</f>
        <v>4.8000000000000001E-2</v>
      </c>
      <c r="E194" s="86">
        <f>VLOOKUP($A194,'Data shares'!$C:$FA,74)</f>
        <v>2191700</v>
      </c>
      <c r="F194" s="86">
        <f>VLOOKUP($A194,'Data shares'!$C:$FA,76)</f>
        <v>-21700</v>
      </c>
      <c r="G194" s="87">
        <f>VLOOKUP(A194,'Data shares'!$C$2:$CA$216,77,0)</f>
        <v>-9.7999999999999997E-3</v>
      </c>
      <c r="H194" s="86">
        <f>VLOOKUP($A194,'Data shares'!$C:$FA,90)</f>
        <v>950425</v>
      </c>
      <c r="I194" s="86">
        <f>VLOOKUP($A194,'Data shares'!$C:$FA,92)</f>
        <v>134400</v>
      </c>
      <c r="J194" s="87">
        <f>VLOOKUP($A194,'Data shares'!$C:$FA,93)</f>
        <v>0.16470000000000001</v>
      </c>
      <c r="K194" s="86">
        <f>VLOOKUP($A194,'Data shares'!$C:$FA,94)</f>
        <v>428400</v>
      </c>
      <c r="L194" s="86">
        <f>VLOOKUP($A194,'Data shares'!$C:$FA,96)</f>
        <v>50750</v>
      </c>
      <c r="M194" s="87">
        <f>VLOOKUP($A194,'Data shares'!$C:$FA,97)</f>
        <v>0.13439999999999999</v>
      </c>
      <c r="N194" s="86">
        <f>VLOOKUP($A194,'Data shares'!$C:$FA,78)</f>
        <v>2158450</v>
      </c>
      <c r="O194" s="87">
        <f>VLOOKUP($A194,'Data shares'!$C:$FA,81)</f>
        <v>-1.04E-2</v>
      </c>
    </row>
    <row r="195" spans="1:15" x14ac:dyDescent="0.25">
      <c r="A195" s="100" t="str">
        <f>'Data Vlaue (Cr)'!C190</f>
        <v>SUZLON</v>
      </c>
      <c r="B195" s="82">
        <f>VLOOKUP(A195,'Data shares'!$C$2:$CV$216,98,0)</f>
        <v>485416125</v>
      </c>
      <c r="C195" s="82">
        <f>VLOOKUP(A195,'Data shares'!$C$2:$CX$216,100,0)</f>
        <v>30726400</v>
      </c>
      <c r="D195" s="141">
        <f>VLOOKUP(A195,'Data shares'!$C$2:$CY$539,101,0)</f>
        <v>6.7599999999999993E-2</v>
      </c>
      <c r="E195" s="86">
        <f>VLOOKUP($A195,'Data shares'!$C:$FA,74)</f>
        <v>289167500</v>
      </c>
      <c r="F195" s="86">
        <f>VLOOKUP($A195,'Data shares'!$C:$FA,76)</f>
        <v>9228850</v>
      </c>
      <c r="G195" s="87">
        <f>VLOOKUP(A195,'Data shares'!$C$2:$CA$216,77,0)</f>
        <v>3.3000000000000002E-2</v>
      </c>
      <c r="H195" s="86">
        <f>VLOOKUP($A195,'Data shares'!$C:$FA,90)</f>
        <v>137604175</v>
      </c>
      <c r="I195" s="86">
        <f>VLOOKUP($A195,'Data shares'!$C:$FA,92)</f>
        <v>17192625</v>
      </c>
      <c r="J195" s="87">
        <f>VLOOKUP($A195,'Data shares'!$C:$FA,93)</f>
        <v>0.14280000000000001</v>
      </c>
      <c r="K195" s="86">
        <f>VLOOKUP($A195,'Data shares'!$C:$FA,94)</f>
        <v>58644450</v>
      </c>
      <c r="L195" s="86">
        <f>VLOOKUP($A195,'Data shares'!$C:$FA,96)</f>
        <v>4304925</v>
      </c>
      <c r="M195" s="87">
        <f>VLOOKUP($A195,'Data shares'!$C:$FA,97)</f>
        <v>7.9200000000000007E-2</v>
      </c>
      <c r="N195" s="86">
        <f>VLOOKUP($A195,'Data shares'!$C:$FA,78)</f>
        <v>262654575</v>
      </c>
      <c r="O195" s="87">
        <f>VLOOKUP($A195,'Data shares'!$C:$FA,81)</f>
        <v>3.1600000000000003E-2</v>
      </c>
    </row>
    <row r="196" spans="1:15" x14ac:dyDescent="0.25">
      <c r="A196" s="100" t="str">
        <f>'Data Vlaue (Cr)'!C191</f>
        <v>SWIGGY</v>
      </c>
      <c r="B196" s="82">
        <f>VLOOKUP(A196,'Data shares'!$C$2:$CV$216,98,0)</f>
        <v>57223325</v>
      </c>
      <c r="C196" s="82">
        <f>VLOOKUP(A196,'Data shares'!$C$2:$CX$216,100,0)</f>
        <v>2506700</v>
      </c>
      <c r="D196" s="141">
        <f>VLOOKUP(A196,'Data shares'!$C$2:$CY$539,101,0)</f>
        <v>4.58E-2</v>
      </c>
      <c r="E196" s="86">
        <f>VLOOKUP($A196,'Data shares'!$C:$FA,74)</f>
        <v>41832625</v>
      </c>
      <c r="F196" s="86">
        <f>VLOOKUP($A196,'Data shares'!$C:$FA,76)</f>
        <v>191400</v>
      </c>
      <c r="G196" s="87">
        <f>VLOOKUP(A196,'Data shares'!$C$2:$CA$216,77,0)</f>
        <v>4.5999999999999999E-3</v>
      </c>
      <c r="H196" s="86">
        <f>VLOOKUP($A196,'Data shares'!$C:$FA,90)</f>
        <v>9347000</v>
      </c>
      <c r="I196" s="86">
        <f>VLOOKUP($A196,'Data shares'!$C:$FA,92)</f>
        <v>1636700</v>
      </c>
      <c r="J196" s="87">
        <f>VLOOKUP($A196,'Data shares'!$C:$FA,93)</f>
        <v>0.21229999999999999</v>
      </c>
      <c r="K196" s="86">
        <f>VLOOKUP($A196,'Data shares'!$C:$FA,94)</f>
        <v>6043700</v>
      </c>
      <c r="L196" s="86">
        <f>VLOOKUP($A196,'Data shares'!$C:$FA,96)</f>
        <v>678600</v>
      </c>
      <c r="M196" s="87">
        <f>VLOOKUP($A196,'Data shares'!$C:$FA,97)</f>
        <v>0.1265</v>
      </c>
      <c r="N196" s="86">
        <f>VLOOKUP($A196,'Data shares'!$C:$FA,78)</f>
        <v>40653600</v>
      </c>
      <c r="O196" s="87">
        <f>VLOOKUP($A196,'Data shares'!$C:$FA,81)</f>
        <v>2E-3</v>
      </c>
    </row>
    <row r="197" spans="1:15" x14ac:dyDescent="0.25">
      <c r="A197" s="100" t="str">
        <f>'Data Vlaue (Cr)'!C192</f>
        <v>TATACONSUM</v>
      </c>
      <c r="B197" s="82">
        <f>VLOOKUP(A197,'Data shares'!$C$2:$CV$216,98,0)</f>
        <v>13016850</v>
      </c>
      <c r="C197" s="82">
        <f>VLOOKUP(A197,'Data shares'!$C$2:$CX$216,100,0)</f>
        <v>534050</v>
      </c>
      <c r="D197" s="141">
        <f>VLOOKUP(A197,'Data shares'!$C$2:$CY$539,101,0)</f>
        <v>4.2799999999999998E-2</v>
      </c>
      <c r="E197" s="86">
        <f>VLOOKUP($A197,'Data shares'!$C:$FA,74)</f>
        <v>9276850</v>
      </c>
      <c r="F197" s="86">
        <f>VLOOKUP($A197,'Data shares'!$C:$FA,76)</f>
        <v>1650</v>
      </c>
      <c r="G197" s="87">
        <f>VLOOKUP(A197,'Data shares'!$C$2:$CA$216,77,0)</f>
        <v>2.0000000000000001E-4</v>
      </c>
      <c r="H197" s="86">
        <f>VLOOKUP($A197,'Data shares'!$C:$FA,90)</f>
        <v>2390850</v>
      </c>
      <c r="I197" s="86">
        <f>VLOOKUP($A197,'Data shares'!$C:$FA,92)</f>
        <v>406450</v>
      </c>
      <c r="J197" s="87">
        <f>VLOOKUP($A197,'Data shares'!$C:$FA,93)</f>
        <v>0.20480000000000001</v>
      </c>
      <c r="K197" s="86">
        <f>VLOOKUP($A197,'Data shares'!$C:$FA,94)</f>
        <v>1349150</v>
      </c>
      <c r="L197" s="86">
        <f>VLOOKUP($A197,'Data shares'!$C:$FA,96)</f>
        <v>125950</v>
      </c>
      <c r="M197" s="87">
        <f>VLOOKUP($A197,'Data shares'!$C:$FA,97)</f>
        <v>0.10299999999999999</v>
      </c>
      <c r="N197" s="86">
        <f>VLOOKUP($A197,'Data shares'!$C:$FA,78)</f>
        <v>8303350</v>
      </c>
      <c r="O197" s="87">
        <f>VLOOKUP($A197,'Data shares'!$C:$FA,81)</f>
        <v>-4.4999999999999997E-3</v>
      </c>
    </row>
    <row r="198" spans="1:15" x14ac:dyDescent="0.25">
      <c r="A198" s="100" t="str">
        <f>'Data Vlaue (Cr)'!C193</f>
        <v>TATAELXSI</v>
      </c>
      <c r="B198" s="82">
        <f>VLOOKUP(A198,'Data shares'!$C$2:$CV$216,98,0)</f>
        <v>4382800</v>
      </c>
      <c r="C198" s="82">
        <f>VLOOKUP(A198,'Data shares'!$C$2:$CX$216,100,0)</f>
        <v>242825</v>
      </c>
      <c r="D198" s="141">
        <f>VLOOKUP(A198,'Data shares'!$C$2:$CY$539,101,0)</f>
        <v>5.8700000000000002E-2</v>
      </c>
      <c r="E198" s="86">
        <f>VLOOKUP($A198,'Data shares'!$C:$FA,74)</f>
        <v>2425475</v>
      </c>
      <c r="F198" s="86">
        <f>VLOOKUP($A198,'Data shares'!$C:$FA,76)</f>
        <v>43300</v>
      </c>
      <c r="G198" s="87">
        <f>VLOOKUP(A198,'Data shares'!$C$2:$CA$216,77,0)</f>
        <v>1.8200000000000001E-2</v>
      </c>
      <c r="H198" s="86">
        <f>VLOOKUP($A198,'Data shares'!$C:$FA,90)</f>
        <v>1354300</v>
      </c>
      <c r="I198" s="86">
        <f>VLOOKUP($A198,'Data shares'!$C:$FA,92)</f>
        <v>145700</v>
      </c>
      <c r="J198" s="87">
        <f>VLOOKUP($A198,'Data shares'!$C:$FA,93)</f>
        <v>0.1206</v>
      </c>
      <c r="K198" s="86">
        <f>VLOOKUP($A198,'Data shares'!$C:$FA,94)</f>
        <v>603025</v>
      </c>
      <c r="L198" s="86">
        <f>VLOOKUP($A198,'Data shares'!$C:$FA,96)</f>
        <v>53825</v>
      </c>
      <c r="M198" s="87">
        <f>VLOOKUP($A198,'Data shares'!$C:$FA,97)</f>
        <v>9.8000000000000004E-2</v>
      </c>
      <c r="N198" s="86">
        <f>VLOOKUP($A198,'Data shares'!$C:$FA,78)</f>
        <v>2230400</v>
      </c>
      <c r="O198" s="87">
        <f>VLOOKUP($A198,'Data shares'!$C:$FA,81)</f>
        <v>1.35E-2</v>
      </c>
    </row>
    <row r="199" spans="1:15" x14ac:dyDescent="0.25">
      <c r="A199" s="100" t="str">
        <f>'Data Vlaue (Cr)'!C194</f>
        <v>TATAPOWER</v>
      </c>
      <c r="B199" s="82">
        <f>VLOOKUP(A199,'Data shares'!$C$2:$CV$216,98,0)</f>
        <v>88412300</v>
      </c>
      <c r="C199" s="82">
        <f>VLOOKUP(A199,'Data shares'!$C$2:$CX$216,100,0)</f>
        <v>4882150</v>
      </c>
      <c r="D199" s="141">
        <f>VLOOKUP(A199,'Data shares'!$C$2:$CY$539,101,0)</f>
        <v>5.8400000000000001E-2</v>
      </c>
      <c r="E199" s="86">
        <f>VLOOKUP($A199,'Data shares'!$C:$FA,74)</f>
        <v>50415050</v>
      </c>
      <c r="F199" s="86">
        <f>VLOOKUP($A199,'Data shares'!$C:$FA,76)</f>
        <v>1007750</v>
      </c>
      <c r="G199" s="87">
        <f>VLOOKUP(A199,'Data shares'!$C$2:$CA$216,77,0)</f>
        <v>2.0400000000000001E-2</v>
      </c>
      <c r="H199" s="86">
        <f>VLOOKUP($A199,'Data shares'!$C:$FA,90)</f>
        <v>23160850</v>
      </c>
      <c r="I199" s="86">
        <f>VLOOKUP($A199,'Data shares'!$C:$FA,92)</f>
        <v>3058050</v>
      </c>
      <c r="J199" s="87">
        <f>VLOOKUP($A199,'Data shares'!$C:$FA,93)</f>
        <v>0.15210000000000001</v>
      </c>
      <c r="K199" s="86">
        <f>VLOOKUP($A199,'Data shares'!$C:$FA,94)</f>
        <v>14836400</v>
      </c>
      <c r="L199" s="86">
        <f>VLOOKUP($A199,'Data shares'!$C:$FA,96)</f>
        <v>816350</v>
      </c>
      <c r="M199" s="87">
        <f>VLOOKUP($A199,'Data shares'!$C:$FA,97)</f>
        <v>5.8200000000000002E-2</v>
      </c>
      <c r="N199" s="86">
        <f>VLOOKUP($A199,'Data shares'!$C:$FA,78)</f>
        <v>49025950</v>
      </c>
      <c r="O199" s="87">
        <f>VLOOKUP($A199,'Data shares'!$C:$FA,81)</f>
        <v>1.72E-2</v>
      </c>
    </row>
    <row r="200" spans="1:15" x14ac:dyDescent="0.25">
      <c r="A200" s="100" t="str">
        <f>'Data Vlaue (Cr)'!C195</f>
        <v>TATASTEEL</v>
      </c>
      <c r="B200" s="82">
        <f>VLOOKUP(A200,'Data shares'!$C$2:$CV$216,98,0)</f>
        <v>318406000</v>
      </c>
      <c r="C200" s="82">
        <f>VLOOKUP(A200,'Data shares'!$C$2:$CX$216,100,0)</f>
        <v>7122500</v>
      </c>
      <c r="D200" s="141">
        <f>VLOOKUP(A200,'Data shares'!$C$2:$CY$539,101,0)</f>
        <v>2.29E-2</v>
      </c>
      <c r="E200" s="86">
        <f>VLOOKUP($A200,'Data shares'!$C:$FA,74)</f>
        <v>185539750</v>
      </c>
      <c r="F200" s="86">
        <f>VLOOKUP($A200,'Data shares'!$C:$FA,76)</f>
        <v>118250</v>
      </c>
      <c r="G200" s="87">
        <f>VLOOKUP(A200,'Data shares'!$C$2:$CA$216,77,0)</f>
        <v>5.9999999999999995E-4</v>
      </c>
      <c r="H200" s="86">
        <f>VLOOKUP($A200,'Data shares'!$C:$FA,90)</f>
        <v>80286250</v>
      </c>
      <c r="I200" s="86">
        <f>VLOOKUP($A200,'Data shares'!$C:$FA,92)</f>
        <v>2257750</v>
      </c>
      <c r="J200" s="87">
        <f>VLOOKUP($A200,'Data shares'!$C:$FA,93)</f>
        <v>2.8899999999999999E-2</v>
      </c>
      <c r="K200" s="86">
        <f>VLOOKUP($A200,'Data shares'!$C:$FA,94)</f>
        <v>52580000</v>
      </c>
      <c r="L200" s="86">
        <f>VLOOKUP($A200,'Data shares'!$C:$FA,96)</f>
        <v>4746500</v>
      </c>
      <c r="M200" s="87">
        <f>VLOOKUP($A200,'Data shares'!$C:$FA,97)</f>
        <v>9.9199999999999997E-2</v>
      </c>
      <c r="N200" s="86">
        <f>VLOOKUP($A200,'Data shares'!$C:$FA,78)</f>
        <v>171976750</v>
      </c>
      <c r="O200" s="87">
        <f>VLOOKUP($A200,'Data shares'!$C:$FA,81)</f>
        <v>-1.1999999999999999E-3</v>
      </c>
    </row>
    <row r="201" spans="1:15" x14ac:dyDescent="0.25">
      <c r="A201" s="100" t="str">
        <f>'Data Vlaue (Cr)'!C196</f>
        <v>TCS</v>
      </c>
      <c r="B201" s="82">
        <f>VLOOKUP(A201,'Data shares'!$C$2:$CV$216,98,0)</f>
        <v>57707625</v>
      </c>
      <c r="C201" s="82">
        <f>VLOOKUP(A201,'Data shares'!$C$2:$CX$216,100,0)</f>
        <v>1840750</v>
      </c>
      <c r="D201" s="141">
        <f>VLOOKUP(A201,'Data shares'!$C$2:$CY$539,101,0)</f>
        <v>3.2899999999999999E-2</v>
      </c>
      <c r="E201" s="86">
        <f>VLOOKUP($A201,'Data shares'!$C:$FA,74)</f>
        <v>37727850</v>
      </c>
      <c r="F201" s="86">
        <f>VLOOKUP($A201,'Data shares'!$C:$FA,76)</f>
        <v>259250</v>
      </c>
      <c r="G201" s="87">
        <f>VLOOKUP(A201,'Data shares'!$C$2:$CA$216,77,0)</f>
        <v>6.8999999999999999E-3</v>
      </c>
      <c r="H201" s="86">
        <f>VLOOKUP($A201,'Data shares'!$C:$FA,90)</f>
        <v>11516350</v>
      </c>
      <c r="I201" s="86">
        <f>VLOOKUP($A201,'Data shares'!$C:$FA,92)</f>
        <v>1336575</v>
      </c>
      <c r="J201" s="87">
        <f>VLOOKUP($A201,'Data shares'!$C:$FA,93)</f>
        <v>0.1313</v>
      </c>
      <c r="K201" s="86">
        <f>VLOOKUP($A201,'Data shares'!$C:$FA,94)</f>
        <v>8463425</v>
      </c>
      <c r="L201" s="86">
        <f>VLOOKUP($A201,'Data shares'!$C:$FA,96)</f>
        <v>244925</v>
      </c>
      <c r="M201" s="87">
        <f>VLOOKUP($A201,'Data shares'!$C:$FA,97)</f>
        <v>2.98E-2</v>
      </c>
      <c r="N201" s="86">
        <f>VLOOKUP($A201,'Data shares'!$C:$FA,78)</f>
        <v>35011900</v>
      </c>
      <c r="O201" s="87">
        <f>VLOOKUP($A201,'Data shares'!$C:$FA,81)</f>
        <v>4.0000000000000002E-4</v>
      </c>
    </row>
    <row r="202" spans="1:15" x14ac:dyDescent="0.25">
      <c r="A202" s="100" t="str">
        <f>'Data Vlaue (Cr)'!C197</f>
        <v>TECHM</v>
      </c>
      <c r="B202" s="82">
        <f>VLOOKUP(A202,'Data shares'!$C$2:$CV$216,98,0)</f>
        <v>30587400</v>
      </c>
      <c r="C202" s="82">
        <f>VLOOKUP(A202,'Data shares'!$C$2:$CX$216,100,0)</f>
        <v>969000</v>
      </c>
      <c r="D202" s="141">
        <f>VLOOKUP(A202,'Data shares'!$C$2:$CY$539,101,0)</f>
        <v>3.27E-2</v>
      </c>
      <c r="E202" s="86">
        <f>VLOOKUP($A202,'Data shares'!$C:$FA,74)</f>
        <v>19548600</v>
      </c>
      <c r="F202" s="86">
        <f>VLOOKUP($A202,'Data shares'!$C:$FA,76)</f>
        <v>350400</v>
      </c>
      <c r="G202" s="87">
        <f>VLOOKUP(A202,'Data shares'!$C$2:$CA$216,77,0)</f>
        <v>1.83E-2</v>
      </c>
      <c r="H202" s="86">
        <f>VLOOKUP($A202,'Data shares'!$C:$FA,90)</f>
        <v>6375000</v>
      </c>
      <c r="I202" s="86">
        <f>VLOOKUP($A202,'Data shares'!$C:$FA,92)</f>
        <v>506400</v>
      </c>
      <c r="J202" s="87">
        <f>VLOOKUP($A202,'Data shares'!$C:$FA,93)</f>
        <v>8.6300000000000002E-2</v>
      </c>
      <c r="K202" s="86">
        <f>VLOOKUP($A202,'Data shares'!$C:$FA,94)</f>
        <v>4663800</v>
      </c>
      <c r="L202" s="86">
        <f>VLOOKUP($A202,'Data shares'!$C:$FA,96)</f>
        <v>112200</v>
      </c>
      <c r="M202" s="87">
        <f>VLOOKUP($A202,'Data shares'!$C:$FA,97)</f>
        <v>2.47E-2</v>
      </c>
      <c r="N202" s="86">
        <f>VLOOKUP($A202,'Data shares'!$C:$FA,78)</f>
        <v>19092000</v>
      </c>
      <c r="O202" s="87">
        <f>VLOOKUP($A202,'Data shares'!$C:$FA,81)</f>
        <v>1.35E-2</v>
      </c>
    </row>
    <row r="203" spans="1:15" x14ac:dyDescent="0.25">
      <c r="A203" s="100" t="str">
        <f>'Data Vlaue (Cr)'!C198</f>
        <v>TIINDIA</v>
      </c>
      <c r="B203" s="82">
        <f>VLOOKUP(A203,'Data shares'!$C$2:$CV$216,98,0)</f>
        <v>2917000</v>
      </c>
      <c r="C203" s="82">
        <f>VLOOKUP(A203,'Data shares'!$C$2:$CX$216,100,0)</f>
        <v>70600</v>
      </c>
      <c r="D203" s="141">
        <f>VLOOKUP(A203,'Data shares'!$C$2:$CY$539,101,0)</f>
        <v>2.4799999999999999E-2</v>
      </c>
      <c r="E203" s="86">
        <f>VLOOKUP($A203,'Data shares'!$C:$FA,74)</f>
        <v>2428800</v>
      </c>
      <c r="F203" s="86">
        <f>VLOOKUP($A203,'Data shares'!$C:$FA,76)</f>
        <v>3600</v>
      </c>
      <c r="G203" s="87">
        <f>VLOOKUP(A203,'Data shares'!$C$2:$CA$216,77,0)</f>
        <v>1.5E-3</v>
      </c>
      <c r="H203" s="86">
        <f>VLOOKUP($A203,'Data shares'!$C:$FA,90)</f>
        <v>272200</v>
      </c>
      <c r="I203" s="86">
        <f>VLOOKUP($A203,'Data shares'!$C:$FA,92)</f>
        <v>64200</v>
      </c>
      <c r="J203" s="87">
        <f>VLOOKUP($A203,'Data shares'!$C:$FA,93)</f>
        <v>0.30869999999999997</v>
      </c>
      <c r="K203" s="86">
        <f>VLOOKUP($A203,'Data shares'!$C:$FA,94)</f>
        <v>216000</v>
      </c>
      <c r="L203" s="86">
        <f>VLOOKUP($A203,'Data shares'!$C:$FA,96)</f>
        <v>2800</v>
      </c>
      <c r="M203" s="87">
        <f>VLOOKUP($A203,'Data shares'!$C:$FA,97)</f>
        <v>1.3100000000000001E-2</v>
      </c>
      <c r="N203" s="86">
        <f>VLOOKUP($A203,'Data shares'!$C:$FA,78)</f>
        <v>2408400</v>
      </c>
      <c r="O203" s="87">
        <f>VLOOKUP($A203,'Data shares'!$C:$FA,81)</f>
        <v>2.0000000000000001E-4</v>
      </c>
    </row>
    <row r="204" spans="1:15" x14ac:dyDescent="0.25">
      <c r="A204" s="100" t="str">
        <f>'Data Vlaue (Cr)'!C199</f>
        <v>TITAN</v>
      </c>
      <c r="B204" s="82">
        <f>VLOOKUP(A204,'Data shares'!$C$2:$CV$216,98,0)</f>
        <v>11642050</v>
      </c>
      <c r="C204" s="82">
        <f>VLOOKUP(A204,'Data shares'!$C$2:$CX$216,100,0)</f>
        <v>451500</v>
      </c>
      <c r="D204" s="141">
        <f>VLOOKUP(A204,'Data shares'!$C$2:$CY$539,101,0)</f>
        <v>4.0300000000000002E-2</v>
      </c>
      <c r="E204" s="86">
        <f>VLOOKUP($A204,'Data shares'!$C:$FA,74)</f>
        <v>8831200</v>
      </c>
      <c r="F204" s="86">
        <f>VLOOKUP($A204,'Data shares'!$C:$FA,76)</f>
        <v>64050</v>
      </c>
      <c r="G204" s="87">
        <f>VLOOKUP(A204,'Data shares'!$C$2:$CA$216,77,0)</f>
        <v>7.3000000000000001E-3</v>
      </c>
      <c r="H204" s="86">
        <f>VLOOKUP($A204,'Data shares'!$C:$FA,90)</f>
        <v>1528975</v>
      </c>
      <c r="I204" s="86">
        <f>VLOOKUP($A204,'Data shares'!$C:$FA,92)</f>
        <v>167825</v>
      </c>
      <c r="J204" s="87">
        <f>VLOOKUP($A204,'Data shares'!$C:$FA,93)</f>
        <v>0.12330000000000001</v>
      </c>
      <c r="K204" s="86">
        <f>VLOOKUP($A204,'Data shares'!$C:$FA,94)</f>
        <v>1281875</v>
      </c>
      <c r="L204" s="86">
        <f>VLOOKUP($A204,'Data shares'!$C:$FA,96)</f>
        <v>219625</v>
      </c>
      <c r="M204" s="87">
        <f>VLOOKUP($A204,'Data shares'!$C:$FA,97)</f>
        <v>0.20680000000000001</v>
      </c>
      <c r="N204" s="86">
        <f>VLOOKUP($A204,'Data shares'!$C:$FA,78)</f>
        <v>7944475</v>
      </c>
      <c r="O204" s="87">
        <f>VLOOKUP($A204,'Data shares'!$C:$FA,81)</f>
        <v>-3.2000000000000002E-3</v>
      </c>
    </row>
    <row r="205" spans="1:15" x14ac:dyDescent="0.25">
      <c r="A205" s="100" t="str">
        <f>'Data Vlaue (Cr)'!C200</f>
        <v>TMPV</v>
      </c>
      <c r="B205" s="82">
        <f>VLOOKUP(A205,'Data shares'!$C$2:$CV$216,98,0)</f>
        <v>107888000</v>
      </c>
      <c r="C205" s="82">
        <f>VLOOKUP(A205,'Data shares'!$C$2:$CX$216,100,0)</f>
        <v>7869600</v>
      </c>
      <c r="D205" s="141">
        <f>VLOOKUP(A205,'Data shares'!$C$2:$CY$539,101,0)</f>
        <v>7.8700000000000006E-2</v>
      </c>
      <c r="E205" s="86">
        <f>VLOOKUP($A205,'Data shares'!$C:$FA,74)</f>
        <v>68157600</v>
      </c>
      <c r="F205" s="86">
        <f>VLOOKUP($A205,'Data shares'!$C:$FA,76)</f>
        <v>1275200</v>
      </c>
      <c r="G205" s="87">
        <f>VLOOKUP(A205,'Data shares'!$C$2:$CA$216,77,0)</f>
        <v>1.9099999999999999E-2</v>
      </c>
      <c r="H205" s="86">
        <f>VLOOKUP($A205,'Data shares'!$C:$FA,90)</f>
        <v>23577600</v>
      </c>
      <c r="I205" s="86">
        <f>VLOOKUP($A205,'Data shares'!$C:$FA,92)</f>
        <v>5759200</v>
      </c>
      <c r="J205" s="87">
        <f>VLOOKUP($A205,'Data shares'!$C:$FA,93)</f>
        <v>0.32319999999999999</v>
      </c>
      <c r="K205" s="86">
        <f>VLOOKUP($A205,'Data shares'!$C:$FA,94)</f>
        <v>16152800</v>
      </c>
      <c r="L205" s="86">
        <f>VLOOKUP($A205,'Data shares'!$C:$FA,96)</f>
        <v>835200</v>
      </c>
      <c r="M205" s="87">
        <f>VLOOKUP($A205,'Data shares'!$C:$FA,97)</f>
        <v>5.45E-2</v>
      </c>
      <c r="N205" s="86">
        <f>VLOOKUP($A205,'Data shares'!$C:$FA,78)</f>
        <v>63520800</v>
      </c>
      <c r="O205" s="87">
        <f>VLOOKUP($A205,'Data shares'!$C:$FA,81)</f>
        <v>1.1900000000000001E-2</v>
      </c>
    </row>
    <row r="206" spans="1:15" x14ac:dyDescent="0.25">
      <c r="A206" s="100" t="str">
        <f>'Data Vlaue (Cr)'!C201</f>
        <v>TORNTPHARM</v>
      </c>
      <c r="B206" s="82">
        <f>VLOOKUP(A206,'Data shares'!$C$2:$CV$216,98,0)</f>
        <v>3146250</v>
      </c>
      <c r="C206" s="82">
        <f>VLOOKUP(A206,'Data shares'!$C$2:$CX$216,100,0)</f>
        <v>85625</v>
      </c>
      <c r="D206" s="141">
        <f>VLOOKUP(A206,'Data shares'!$C$2:$CY$539,101,0)</f>
        <v>2.8000000000000001E-2</v>
      </c>
      <c r="E206" s="86">
        <f>VLOOKUP($A206,'Data shares'!$C:$FA,74)</f>
        <v>2630375</v>
      </c>
      <c r="F206" s="86">
        <f>VLOOKUP($A206,'Data shares'!$C:$FA,76)</f>
        <v>4250</v>
      </c>
      <c r="G206" s="87">
        <f>VLOOKUP(A206,'Data shares'!$C$2:$CA$216,77,0)</f>
        <v>1.6000000000000001E-3</v>
      </c>
      <c r="H206" s="86">
        <f>VLOOKUP($A206,'Data shares'!$C:$FA,90)</f>
        <v>330625</v>
      </c>
      <c r="I206" s="86">
        <f>VLOOKUP($A206,'Data shares'!$C:$FA,92)</f>
        <v>87375</v>
      </c>
      <c r="J206" s="87">
        <f>VLOOKUP($A206,'Data shares'!$C:$FA,93)</f>
        <v>0.35920000000000002</v>
      </c>
      <c r="K206" s="86">
        <f>VLOOKUP($A206,'Data shares'!$C:$FA,94)</f>
        <v>185250</v>
      </c>
      <c r="L206" s="86">
        <f>VLOOKUP($A206,'Data shares'!$C:$FA,96)</f>
        <v>-6000</v>
      </c>
      <c r="M206" s="87">
        <f>VLOOKUP($A206,'Data shares'!$C:$FA,97)</f>
        <v>-3.1399999999999997E-2</v>
      </c>
      <c r="N206" s="86">
        <f>VLOOKUP($A206,'Data shares'!$C:$FA,78)</f>
        <v>2624000</v>
      </c>
      <c r="O206" s="87">
        <f>VLOOKUP($A206,'Data shares'!$C:$FA,81)</f>
        <v>1.5E-3</v>
      </c>
    </row>
    <row r="207" spans="1:15" x14ac:dyDescent="0.25">
      <c r="A207" s="100" t="str">
        <f>'Data Vlaue (Cr)'!C202</f>
        <v>TRENT</v>
      </c>
      <c r="B207" s="82">
        <f>VLOOKUP(A207,'Data shares'!$C$2:$CV$216,98,0)</f>
        <v>11758400</v>
      </c>
      <c r="C207" s="82">
        <f>VLOOKUP(A207,'Data shares'!$C$2:$CX$216,100,0)</f>
        <v>244200</v>
      </c>
      <c r="D207" s="141">
        <f>VLOOKUP(A207,'Data shares'!$C$2:$CY$539,101,0)</f>
        <v>2.12E-2</v>
      </c>
      <c r="E207" s="86">
        <f>VLOOKUP($A207,'Data shares'!$C:$FA,74)</f>
        <v>7065950</v>
      </c>
      <c r="F207" s="86">
        <f>VLOOKUP($A207,'Data shares'!$C:$FA,76)</f>
        <v>24950</v>
      </c>
      <c r="G207" s="87">
        <f>VLOOKUP(A207,'Data shares'!$C$2:$CA$216,77,0)</f>
        <v>3.5000000000000001E-3</v>
      </c>
      <c r="H207" s="86">
        <f>VLOOKUP($A207,'Data shares'!$C:$FA,90)</f>
        <v>3345300</v>
      </c>
      <c r="I207" s="86">
        <f>VLOOKUP($A207,'Data shares'!$C:$FA,92)</f>
        <v>194300</v>
      </c>
      <c r="J207" s="87">
        <f>VLOOKUP($A207,'Data shares'!$C:$FA,93)</f>
        <v>6.1699999999999998E-2</v>
      </c>
      <c r="K207" s="86">
        <f>VLOOKUP($A207,'Data shares'!$C:$FA,94)</f>
        <v>1347150</v>
      </c>
      <c r="L207" s="86">
        <f>VLOOKUP($A207,'Data shares'!$C:$FA,96)</f>
        <v>24950</v>
      </c>
      <c r="M207" s="87">
        <f>VLOOKUP($A207,'Data shares'!$C:$FA,97)</f>
        <v>1.89E-2</v>
      </c>
      <c r="N207" s="86">
        <f>VLOOKUP($A207,'Data shares'!$C:$FA,78)</f>
        <v>6753700</v>
      </c>
      <c r="O207" s="87">
        <f>VLOOKUP($A207,'Data shares'!$C:$FA,81)</f>
        <v>6.9999999999999999E-4</v>
      </c>
    </row>
    <row r="208" spans="1:15" x14ac:dyDescent="0.25">
      <c r="A208" s="100" t="str">
        <f>'Data Vlaue (Cr)'!C203</f>
        <v>TVSMOTOR</v>
      </c>
      <c r="B208" s="82">
        <f>VLOOKUP(A208,'Data shares'!$C$2:$CV$216,98,0)</f>
        <v>11095525</v>
      </c>
      <c r="C208" s="82">
        <f>VLOOKUP(A208,'Data shares'!$C$2:$CX$216,100,0)</f>
        <v>434875</v>
      </c>
      <c r="D208" s="141">
        <f>VLOOKUP(A208,'Data shares'!$C$2:$CY$539,101,0)</f>
        <v>4.0800000000000003E-2</v>
      </c>
      <c r="E208" s="86">
        <f>VLOOKUP($A208,'Data shares'!$C:$FA,74)</f>
        <v>8740375</v>
      </c>
      <c r="F208" s="86">
        <f>VLOOKUP($A208,'Data shares'!$C:$FA,76)</f>
        <v>100450</v>
      </c>
      <c r="G208" s="87">
        <f>VLOOKUP(A208,'Data shares'!$C$2:$CA$216,77,0)</f>
        <v>1.1599999999999999E-2</v>
      </c>
      <c r="H208" s="86">
        <f>VLOOKUP($A208,'Data shares'!$C:$FA,90)</f>
        <v>1463700</v>
      </c>
      <c r="I208" s="86">
        <f>VLOOKUP($A208,'Data shares'!$C:$FA,92)</f>
        <v>265825</v>
      </c>
      <c r="J208" s="87">
        <f>VLOOKUP($A208,'Data shares'!$C:$FA,93)</f>
        <v>0.22189999999999999</v>
      </c>
      <c r="K208" s="86">
        <f>VLOOKUP($A208,'Data shares'!$C:$FA,94)</f>
        <v>891450</v>
      </c>
      <c r="L208" s="86">
        <f>VLOOKUP($A208,'Data shares'!$C:$FA,96)</f>
        <v>68600</v>
      </c>
      <c r="M208" s="87">
        <f>VLOOKUP($A208,'Data shares'!$C:$FA,97)</f>
        <v>8.3400000000000002E-2</v>
      </c>
      <c r="N208" s="86">
        <f>VLOOKUP($A208,'Data shares'!$C:$FA,78)</f>
        <v>8353800</v>
      </c>
      <c r="O208" s="87">
        <f>VLOOKUP($A208,'Data shares'!$C:$FA,81)</f>
        <v>1.12E-2</v>
      </c>
    </row>
    <row r="209" spans="1:15" x14ac:dyDescent="0.25">
      <c r="A209" s="100" t="str">
        <f>'Data Vlaue (Cr)'!C204</f>
        <v>ULTRACEMCO</v>
      </c>
      <c r="B209" s="82">
        <f>VLOOKUP(A209,'Data shares'!$C$2:$CV$216,98,0)</f>
        <v>4445350</v>
      </c>
      <c r="C209" s="82">
        <f>VLOOKUP(A209,'Data shares'!$C$2:$CX$216,100,0)</f>
        <v>-5200</v>
      </c>
      <c r="D209" s="141">
        <f>VLOOKUP(A209,'Data shares'!$C$2:$CY$539,101,0)</f>
        <v>-1.1999999999999999E-3</v>
      </c>
      <c r="E209" s="86">
        <f>VLOOKUP($A209,'Data shares'!$C:$FA,74)</f>
        <v>2815050</v>
      </c>
      <c r="F209" s="86">
        <f>VLOOKUP($A209,'Data shares'!$C:$FA,76)</f>
        <v>-68750</v>
      </c>
      <c r="G209" s="87">
        <f>VLOOKUP(A209,'Data shares'!$C$2:$CA$216,77,0)</f>
        <v>-2.3800000000000002E-2</v>
      </c>
      <c r="H209" s="86">
        <f>VLOOKUP($A209,'Data shares'!$C:$FA,90)</f>
        <v>1138500</v>
      </c>
      <c r="I209" s="86">
        <f>VLOOKUP($A209,'Data shares'!$C:$FA,92)</f>
        <v>37400</v>
      </c>
      <c r="J209" s="87">
        <f>VLOOKUP($A209,'Data shares'!$C:$FA,93)</f>
        <v>3.4000000000000002E-2</v>
      </c>
      <c r="K209" s="86">
        <f>VLOOKUP($A209,'Data shares'!$C:$FA,94)</f>
        <v>491800</v>
      </c>
      <c r="L209" s="86">
        <f>VLOOKUP($A209,'Data shares'!$C:$FA,96)</f>
        <v>26150</v>
      </c>
      <c r="M209" s="87">
        <f>VLOOKUP($A209,'Data shares'!$C:$FA,97)</f>
        <v>5.62E-2</v>
      </c>
      <c r="N209" s="86">
        <f>VLOOKUP($A209,'Data shares'!$C:$FA,78)</f>
        <v>2361150</v>
      </c>
      <c r="O209" s="87">
        <f>VLOOKUP($A209,'Data shares'!$C:$FA,81)</f>
        <v>-3.1199999999999999E-2</v>
      </c>
    </row>
    <row r="210" spans="1:15" x14ac:dyDescent="0.25">
      <c r="A210" s="100" t="str">
        <f>'Data Vlaue (Cr)'!C205</f>
        <v>UNIONBANK</v>
      </c>
      <c r="B210" s="82">
        <f>VLOOKUP(A210,'Data shares'!$C$2:$CV$216,98,0)</f>
        <v>235117950</v>
      </c>
      <c r="C210" s="82">
        <f>VLOOKUP(A210,'Data shares'!$C$2:$CX$216,100,0)</f>
        <v>12668775</v>
      </c>
      <c r="D210" s="141">
        <f>VLOOKUP(A210,'Data shares'!$C$2:$CY$539,101,0)</f>
        <v>5.7000000000000002E-2</v>
      </c>
      <c r="E210" s="86">
        <f>VLOOKUP($A210,'Data shares'!$C:$FA,74)</f>
        <v>141069000</v>
      </c>
      <c r="F210" s="86">
        <f>VLOOKUP($A210,'Data shares'!$C:$FA,76)</f>
        <v>4358625</v>
      </c>
      <c r="G210" s="87">
        <f>VLOOKUP(A210,'Data shares'!$C$2:$CA$216,77,0)</f>
        <v>3.1899999999999998E-2</v>
      </c>
      <c r="H210" s="86">
        <f>VLOOKUP($A210,'Data shares'!$C:$FA,90)</f>
        <v>62273025</v>
      </c>
      <c r="I210" s="86">
        <f>VLOOKUP($A210,'Data shares'!$C:$FA,92)</f>
        <v>7699500</v>
      </c>
      <c r="J210" s="87">
        <f>VLOOKUP($A210,'Data shares'!$C:$FA,93)</f>
        <v>0.1411</v>
      </c>
      <c r="K210" s="86">
        <f>VLOOKUP($A210,'Data shares'!$C:$FA,94)</f>
        <v>31775925</v>
      </c>
      <c r="L210" s="86">
        <f>VLOOKUP($A210,'Data shares'!$C:$FA,96)</f>
        <v>610650</v>
      </c>
      <c r="M210" s="87">
        <f>VLOOKUP($A210,'Data shares'!$C:$FA,97)</f>
        <v>1.9599999999999999E-2</v>
      </c>
      <c r="N210" s="86">
        <f>VLOOKUP($A210,'Data shares'!$C:$FA,78)</f>
        <v>135568725</v>
      </c>
      <c r="O210" s="87">
        <f>VLOOKUP($A210,'Data shares'!$C:$FA,81)</f>
        <v>2.81E-2</v>
      </c>
    </row>
    <row r="211" spans="1:15" x14ac:dyDescent="0.25">
      <c r="A211" s="100" t="str">
        <f>'Data Vlaue (Cr)'!C206</f>
        <v>UNITDSPR</v>
      </c>
      <c r="B211" s="82">
        <f>VLOOKUP(A211,'Data shares'!$C$2:$CV$216,98,0)</f>
        <v>16213600</v>
      </c>
      <c r="C211" s="82">
        <f>VLOOKUP(A211,'Data shares'!$C$2:$CX$216,100,0)</f>
        <v>555600</v>
      </c>
      <c r="D211" s="141">
        <f>VLOOKUP(A211,'Data shares'!$C$2:$CY$539,101,0)</f>
        <v>3.5499999999999997E-2</v>
      </c>
      <c r="E211" s="86">
        <f>VLOOKUP($A211,'Data shares'!$C:$FA,74)</f>
        <v>11421200</v>
      </c>
      <c r="F211" s="86">
        <f>VLOOKUP($A211,'Data shares'!$C:$FA,76)</f>
        <v>370400</v>
      </c>
      <c r="G211" s="87">
        <f>VLOOKUP(A211,'Data shares'!$C$2:$CA$216,77,0)</f>
        <v>3.3500000000000002E-2</v>
      </c>
      <c r="H211" s="86">
        <f>VLOOKUP($A211,'Data shares'!$C:$FA,90)</f>
        <v>2846800</v>
      </c>
      <c r="I211" s="86">
        <f>VLOOKUP($A211,'Data shares'!$C:$FA,92)</f>
        <v>163600</v>
      </c>
      <c r="J211" s="87">
        <f>VLOOKUP($A211,'Data shares'!$C:$FA,93)</f>
        <v>6.0999999999999999E-2</v>
      </c>
      <c r="K211" s="86">
        <f>VLOOKUP($A211,'Data shares'!$C:$FA,94)</f>
        <v>1945600</v>
      </c>
      <c r="L211" s="86">
        <f>VLOOKUP($A211,'Data shares'!$C:$FA,96)</f>
        <v>21600</v>
      </c>
      <c r="M211" s="87">
        <f>VLOOKUP($A211,'Data shares'!$C:$FA,97)</f>
        <v>1.12E-2</v>
      </c>
      <c r="N211" s="86">
        <f>VLOOKUP($A211,'Data shares'!$C:$FA,78)</f>
        <v>10821200</v>
      </c>
      <c r="O211" s="87">
        <f>VLOOKUP($A211,'Data shares'!$C:$FA,81)</f>
        <v>3.4700000000000002E-2</v>
      </c>
    </row>
    <row r="212" spans="1:15" x14ac:dyDescent="0.25">
      <c r="A212" s="100" t="str">
        <f>'Data Vlaue (Cr)'!C207</f>
        <v>UNOMINDA</v>
      </c>
      <c r="B212" s="82">
        <f>VLOOKUP(A212,'Data shares'!$C$2:$CV$216,98,0)</f>
        <v>5808000</v>
      </c>
      <c r="C212" s="82">
        <f>VLOOKUP(A212,'Data shares'!$C$2:$CX$216,100,0)</f>
        <v>255750</v>
      </c>
      <c r="D212" s="141">
        <f>VLOOKUP(A212,'Data shares'!$C$2:$CY$539,101,0)</f>
        <v>4.6100000000000002E-2</v>
      </c>
      <c r="E212" s="86">
        <f>VLOOKUP($A212,'Data shares'!$C:$FA,74)</f>
        <v>4323000</v>
      </c>
      <c r="F212" s="86">
        <f>VLOOKUP($A212,'Data shares'!$C:$FA,76)</f>
        <v>-33000</v>
      </c>
      <c r="G212" s="87">
        <f>VLOOKUP(A212,'Data shares'!$C$2:$CA$216,77,0)</f>
        <v>-7.6E-3</v>
      </c>
      <c r="H212" s="86">
        <f>VLOOKUP($A212,'Data shares'!$C:$FA,90)</f>
        <v>1019700</v>
      </c>
      <c r="I212" s="86">
        <f>VLOOKUP($A212,'Data shares'!$C:$FA,92)</f>
        <v>205700</v>
      </c>
      <c r="J212" s="87">
        <f>VLOOKUP($A212,'Data shares'!$C:$FA,93)</f>
        <v>0.25269999999999998</v>
      </c>
      <c r="K212" s="86">
        <f>VLOOKUP($A212,'Data shares'!$C:$FA,94)</f>
        <v>465300</v>
      </c>
      <c r="L212" s="86">
        <f>VLOOKUP($A212,'Data shares'!$C:$FA,96)</f>
        <v>83050</v>
      </c>
      <c r="M212" s="87">
        <f>VLOOKUP($A212,'Data shares'!$C:$FA,97)</f>
        <v>0.21729999999999999</v>
      </c>
      <c r="N212" s="86">
        <f>VLOOKUP($A212,'Data shares'!$C:$FA,78)</f>
        <v>4296050</v>
      </c>
      <c r="O212" s="87">
        <f>VLOOKUP($A212,'Data shares'!$C:$FA,81)</f>
        <v>-7.6E-3</v>
      </c>
    </row>
    <row r="213" spans="1:15" x14ac:dyDescent="0.25">
      <c r="A213" s="100" t="str">
        <f>'Data Vlaue (Cr)'!C208</f>
        <v>UPL</v>
      </c>
      <c r="B213" s="82">
        <f>VLOOKUP(A213,'Data shares'!$C$2:$CV$216,98,0)</f>
        <v>36414270</v>
      </c>
      <c r="C213" s="82">
        <f>VLOOKUP(A213,'Data shares'!$C$2:$CX$216,100,0)</f>
        <v>425470</v>
      </c>
      <c r="D213" s="141">
        <f>VLOOKUP(A213,'Data shares'!$C$2:$CY$539,101,0)</f>
        <v>1.18E-2</v>
      </c>
      <c r="E213" s="86">
        <f>VLOOKUP($A213,'Data shares'!$C:$FA,74)</f>
        <v>28736840</v>
      </c>
      <c r="F213" s="86">
        <f>VLOOKUP($A213,'Data shares'!$C:$FA,76)</f>
        <v>-27100</v>
      </c>
      <c r="G213" s="87">
        <f>VLOOKUP(A213,'Data shares'!$C$2:$CA$216,77,0)</f>
        <v>-8.9999999999999998E-4</v>
      </c>
      <c r="H213" s="86">
        <f>VLOOKUP($A213,'Data shares'!$C:$FA,90)</f>
        <v>4422720</v>
      </c>
      <c r="I213" s="86">
        <f>VLOOKUP($A213,'Data shares'!$C:$FA,92)</f>
        <v>379400</v>
      </c>
      <c r="J213" s="87">
        <f>VLOOKUP($A213,'Data shares'!$C:$FA,93)</f>
        <v>9.3799999999999994E-2</v>
      </c>
      <c r="K213" s="86">
        <f>VLOOKUP($A213,'Data shares'!$C:$FA,94)</f>
        <v>3254710</v>
      </c>
      <c r="L213" s="86">
        <f>VLOOKUP($A213,'Data shares'!$C:$FA,96)</f>
        <v>73170</v>
      </c>
      <c r="M213" s="87">
        <f>VLOOKUP($A213,'Data shares'!$C:$FA,97)</f>
        <v>2.3E-2</v>
      </c>
      <c r="N213" s="86">
        <f>VLOOKUP($A213,'Data shares'!$C:$FA,78)</f>
        <v>28425190</v>
      </c>
      <c r="O213" s="87">
        <f>VLOOKUP($A213,'Data shares'!$C:$FA,81)</f>
        <v>-1.5E-3</v>
      </c>
    </row>
    <row r="214" spans="1:15" x14ac:dyDescent="0.25">
      <c r="A214" s="100" t="str">
        <f>'Data Vlaue (Cr)'!C209</f>
        <v>VBL</v>
      </c>
      <c r="B214" s="82">
        <f>VLOOKUP(A214,'Data shares'!$C$2:$CV$216,98,0)</f>
        <v>66073725</v>
      </c>
      <c r="C214" s="82">
        <f>VLOOKUP(A214,'Data shares'!$C$2:$CX$216,100,0)</f>
        <v>913275</v>
      </c>
      <c r="D214" s="141">
        <f>VLOOKUP(A214,'Data shares'!$C$2:$CY$539,101,0)</f>
        <v>1.4E-2</v>
      </c>
      <c r="E214" s="86">
        <f>VLOOKUP($A214,'Data shares'!$C:$FA,74)</f>
        <v>48680100</v>
      </c>
      <c r="F214" s="86">
        <f>VLOOKUP($A214,'Data shares'!$C:$FA,76)</f>
        <v>187650</v>
      </c>
      <c r="G214" s="87">
        <f>VLOOKUP(A214,'Data shares'!$C$2:$CA$216,77,0)</f>
        <v>3.8999999999999998E-3</v>
      </c>
      <c r="H214" s="86">
        <f>VLOOKUP($A214,'Data shares'!$C:$FA,90)</f>
        <v>11112750</v>
      </c>
      <c r="I214" s="86">
        <f>VLOOKUP($A214,'Data shares'!$C:$FA,92)</f>
        <v>274500</v>
      </c>
      <c r="J214" s="87">
        <f>VLOOKUP($A214,'Data shares'!$C:$FA,93)</f>
        <v>2.53E-2</v>
      </c>
      <c r="K214" s="86">
        <f>VLOOKUP($A214,'Data shares'!$C:$FA,94)</f>
        <v>6280875</v>
      </c>
      <c r="L214" s="86">
        <f>VLOOKUP($A214,'Data shares'!$C:$FA,96)</f>
        <v>451125</v>
      </c>
      <c r="M214" s="87">
        <f>VLOOKUP($A214,'Data shares'!$C:$FA,97)</f>
        <v>7.7399999999999997E-2</v>
      </c>
      <c r="N214" s="86">
        <f>VLOOKUP($A214,'Data shares'!$C:$FA,78)</f>
        <v>47566125</v>
      </c>
      <c r="O214" s="87">
        <f>VLOOKUP($A214,'Data shares'!$C:$FA,81)</f>
        <v>3.3E-3</v>
      </c>
    </row>
    <row r="215" spans="1:15" x14ac:dyDescent="0.25">
      <c r="A215" s="100" t="str">
        <f>'Data Vlaue (Cr)'!C210</f>
        <v>VEDL</v>
      </c>
      <c r="B215" s="82">
        <f>VLOOKUP(A215,'Data shares'!$C$2:$CV$216,98,0)</f>
        <v>59457300</v>
      </c>
      <c r="C215" s="82">
        <f>VLOOKUP(A215,'Data shares'!$C$2:$CX$216,100,0)</f>
        <v>21953500</v>
      </c>
      <c r="D215" s="141">
        <f>VLOOKUP(A215,'Data shares'!$C$2:$CY$539,101,0)</f>
        <v>0.58540000000000003</v>
      </c>
      <c r="E215" s="86">
        <f>VLOOKUP($A215,'Data shares'!$C:$FA,74)</f>
        <v>21927050</v>
      </c>
      <c r="F215" s="86">
        <f>VLOOKUP($A215,'Data shares'!$C:$FA,76)</f>
        <v>7715350</v>
      </c>
      <c r="G215" s="87">
        <f>VLOOKUP(A215,'Data shares'!$C$2:$CA$216,77,0)</f>
        <v>0.54290000000000005</v>
      </c>
      <c r="H215" s="86">
        <f>VLOOKUP($A215,'Data shares'!$C:$FA,90)</f>
        <v>24973400</v>
      </c>
      <c r="I215" s="86">
        <f>VLOOKUP($A215,'Data shares'!$C:$FA,92)</f>
        <v>8691700</v>
      </c>
      <c r="J215" s="87">
        <f>VLOOKUP($A215,'Data shares'!$C:$FA,93)</f>
        <v>0.53380000000000005</v>
      </c>
      <c r="K215" s="86">
        <f>VLOOKUP($A215,'Data shares'!$C:$FA,94)</f>
        <v>12556850</v>
      </c>
      <c r="L215" s="86">
        <f>VLOOKUP($A215,'Data shares'!$C:$FA,96)</f>
        <v>5546450</v>
      </c>
      <c r="M215" s="87">
        <f>VLOOKUP($A215,'Data shares'!$C:$FA,97)</f>
        <v>0.79120000000000001</v>
      </c>
      <c r="N215" s="86">
        <f>VLOOKUP($A215,'Data shares'!$C:$FA,78)</f>
        <v>20961050</v>
      </c>
      <c r="O215" s="87">
        <f>VLOOKUP($A215,'Data shares'!$C:$FA,81)</f>
        <v>0.51390000000000002</v>
      </c>
    </row>
    <row r="216" spans="1:15" s="89" customFormat="1" ht="16.5" customHeight="1" x14ac:dyDescent="0.2">
      <c r="A216" s="100" t="str">
        <f>'Data Vlaue (Cr)'!C211</f>
        <v>VMM</v>
      </c>
      <c r="B216" s="82">
        <f>VLOOKUP(A216,'Data shares'!$C$2:$CV$216,98,0)</f>
        <v>32756900</v>
      </c>
      <c r="C216" s="82">
        <f>VLOOKUP(A216,'Data shares'!$C$2:$CX$216,100,0)</f>
        <v>1615050</v>
      </c>
      <c r="D216" s="141">
        <f>VLOOKUP(A216,'Data shares'!$C$2:$CY$539,101,0)</f>
        <v>5.1900000000000002E-2</v>
      </c>
      <c r="E216" s="86">
        <f>VLOOKUP($A216,'Data shares'!$C:$FA,74)</f>
        <v>28163950</v>
      </c>
      <c r="F216" s="86">
        <f>VLOOKUP($A216,'Data shares'!$C:$FA,76)</f>
        <v>693550</v>
      </c>
      <c r="G216" s="87">
        <f>VLOOKUP(A216,'Data shares'!$C$2:$CA$216,77,0)</f>
        <v>2.52E-2</v>
      </c>
      <c r="H216" s="86">
        <f>VLOOKUP($A216,'Data shares'!$C:$FA,90)</f>
        <v>3099150</v>
      </c>
      <c r="I216" s="86">
        <f>VLOOKUP($A216,'Data shares'!$C:$FA,92)</f>
        <v>761450</v>
      </c>
      <c r="J216" s="87">
        <f>VLOOKUP($A216,'Data shares'!$C:$FA,93)</f>
        <v>0.32569999999999999</v>
      </c>
      <c r="K216" s="86">
        <f>VLOOKUP($A216,'Data shares'!$C:$FA,94)</f>
        <v>1493800</v>
      </c>
      <c r="L216" s="86">
        <f>VLOOKUP($A216,'Data shares'!$C:$FA,96)</f>
        <v>160050</v>
      </c>
      <c r="M216" s="87">
        <f>VLOOKUP($A216,'Data shares'!$C:$FA,97)</f>
        <v>0.12</v>
      </c>
      <c r="N216" s="86">
        <f>VLOOKUP($A216,'Data shares'!$C:$FA,78)</f>
        <v>27732300</v>
      </c>
      <c r="O216" s="87">
        <f>VLOOKUP($A216,'Data shares'!$C:$FA,81)</f>
        <v>2.3400000000000001E-2</v>
      </c>
    </row>
    <row r="217" spans="1:15" s="89" customFormat="1" ht="16.5" customHeight="1" x14ac:dyDescent="0.2">
      <c r="A217" s="100" t="str">
        <f>'Data Vlaue (Cr)'!C212</f>
        <v>VOLTAS</v>
      </c>
      <c r="B217" s="82">
        <f>VLOOKUP(A217,'Data shares'!$C$2:$CV$216,98,0)</f>
        <v>14211750</v>
      </c>
      <c r="C217" s="82">
        <f>VLOOKUP(A217,'Data shares'!$C$2:$CX$216,100,0)</f>
        <v>84375</v>
      </c>
      <c r="D217" s="141">
        <f>VLOOKUP(A217,'Data shares'!$C$2:$CY$539,101,0)</f>
        <v>6.0000000000000001E-3</v>
      </c>
      <c r="E217" s="86">
        <f>VLOOKUP($A217,'Data shares'!$C:$FA,74)</f>
        <v>10036500</v>
      </c>
      <c r="F217" s="86">
        <f>VLOOKUP($A217,'Data shares'!$C:$FA,76)</f>
        <v>-78375</v>
      </c>
      <c r="G217" s="87">
        <f>VLOOKUP(A217,'Data shares'!$C$2:$CA$216,77,0)</f>
        <v>-7.7000000000000002E-3</v>
      </c>
      <c r="H217" s="86">
        <f>VLOOKUP($A217,'Data shares'!$C:$FA,90)</f>
        <v>2436750</v>
      </c>
      <c r="I217" s="86">
        <f>VLOOKUP($A217,'Data shares'!$C:$FA,92)</f>
        <v>111750</v>
      </c>
      <c r="J217" s="87">
        <f>VLOOKUP($A217,'Data shares'!$C:$FA,93)</f>
        <v>4.8099999999999997E-2</v>
      </c>
      <c r="K217" s="86">
        <f>VLOOKUP($A217,'Data shares'!$C:$FA,94)</f>
        <v>1738500</v>
      </c>
      <c r="L217" s="86">
        <f>VLOOKUP($A217,'Data shares'!$C:$FA,96)</f>
        <v>51000</v>
      </c>
      <c r="M217" s="87">
        <f>VLOOKUP($A217,'Data shares'!$C:$FA,97)</f>
        <v>3.0200000000000001E-2</v>
      </c>
      <c r="N217" s="86">
        <f>VLOOKUP($A217,'Data shares'!$C:$FA,78)</f>
        <v>9784125</v>
      </c>
      <c r="O217" s="87">
        <f>VLOOKUP($A217,'Data shares'!$C:$FA,81)</f>
        <v>-8.6999999999999994E-3</v>
      </c>
    </row>
    <row r="218" spans="1:15" x14ac:dyDescent="0.25">
      <c r="A218" s="100" t="str">
        <f>'Data Vlaue (Cr)'!C213</f>
        <v>WAAREEENER</v>
      </c>
      <c r="B218" s="82">
        <f>VLOOKUP(A218,'Data shares'!$C$2:$CV$216,98,0)</f>
        <v>12562025</v>
      </c>
      <c r="C218" s="82">
        <f>VLOOKUP(A218,'Data shares'!$C$2:$CX$216,100,0)</f>
        <v>664650</v>
      </c>
      <c r="D218" s="141">
        <f>VLOOKUP(A218,'Data shares'!$C$2:$CY$539,101,0)</f>
        <v>5.5899999999999998E-2</v>
      </c>
      <c r="E218" s="86">
        <f>VLOOKUP($A218,'Data shares'!$C:$FA,74)</f>
        <v>5821900</v>
      </c>
      <c r="F218" s="86">
        <f>VLOOKUP($A218,'Data shares'!$C:$FA,76)</f>
        <v>-18025</v>
      </c>
      <c r="G218" s="87">
        <f>VLOOKUP(A218,'Data shares'!$C$2:$CA$216,77,0)</f>
        <v>-3.0999999999999999E-3</v>
      </c>
      <c r="H218" s="86">
        <f>VLOOKUP($A218,'Data shares'!$C:$FA,90)</f>
        <v>4497150</v>
      </c>
      <c r="I218" s="86">
        <f>VLOOKUP($A218,'Data shares'!$C:$FA,92)</f>
        <v>463400</v>
      </c>
      <c r="J218" s="87">
        <f>VLOOKUP($A218,'Data shares'!$C:$FA,93)</f>
        <v>0.1149</v>
      </c>
      <c r="K218" s="86">
        <f>VLOOKUP($A218,'Data shares'!$C:$FA,94)</f>
        <v>2242975</v>
      </c>
      <c r="L218" s="86">
        <f>VLOOKUP($A218,'Data shares'!$C:$FA,96)</f>
        <v>219275</v>
      </c>
      <c r="M218" s="87">
        <f>VLOOKUP($A218,'Data shares'!$C:$FA,97)</f>
        <v>0.1084</v>
      </c>
      <c r="N218" s="86">
        <f>VLOOKUP($A218,'Data shares'!$C:$FA,78)</f>
        <v>5653900</v>
      </c>
      <c r="O218" s="87">
        <f>VLOOKUP($A218,'Data shares'!$C:$FA,81)</f>
        <v>-5.1000000000000004E-3</v>
      </c>
    </row>
    <row r="219" spans="1:15" x14ac:dyDescent="0.25">
      <c r="A219" s="100" t="str">
        <f>'Data Vlaue (Cr)'!C214</f>
        <v>WIPRO</v>
      </c>
      <c r="B219" s="82">
        <f>VLOOKUP(A219,'Data shares'!$C$2:$CV$216,98,0)</f>
        <v>494934000</v>
      </c>
      <c r="C219" s="82">
        <f>VLOOKUP(A219,'Data shares'!$C$2:$CX$216,100,0)</f>
        <v>15684000</v>
      </c>
      <c r="D219" s="141">
        <f>VLOOKUP(A219,'Data shares'!$C$2:$CY$539,101,0)</f>
        <v>3.27E-2</v>
      </c>
      <c r="E219" s="86">
        <f>VLOOKUP($A219,'Data shares'!$C:$FA,74)</f>
        <v>298965000</v>
      </c>
      <c r="F219" s="86">
        <f>VLOOKUP($A219,'Data shares'!$C:$FA,76)</f>
        <v>6318000</v>
      </c>
      <c r="G219" s="87">
        <f>VLOOKUP(A219,'Data shares'!$C$2:$CA$216,77,0)</f>
        <v>2.1600000000000001E-2</v>
      </c>
      <c r="H219" s="86">
        <f>VLOOKUP($A219,'Data shares'!$C:$FA,90)</f>
        <v>127791000</v>
      </c>
      <c r="I219" s="86">
        <f>VLOOKUP($A219,'Data shares'!$C:$FA,92)</f>
        <v>7473000</v>
      </c>
      <c r="J219" s="87">
        <f>VLOOKUP($A219,'Data shares'!$C:$FA,93)</f>
        <v>6.2100000000000002E-2</v>
      </c>
      <c r="K219" s="86">
        <f>VLOOKUP($A219,'Data shares'!$C:$FA,94)</f>
        <v>68178000</v>
      </c>
      <c r="L219" s="86">
        <f>VLOOKUP($A219,'Data shares'!$C:$FA,96)</f>
        <v>1893000</v>
      </c>
      <c r="M219" s="87">
        <f>VLOOKUP($A219,'Data shares'!$C:$FA,97)</f>
        <v>2.86E-2</v>
      </c>
      <c r="N219" s="86">
        <f>VLOOKUP($A219,'Data shares'!$C:$FA,78)</f>
        <v>270462000</v>
      </c>
      <c r="O219" s="87">
        <f>VLOOKUP($A219,'Data shares'!$C:$FA,81)</f>
        <v>1.5299999999999999E-2</v>
      </c>
    </row>
    <row r="220" spans="1:15" x14ac:dyDescent="0.25">
      <c r="A220" s="100" t="str">
        <f>'Data Vlaue (Cr)'!C215</f>
        <v>YESBANK</v>
      </c>
      <c r="B220" s="82">
        <f>VLOOKUP(A220,'Data shares'!$C$2:$CV$216,98,0)</f>
        <v>1761752800</v>
      </c>
      <c r="C220" s="82">
        <f>VLOOKUP(A220,'Data shares'!$C$2:$CX$216,100,0)</f>
        <v>9889800</v>
      </c>
      <c r="D220" s="141">
        <f>VLOOKUP(A220,'Data shares'!$C$2:$CY$539,101,0)</f>
        <v>5.5999999999999999E-3</v>
      </c>
      <c r="E220" s="86">
        <f>VLOOKUP($A220,'Data shares'!$C:$FA,74)</f>
        <v>1229134200</v>
      </c>
      <c r="F220" s="86">
        <f>VLOOKUP($A220,'Data shares'!$C:$FA,76)</f>
        <v>1990400</v>
      </c>
      <c r="G220" s="87">
        <f>VLOOKUP(A220,'Data shares'!$C$2:$CA$216,77,0)</f>
        <v>1.6000000000000001E-3</v>
      </c>
      <c r="H220" s="86">
        <f>VLOOKUP($A220,'Data shares'!$C:$FA,90)</f>
        <v>357836600</v>
      </c>
      <c r="I220" s="86">
        <f>VLOOKUP($A220,'Data shares'!$C:$FA,92)</f>
        <v>1275100</v>
      </c>
      <c r="J220" s="87">
        <f>VLOOKUP($A220,'Data shares'!$C:$FA,93)</f>
        <v>3.5999999999999999E-3</v>
      </c>
      <c r="K220" s="86">
        <f>VLOOKUP($A220,'Data shares'!$C:$FA,94)</f>
        <v>174782000</v>
      </c>
      <c r="L220" s="86">
        <f>VLOOKUP($A220,'Data shares'!$C:$FA,96)</f>
        <v>6624300</v>
      </c>
      <c r="M220" s="87">
        <f>VLOOKUP($A220,'Data shares'!$C:$FA,97)</f>
        <v>3.9399999999999998E-2</v>
      </c>
      <c r="N220" s="86">
        <f>VLOOKUP($A220,'Data shares'!$C:$FA,78)</f>
        <v>1146346000</v>
      </c>
      <c r="O220" s="87">
        <f>VLOOKUP($A220,'Data shares'!$C:$FA,81)</f>
        <v>-7.4000000000000003E-3</v>
      </c>
    </row>
    <row r="221" spans="1:15" x14ac:dyDescent="0.25">
      <c r="A221" s="100" t="str">
        <f>'Data Vlaue (Cr)'!C216</f>
        <v>ZYDUSLIFE</v>
      </c>
      <c r="B221" s="82">
        <f>VLOOKUP(A221,'Data shares'!$C$2:$CV$216,98,0)</f>
        <v>14681700</v>
      </c>
      <c r="C221" s="82">
        <f>VLOOKUP(A221,'Data shares'!$C$2:$CX$216,100,0)</f>
        <v>331200</v>
      </c>
      <c r="D221" s="141">
        <f>VLOOKUP(A221,'Data shares'!$C$2:$CY$539,101,0)</f>
        <v>2.3099999999999999E-2</v>
      </c>
      <c r="E221" s="86">
        <f>VLOOKUP($A221,'Data shares'!$C:$FA,74)</f>
        <v>9638100</v>
      </c>
      <c r="F221" s="86">
        <f>VLOOKUP($A221,'Data shares'!$C:$FA,76)</f>
        <v>23400</v>
      </c>
      <c r="G221" s="87">
        <f>VLOOKUP(A221,'Data shares'!$C$2:$CA$216,77,0)</f>
        <v>2.3999999999999998E-3</v>
      </c>
      <c r="H221" s="86">
        <f>VLOOKUP($A221,'Data shares'!$C:$FA,90)</f>
        <v>2944800</v>
      </c>
      <c r="I221" s="86">
        <f>VLOOKUP($A221,'Data shares'!$C:$FA,92)</f>
        <v>280800</v>
      </c>
      <c r="J221" s="87">
        <f>VLOOKUP($A221,'Data shares'!$C:$FA,93)</f>
        <v>0.10539999999999999</v>
      </c>
      <c r="K221" s="86">
        <f>VLOOKUP($A221,'Data shares'!$C:$FA,94)</f>
        <v>2098800</v>
      </c>
      <c r="L221" s="86">
        <f>VLOOKUP($A221,'Data shares'!$C:$FA,96)</f>
        <v>27000</v>
      </c>
      <c r="M221" s="87">
        <f>VLOOKUP($A221,'Data shares'!$C:$FA,97)</f>
        <v>1.2999999999999999E-2</v>
      </c>
      <c r="N221" s="86">
        <f>VLOOKUP($A221,'Data shares'!$C:$FA,78)</f>
        <v>9375300</v>
      </c>
      <c r="O221" s="87">
        <f>VLOOKUP($A221,'Data shares'!$C:$FA,81)</f>
        <v>1E-3</v>
      </c>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82"/>
      <c r="C227" s="82"/>
      <c r="D227" s="141"/>
      <c r="E227" s="86"/>
      <c r="F227" s="86"/>
      <c r="G227" s="87"/>
      <c r="H227" s="86"/>
      <c r="I227" s="86"/>
      <c r="J227" s="87"/>
      <c r="K227" s="86"/>
      <c r="L227" s="86"/>
      <c r="M227" s="87"/>
      <c r="N227" s="86"/>
      <c r="O227" s="87"/>
    </row>
    <row r="228" spans="1:15" x14ac:dyDescent="0.25">
      <c r="A228" s="100"/>
      <c r="B228" s="82"/>
      <c r="C228" s="82"/>
      <c r="D228" s="141"/>
      <c r="E228" s="86"/>
      <c r="F228" s="86"/>
      <c r="G228" s="87"/>
      <c r="H228" s="86"/>
      <c r="I228" s="86"/>
      <c r="J228" s="87"/>
      <c r="K228" s="86"/>
      <c r="L228" s="86"/>
      <c r="M228" s="87"/>
      <c r="N228" s="86"/>
      <c r="O228" s="87"/>
    </row>
    <row r="229" spans="1:15" x14ac:dyDescent="0.25">
      <c r="A229" s="100"/>
      <c r="B229" s="82"/>
      <c r="C229" s="82"/>
      <c r="D229" s="141"/>
      <c r="E229" s="86"/>
      <c r="F229" s="86"/>
      <c r="G229" s="87"/>
      <c r="H229" s="86"/>
      <c r="I229" s="86"/>
      <c r="J229" s="87"/>
      <c r="K229" s="86"/>
      <c r="L229" s="86"/>
      <c r="M229" s="87"/>
      <c r="N229" s="86"/>
      <c r="O229" s="87"/>
    </row>
    <row r="230" spans="1:15" x14ac:dyDescent="0.25">
      <c r="A230" s="100"/>
      <c r="B230" s="82"/>
      <c r="C230" s="82"/>
      <c r="D230" s="141"/>
      <c r="E230" s="86"/>
      <c r="F230" s="86"/>
      <c r="G230" s="87"/>
      <c r="H230" s="86"/>
      <c r="I230" s="86"/>
      <c r="J230" s="87"/>
      <c r="K230" s="86"/>
      <c r="L230" s="86"/>
      <c r="M230" s="87"/>
      <c r="N230" s="86"/>
      <c r="O230" s="87"/>
    </row>
    <row r="231" spans="1:15" x14ac:dyDescent="0.25">
      <c r="A231" s="100"/>
      <c r="B231" s="82"/>
      <c r="C231" s="82"/>
      <c r="D231" s="141"/>
      <c r="E231" s="86"/>
      <c r="F231" s="86"/>
      <c r="G231" s="87"/>
      <c r="H231" s="86"/>
      <c r="I231" s="86"/>
      <c r="J231" s="87"/>
      <c r="K231" s="86"/>
      <c r="L231" s="86"/>
      <c r="M231" s="87"/>
      <c r="N231" s="86"/>
      <c r="O231" s="87"/>
    </row>
    <row r="232" spans="1:15" x14ac:dyDescent="0.25">
      <c r="A232" s="100"/>
      <c r="B232" s="17"/>
      <c r="C232" s="17"/>
      <c r="D232" s="17"/>
      <c r="E232" s="17"/>
      <c r="F232" s="17"/>
      <c r="G232" s="17"/>
      <c r="H232" s="17"/>
      <c r="I232" s="17"/>
      <c r="J232" s="17"/>
      <c r="K232" s="17"/>
      <c r="L232" s="17"/>
      <c r="M232" s="17"/>
      <c r="N232" s="17"/>
      <c r="O232" s="17"/>
    </row>
    <row r="233" spans="1:15" x14ac:dyDescent="0.25">
      <c r="A233" s="98"/>
      <c r="B233" s="17"/>
      <c r="C233" s="17"/>
      <c r="D233" s="17"/>
      <c r="E233" s="17"/>
      <c r="F233" s="17"/>
      <c r="G233" s="17"/>
      <c r="H233" s="17"/>
      <c r="I233" s="17"/>
      <c r="J233" s="17"/>
      <c r="K233" s="17"/>
      <c r="L233" s="17"/>
      <c r="M233" s="17"/>
      <c r="N233" s="17"/>
      <c r="O233" s="17"/>
    </row>
    <row r="234" spans="1:15" x14ac:dyDescent="0.25">
      <c r="A234" s="118" t="s">
        <v>391</v>
      </c>
      <c r="B234" s="119">
        <f>SUM(B7:B227)</f>
        <v>25289794154</v>
      </c>
      <c r="C234" s="119">
        <f>SUM(C7:C227)</f>
        <v>1369017909</v>
      </c>
      <c r="D234" s="120">
        <f>C234*100/(B234-C234)</f>
        <v>5.7231332920734825</v>
      </c>
      <c r="E234" s="119">
        <f>SUM(E7:E227)</f>
        <v>17120174724</v>
      </c>
      <c r="F234" s="119">
        <f>SUM(F7:F227)</f>
        <v>364360121</v>
      </c>
      <c r="G234" s="120">
        <f>F234*100/(E234-F234)</f>
        <v>2.17452943729017</v>
      </c>
      <c r="H234" s="119">
        <f>SUM(H7:H227)</f>
        <v>5128678535</v>
      </c>
      <c r="I234" s="119">
        <f>SUM(I7:I227)</f>
        <v>705311364</v>
      </c>
      <c r="J234" s="120">
        <f>I234*100/(H234-I234)</f>
        <v>15.945123629439713</v>
      </c>
      <c r="K234" s="119">
        <f>SUM(K7:K227)</f>
        <v>3040940895</v>
      </c>
      <c r="L234" s="119">
        <f>SUM(L7:L227)</f>
        <v>299346424</v>
      </c>
      <c r="M234" s="120">
        <f>L234*100/(K234-L234)</f>
        <v>10.918698121345898</v>
      </c>
      <c r="N234" s="119">
        <f>SUM(N7:N227)</f>
        <v>16115741170</v>
      </c>
      <c r="O234" s="120">
        <f>(N234-FII!V3)/N234*100</f>
        <v>1.6731334361583072</v>
      </c>
    </row>
    <row r="235" spans="1:15" x14ac:dyDescent="0.25">
      <c r="A235" s="118" t="s">
        <v>409</v>
      </c>
      <c r="B235" s="121">
        <f>B234/10000000</f>
        <v>2528.9794154000001</v>
      </c>
      <c r="C235" s="121">
        <f>C234/10000000</f>
        <v>136.90179090000001</v>
      </c>
      <c r="D235" s="120">
        <f>D234</f>
        <v>5.7231332920734825</v>
      </c>
      <c r="E235" s="121">
        <f>E234/10000000</f>
        <v>1712.0174724000001</v>
      </c>
      <c r="F235" s="121">
        <f>F234/10000000</f>
        <v>36.436012099999999</v>
      </c>
      <c r="G235" s="120">
        <f>G234</f>
        <v>2.17452943729017</v>
      </c>
      <c r="H235" s="121">
        <f>H234/10000000</f>
        <v>512.86785350000002</v>
      </c>
      <c r="I235" s="121">
        <f>I234/10000000</f>
        <v>70.531136399999994</v>
      </c>
      <c r="J235" s="120">
        <f>J234</f>
        <v>15.945123629439713</v>
      </c>
      <c r="K235" s="121">
        <f>K234/10000000</f>
        <v>304.0940895</v>
      </c>
      <c r="L235" s="121">
        <f>L234/10000000</f>
        <v>29.934642400000001</v>
      </c>
      <c r="M235" s="120">
        <f>M234</f>
        <v>10.918698121345898</v>
      </c>
      <c r="N235" s="121">
        <f>N234/10000000</f>
        <v>1611.5741169999999</v>
      </c>
      <c r="O235" s="120">
        <f>O234</f>
        <v>1.6731334361583072</v>
      </c>
    </row>
    <row r="243" spans="1:4" x14ac:dyDescent="0.25">
      <c r="A243" s="274" t="s">
        <v>410</v>
      </c>
      <c r="B243" s="274"/>
      <c r="C243" s="274"/>
      <c r="D243" s="274"/>
    </row>
    <row r="244" spans="1:4" x14ac:dyDescent="0.25">
      <c r="A244" s="35" t="s">
        <v>401</v>
      </c>
      <c r="B244" s="35" t="s">
        <v>402</v>
      </c>
      <c r="C244" s="35" t="s">
        <v>369</v>
      </c>
      <c r="D244" s="35" t="s">
        <v>407</v>
      </c>
    </row>
    <row r="245" spans="1:4" x14ac:dyDescent="0.25">
      <c r="A245" s="36" t="s">
        <v>403</v>
      </c>
      <c r="B245" s="37">
        <f>E235</f>
        <v>1712.0174724000001</v>
      </c>
      <c r="C245" s="37">
        <f>F235</f>
        <v>36.436012099999999</v>
      </c>
      <c r="D245" s="39">
        <f>C245/B245</f>
        <v>2.1282500142315718E-2</v>
      </c>
    </row>
    <row r="246" spans="1:4" x14ac:dyDescent="0.25">
      <c r="A246" s="36" t="s">
        <v>404</v>
      </c>
      <c r="B246" s="37">
        <f>H235</f>
        <v>512.86785350000002</v>
      </c>
      <c r="C246" s="37">
        <f>I235</f>
        <v>70.531136399999994</v>
      </c>
      <c r="D246" s="39">
        <f>C246/B246</f>
        <v>0.13752302063517807</v>
      </c>
    </row>
    <row r="247" spans="1:4" x14ac:dyDescent="0.25">
      <c r="A247" s="36" t="s">
        <v>405</v>
      </c>
      <c r="B247" s="37">
        <f>K235</f>
        <v>304.0940895</v>
      </c>
      <c r="C247" s="37">
        <f>L235</f>
        <v>29.934642400000001</v>
      </c>
      <c r="D247" s="39">
        <f>C247/B247</f>
        <v>9.8438751141856712E-2</v>
      </c>
    </row>
    <row r="248" spans="1:4" x14ac:dyDescent="0.25">
      <c r="A248" s="36" t="s">
        <v>406</v>
      </c>
      <c r="B248" s="40">
        <f>SUM(B245:B247)</f>
        <v>2528.9794154000001</v>
      </c>
      <c r="C248" s="40">
        <f>SUM(C245:C247)</f>
        <v>136.90179089999998</v>
      </c>
      <c r="D248" s="41">
        <f>C248/B248</f>
        <v>5.4133216769716844E-2</v>
      </c>
    </row>
  </sheetData>
  <mergeCells count="9">
    <mergeCell ref="A243:D243"/>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workbookViewId="0">
      <pane ySplit="6" topLeftCell="A217" activePane="bottomLeft" state="frozen"/>
      <selection pane="bottomLeft" activeCell="A222" sqref="A222:O227"/>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0" t="s">
        <v>334</v>
      </c>
      <c r="B3" s="281"/>
      <c r="C3" s="281"/>
      <c r="D3" s="282"/>
      <c r="E3" s="283"/>
      <c r="F3" s="283"/>
      <c r="G3" s="283"/>
      <c r="H3" s="283"/>
      <c r="I3" s="283"/>
      <c r="J3" s="283"/>
      <c r="K3" s="283"/>
      <c r="L3" s="283"/>
      <c r="M3" s="283"/>
      <c r="N3" s="283"/>
      <c r="O3" s="284"/>
    </row>
    <row r="4" spans="1:15" x14ac:dyDescent="0.25">
      <c r="A4" s="285" t="s">
        <v>330</v>
      </c>
      <c r="B4" s="287" t="s">
        <v>309</v>
      </c>
      <c r="C4" s="288"/>
      <c r="D4" s="288"/>
      <c r="E4" s="288"/>
      <c r="F4" s="288"/>
      <c r="G4" s="288"/>
      <c r="H4" s="288"/>
      <c r="I4" s="288"/>
      <c r="J4" s="288"/>
      <c r="K4" s="288"/>
      <c r="L4" s="288"/>
      <c r="M4" s="288"/>
      <c r="N4" s="288"/>
      <c r="O4" s="289"/>
    </row>
    <row r="5" spans="1:15" x14ac:dyDescent="0.25">
      <c r="A5" s="286"/>
      <c r="B5" s="290" t="s">
        <v>314</v>
      </c>
      <c r="C5" s="290"/>
      <c r="D5" s="291"/>
      <c r="E5" s="290" t="s">
        <v>335</v>
      </c>
      <c r="F5" s="290"/>
      <c r="G5" s="291"/>
      <c r="H5" s="290" t="s">
        <v>336</v>
      </c>
      <c r="I5" s="290"/>
      <c r="J5" s="291"/>
      <c r="K5" s="290" t="s">
        <v>337</v>
      </c>
      <c r="L5" s="290"/>
      <c r="M5" s="291"/>
      <c r="N5" s="290" t="s">
        <v>338</v>
      </c>
      <c r="O5" s="291"/>
    </row>
    <row r="6" spans="1:15" x14ac:dyDescent="0.25">
      <c r="A6" s="3" t="s">
        <v>318</v>
      </c>
      <c r="B6" s="3">
        <f>'Sectorwise OI'!D6</f>
        <v>46146</v>
      </c>
      <c r="C6" s="76" t="s">
        <v>333</v>
      </c>
      <c r="D6" s="76" t="s">
        <v>328</v>
      </c>
      <c r="E6" s="3">
        <f>B6</f>
        <v>46146</v>
      </c>
      <c r="F6" s="76" t="s">
        <v>333</v>
      </c>
      <c r="G6" s="76" t="s">
        <v>328</v>
      </c>
      <c r="H6" s="3">
        <f>E6</f>
        <v>46146</v>
      </c>
      <c r="I6" s="76" t="s">
        <v>333</v>
      </c>
      <c r="J6" s="76" t="s">
        <v>328</v>
      </c>
      <c r="K6" s="3">
        <f>E6</f>
        <v>46146</v>
      </c>
      <c r="L6" s="76" t="s">
        <v>333</v>
      </c>
      <c r="M6" s="76" t="s">
        <v>328</v>
      </c>
      <c r="N6" s="76" t="s">
        <v>339</v>
      </c>
      <c r="O6" s="76" t="s">
        <v>328</v>
      </c>
    </row>
    <row r="7" spans="1:15" x14ac:dyDescent="0.25">
      <c r="A7" s="97" t="str">
        <f>'Data Vlaue (Cr)'!C2</f>
        <v>360ONE</v>
      </c>
      <c r="B7" s="142">
        <f>VLOOKUP(A7,'Data Vlaue (Cr)'!C2:CW216,99,0)</f>
        <v>626</v>
      </c>
      <c r="C7" s="90">
        <f>VLOOKUP(A7,'Data Vlaue (Cr)'!C2:CY216,101,0)</f>
        <v>29</v>
      </c>
      <c r="D7" s="139">
        <f>VLOOKUP(A7,'Data Vlaue (Cr)'!C2:CZ216,102,0)</f>
        <v>4.82E-2</v>
      </c>
      <c r="E7" s="91">
        <f>VLOOKUP($A7,'Data Vlaue (Cr)'!$C:$FB,75)</f>
        <v>447</v>
      </c>
      <c r="F7" s="91">
        <f>VLOOKUP($A7,'Data Vlaue (Cr)'!$C:$FB,77)</f>
        <v>13</v>
      </c>
      <c r="G7" s="92">
        <f>VLOOKUP(A7,'Data Vlaue (Cr)'!C2:CB216,78,0)</f>
        <v>3.0300000000000001E-2</v>
      </c>
      <c r="H7" s="91">
        <f>VLOOKUP($A7,'Data Vlaue (Cr)'!$C:$FB,91)</f>
        <v>120</v>
      </c>
      <c r="I7" s="91">
        <f>VLOOKUP($A7,'Data Vlaue (Cr)'!$C:$FB,93)</f>
        <v>10</v>
      </c>
      <c r="J7" s="92">
        <f>VLOOKUP($A7,'Data Vlaue (Cr)'!$C:$FB,94)</f>
        <v>9.1800000000000007E-2</v>
      </c>
      <c r="K7" s="91">
        <f>VLOOKUP($A7,'Data Vlaue (Cr)'!$C:$FB,95)</f>
        <v>60</v>
      </c>
      <c r="L7" s="91">
        <f>VLOOKUP($A7,'Data Vlaue (Cr)'!$C:$FB,97)</f>
        <v>6</v>
      </c>
      <c r="M7" s="92">
        <f>VLOOKUP($A7,'Data Vlaue (Cr)'!$C:$FB,98)</f>
        <v>0.10290000000000001</v>
      </c>
      <c r="N7" s="91">
        <f>VLOOKUP($A7,'Data Vlaue (Cr)'!$C:$FB,79)</f>
        <v>443</v>
      </c>
      <c r="O7" s="92">
        <f>VLOOKUP($A7,'Data Vlaue (Cr)'!$C:$FB,82)</f>
        <v>3.0599999999999999E-2</v>
      </c>
    </row>
    <row r="8" spans="1:15" x14ac:dyDescent="0.25">
      <c r="A8" s="97" t="str">
        <f>'Data Vlaue (Cr)'!C3</f>
        <v>ABB</v>
      </c>
      <c r="B8" s="142">
        <f>VLOOKUP(A8,'Data Vlaue (Cr)'!C3:CW217,99,0)</f>
        <v>2577</v>
      </c>
      <c r="C8" s="90">
        <f>VLOOKUP(A8,'Data Vlaue (Cr)'!C3:CY217,101,0)</f>
        <v>252</v>
      </c>
      <c r="D8" s="139">
        <f>VLOOKUP(A8,'Data Vlaue (Cr)'!C3:CZ217,102,0)</f>
        <v>0.10829999999999999</v>
      </c>
      <c r="E8" s="91">
        <f>VLOOKUP($A8,'Data Vlaue (Cr)'!$C:$FB,75)</f>
        <v>1546</v>
      </c>
      <c r="F8" s="91">
        <f>VLOOKUP($A8,'Data Vlaue (Cr)'!$C:$FB,77)</f>
        <v>-21</v>
      </c>
      <c r="G8" s="92">
        <f>VLOOKUP(A8,'Data Vlaue (Cr)'!C3:CB217,78,0)</f>
        <v>-1.32E-2</v>
      </c>
      <c r="H8" s="91">
        <f>VLOOKUP($A8,'Data Vlaue (Cr)'!$C:$FB,91)</f>
        <v>680</v>
      </c>
      <c r="I8" s="91">
        <f>VLOOKUP($A8,'Data Vlaue (Cr)'!$C:$FB,93)</f>
        <v>220</v>
      </c>
      <c r="J8" s="92">
        <f>VLOOKUP($A8,'Data Vlaue (Cr)'!$C:$FB,94)</f>
        <v>0.4788</v>
      </c>
      <c r="K8" s="91">
        <f>VLOOKUP($A8,'Data Vlaue (Cr)'!$C:$FB,95)</f>
        <v>351</v>
      </c>
      <c r="L8" s="91">
        <f>VLOOKUP($A8,'Data Vlaue (Cr)'!$C:$FB,97)</f>
        <v>52</v>
      </c>
      <c r="M8" s="92">
        <f>VLOOKUP($A8,'Data Vlaue (Cr)'!$C:$FB,98)</f>
        <v>0.1749</v>
      </c>
      <c r="N8" s="91">
        <f>VLOOKUP($A8,'Data Vlaue (Cr)'!$C:$FB,79)</f>
        <v>1517</v>
      </c>
      <c r="O8" s="92">
        <f>VLOOKUP($A8,'Data Vlaue (Cr)'!$C:$FB,82)</f>
        <v>-1.6799999999999999E-2</v>
      </c>
    </row>
    <row r="9" spans="1:15" x14ac:dyDescent="0.25">
      <c r="A9" s="97" t="str">
        <f>'Data Vlaue (Cr)'!C4</f>
        <v>ABCAPITAL</v>
      </c>
      <c r="B9" s="142">
        <f>VLOOKUP(A9,'Data Vlaue (Cr)'!C4:CW218,99,0)</f>
        <v>2489</v>
      </c>
      <c r="C9" s="90">
        <f>VLOOKUP(A9,'Data Vlaue (Cr)'!C4:CY218,101,0)</f>
        <v>467</v>
      </c>
      <c r="D9" s="139">
        <f>VLOOKUP(A9,'Data Vlaue (Cr)'!C4:CZ218,102,0)</f>
        <v>0.23089999999999999</v>
      </c>
      <c r="E9" s="91">
        <f>VLOOKUP($A9,'Data Vlaue (Cr)'!$C:$FB,75)</f>
        <v>1561</v>
      </c>
      <c r="F9" s="91">
        <f>VLOOKUP($A9,'Data Vlaue (Cr)'!$C:$FB,77)</f>
        <v>22</v>
      </c>
      <c r="G9" s="92">
        <f>VLOOKUP(A9,'Data Vlaue (Cr)'!C4:CB218,78,0)</f>
        <v>1.4200000000000001E-2</v>
      </c>
      <c r="H9" s="91">
        <f>VLOOKUP($A9,'Data Vlaue (Cr)'!$C:$FB,91)</f>
        <v>545</v>
      </c>
      <c r="I9" s="91">
        <f>VLOOKUP($A9,'Data Vlaue (Cr)'!$C:$FB,93)</f>
        <v>311</v>
      </c>
      <c r="J9" s="92">
        <f>VLOOKUP($A9,'Data Vlaue (Cr)'!$C:$FB,94)</f>
        <v>1.3240000000000001</v>
      </c>
      <c r="K9" s="91">
        <f>VLOOKUP($A9,'Data Vlaue (Cr)'!$C:$FB,95)</f>
        <v>383</v>
      </c>
      <c r="L9" s="91">
        <f>VLOOKUP($A9,'Data Vlaue (Cr)'!$C:$FB,97)</f>
        <v>134</v>
      </c>
      <c r="M9" s="92">
        <f>VLOOKUP($A9,'Data Vlaue (Cr)'!$C:$FB,98)</f>
        <v>0.54059999999999997</v>
      </c>
      <c r="N9" s="91">
        <f>VLOOKUP($A9,'Data Vlaue (Cr)'!$C:$FB,79)</f>
        <v>1531</v>
      </c>
      <c r="O9" s="92">
        <f>VLOOKUP($A9,'Data Vlaue (Cr)'!$C:$FB,82)</f>
        <v>1.1599999999999999E-2</v>
      </c>
    </row>
    <row r="10" spans="1:15" x14ac:dyDescent="0.25">
      <c r="A10" s="97" t="str">
        <f>'Data Vlaue (Cr)'!C5</f>
        <v>ADANIENSOL</v>
      </c>
      <c r="B10" s="142">
        <f>VLOOKUP(A10,'Data Vlaue (Cr)'!C5:CW219,99,0)</f>
        <v>4074</v>
      </c>
      <c r="C10" s="90">
        <f>VLOOKUP(A10,'Data Vlaue (Cr)'!C5:CY219,101,0)</f>
        <v>173</v>
      </c>
      <c r="D10" s="139">
        <f>VLOOKUP(A10,'Data Vlaue (Cr)'!C5:CZ219,102,0)</f>
        <v>4.4299999999999999E-2</v>
      </c>
      <c r="E10" s="91">
        <f>VLOOKUP($A10,'Data Vlaue (Cr)'!$C:$FB,75)</f>
        <v>2746</v>
      </c>
      <c r="F10" s="91">
        <f>VLOOKUP($A10,'Data Vlaue (Cr)'!$C:$FB,77)</f>
        <v>147</v>
      </c>
      <c r="G10" s="92">
        <f>VLOOKUP(A10,'Data Vlaue (Cr)'!C5:CB219,78,0)</f>
        <v>5.6500000000000002E-2</v>
      </c>
      <c r="H10" s="91">
        <f>VLOOKUP($A10,'Data Vlaue (Cr)'!$C:$FB,91)</f>
        <v>730</v>
      </c>
      <c r="I10" s="91">
        <f>VLOOKUP($A10,'Data Vlaue (Cr)'!$C:$FB,93)</f>
        <v>-60</v>
      </c>
      <c r="J10" s="92">
        <f>VLOOKUP($A10,'Data Vlaue (Cr)'!$C:$FB,94)</f>
        <v>-7.6399999999999996E-2</v>
      </c>
      <c r="K10" s="91">
        <f>VLOOKUP($A10,'Data Vlaue (Cr)'!$C:$FB,95)</f>
        <v>597</v>
      </c>
      <c r="L10" s="91">
        <f>VLOOKUP($A10,'Data Vlaue (Cr)'!$C:$FB,97)</f>
        <v>87</v>
      </c>
      <c r="M10" s="92">
        <f>VLOOKUP($A10,'Data Vlaue (Cr)'!$C:$FB,98)</f>
        <v>0.1694</v>
      </c>
      <c r="N10" s="91">
        <f>VLOOKUP($A10,'Data Vlaue (Cr)'!$C:$FB,79)</f>
        <v>2723</v>
      </c>
      <c r="O10" s="92">
        <f>VLOOKUP($A10,'Data Vlaue (Cr)'!$C:$FB,82)</f>
        <v>5.67E-2</v>
      </c>
    </row>
    <row r="11" spans="1:15" x14ac:dyDescent="0.25">
      <c r="A11" s="97" t="str">
        <f>'Data Vlaue (Cr)'!C6</f>
        <v>ADANIENT</v>
      </c>
      <c r="B11" s="142">
        <f>VLOOKUP(A11,'Data Vlaue (Cr)'!C6:CW220,99,0)</f>
        <v>8117</v>
      </c>
      <c r="C11" s="90">
        <f>VLOOKUP(A11,'Data Vlaue (Cr)'!C6:CY220,101,0)</f>
        <v>398</v>
      </c>
      <c r="D11" s="139">
        <f>VLOOKUP(A11,'Data Vlaue (Cr)'!C6:CZ220,102,0)</f>
        <v>5.1499999999999997E-2</v>
      </c>
      <c r="E11" s="91">
        <f>VLOOKUP($A11,'Data Vlaue (Cr)'!$C:$FB,75)</f>
        <v>4896</v>
      </c>
      <c r="F11" s="91">
        <f>VLOOKUP($A11,'Data Vlaue (Cr)'!$C:$FB,77)</f>
        <v>27</v>
      </c>
      <c r="G11" s="92">
        <f>VLOOKUP(A11,'Data Vlaue (Cr)'!C6:CB220,78,0)</f>
        <v>5.4999999999999997E-3</v>
      </c>
      <c r="H11" s="91">
        <f>VLOOKUP($A11,'Data Vlaue (Cr)'!$C:$FB,91)</f>
        <v>1827</v>
      </c>
      <c r="I11" s="91">
        <f>VLOOKUP($A11,'Data Vlaue (Cr)'!$C:$FB,93)</f>
        <v>199</v>
      </c>
      <c r="J11" s="92">
        <f>VLOOKUP($A11,'Data Vlaue (Cr)'!$C:$FB,94)</f>
        <v>0.1222</v>
      </c>
      <c r="K11" s="91">
        <f>VLOOKUP($A11,'Data Vlaue (Cr)'!$C:$FB,95)</f>
        <v>1393</v>
      </c>
      <c r="L11" s="91">
        <f>VLOOKUP($A11,'Data Vlaue (Cr)'!$C:$FB,97)</f>
        <v>172</v>
      </c>
      <c r="M11" s="92">
        <f>VLOOKUP($A11,'Data Vlaue (Cr)'!$C:$FB,98)</f>
        <v>0.1406</v>
      </c>
      <c r="N11" s="91">
        <f>VLOOKUP($A11,'Data Vlaue (Cr)'!$C:$FB,79)</f>
        <v>4791</v>
      </c>
      <c r="O11" s="92">
        <f>VLOOKUP($A11,'Data Vlaue (Cr)'!$C:$FB,82)</f>
        <v>4.3E-3</v>
      </c>
    </row>
    <row r="12" spans="1:15" x14ac:dyDescent="0.25">
      <c r="A12" s="97" t="str">
        <f>'Data Vlaue (Cr)'!C7</f>
        <v>ADANIGREEN</v>
      </c>
      <c r="B12" s="142">
        <f>VLOOKUP(A12,'Data Vlaue (Cr)'!C7:CW221,99,0)</f>
        <v>4205</v>
      </c>
      <c r="C12" s="90">
        <f>VLOOKUP(A12,'Data Vlaue (Cr)'!C7:CY221,101,0)</f>
        <v>317</v>
      </c>
      <c r="D12" s="139">
        <f>VLOOKUP(A12,'Data Vlaue (Cr)'!C7:CZ221,102,0)</f>
        <v>8.14E-2</v>
      </c>
      <c r="E12" s="91">
        <f>VLOOKUP($A12,'Data Vlaue (Cr)'!$C:$FB,75)</f>
        <v>2748</v>
      </c>
      <c r="F12" s="91">
        <f>VLOOKUP($A12,'Data Vlaue (Cr)'!$C:$FB,77)</f>
        <v>135</v>
      </c>
      <c r="G12" s="92">
        <f>VLOOKUP(A12,'Data Vlaue (Cr)'!C7:CB221,78,0)</f>
        <v>5.1499999999999997E-2</v>
      </c>
      <c r="H12" s="91">
        <f>VLOOKUP($A12,'Data Vlaue (Cr)'!$C:$FB,91)</f>
        <v>826</v>
      </c>
      <c r="I12" s="91">
        <f>VLOOKUP($A12,'Data Vlaue (Cr)'!$C:$FB,93)</f>
        <v>95</v>
      </c>
      <c r="J12" s="92">
        <f>VLOOKUP($A12,'Data Vlaue (Cr)'!$C:$FB,94)</f>
        <v>0.12959999999999999</v>
      </c>
      <c r="K12" s="91">
        <f>VLOOKUP($A12,'Data Vlaue (Cr)'!$C:$FB,95)</f>
        <v>631</v>
      </c>
      <c r="L12" s="91">
        <f>VLOOKUP($A12,'Data Vlaue (Cr)'!$C:$FB,97)</f>
        <v>87</v>
      </c>
      <c r="M12" s="92">
        <f>VLOOKUP($A12,'Data Vlaue (Cr)'!$C:$FB,98)</f>
        <v>0.16020000000000001</v>
      </c>
      <c r="N12" s="91">
        <f>VLOOKUP($A12,'Data Vlaue (Cr)'!$C:$FB,79)</f>
        <v>2713</v>
      </c>
      <c r="O12" s="92">
        <f>VLOOKUP($A12,'Data Vlaue (Cr)'!$C:$FB,82)</f>
        <v>0.05</v>
      </c>
    </row>
    <row r="13" spans="1:15" x14ac:dyDescent="0.25">
      <c r="A13" s="97" t="str">
        <f>'Data Vlaue (Cr)'!C8</f>
        <v>ADANIPORTS</v>
      </c>
      <c r="B13" s="142">
        <f>VLOOKUP(A13,'Data Vlaue (Cr)'!C8:CW222,99,0)</f>
        <v>6416</v>
      </c>
      <c r="C13" s="90">
        <f>VLOOKUP(A13,'Data Vlaue (Cr)'!C8:CY222,101,0)</f>
        <v>890</v>
      </c>
      <c r="D13" s="139">
        <f>VLOOKUP(A13,'Data Vlaue (Cr)'!C8:CZ222,102,0)</f>
        <v>0.16109999999999999</v>
      </c>
      <c r="E13" s="91">
        <f>VLOOKUP($A13,'Data Vlaue (Cr)'!$C:$FB,75)</f>
        <v>3884</v>
      </c>
      <c r="F13" s="91">
        <f>VLOOKUP($A13,'Data Vlaue (Cr)'!$C:$FB,77)</f>
        <v>252</v>
      </c>
      <c r="G13" s="92">
        <f>VLOOKUP(A13,'Data Vlaue (Cr)'!C8:CB222,78,0)</f>
        <v>6.9400000000000003E-2</v>
      </c>
      <c r="H13" s="91">
        <f>VLOOKUP($A13,'Data Vlaue (Cr)'!$C:$FB,91)</f>
        <v>1396</v>
      </c>
      <c r="I13" s="91">
        <f>VLOOKUP($A13,'Data Vlaue (Cr)'!$C:$FB,93)</f>
        <v>346</v>
      </c>
      <c r="J13" s="92">
        <f>VLOOKUP($A13,'Data Vlaue (Cr)'!$C:$FB,94)</f>
        <v>0.32940000000000003</v>
      </c>
      <c r="K13" s="91">
        <f>VLOOKUP($A13,'Data Vlaue (Cr)'!$C:$FB,95)</f>
        <v>1137</v>
      </c>
      <c r="L13" s="91">
        <f>VLOOKUP($A13,'Data Vlaue (Cr)'!$C:$FB,97)</f>
        <v>292</v>
      </c>
      <c r="M13" s="92">
        <f>VLOOKUP($A13,'Data Vlaue (Cr)'!$C:$FB,98)</f>
        <v>0.34639999999999999</v>
      </c>
      <c r="N13" s="91">
        <f>VLOOKUP($A13,'Data Vlaue (Cr)'!$C:$FB,79)</f>
        <v>3710</v>
      </c>
      <c r="O13" s="92">
        <f>VLOOKUP($A13,'Data Vlaue (Cr)'!$C:$FB,82)</f>
        <v>6.3799999999999996E-2</v>
      </c>
    </row>
    <row r="14" spans="1:15" x14ac:dyDescent="0.25">
      <c r="A14" s="97" t="str">
        <f>'Data Vlaue (Cr)'!C9</f>
        <v>ADANIPOWER</v>
      </c>
      <c r="B14" s="142">
        <f>VLOOKUP(A14,'Data Vlaue (Cr)'!C9:CW223,99,0)</f>
        <v>2911</v>
      </c>
      <c r="C14" s="90">
        <f>VLOOKUP(A14,'Data Vlaue (Cr)'!C9:CY223,101,0)</f>
        <v>14</v>
      </c>
      <c r="D14" s="139">
        <f>VLOOKUP(A14,'Data Vlaue (Cr)'!C9:CZ223,102,0)</f>
        <v>5.0000000000000001E-3</v>
      </c>
      <c r="E14" s="91">
        <f>VLOOKUP($A14,'Data Vlaue (Cr)'!$C:$FB,75)</f>
        <v>1749</v>
      </c>
      <c r="F14" s="91">
        <f>VLOOKUP($A14,'Data Vlaue (Cr)'!$C:$FB,77)</f>
        <v>29</v>
      </c>
      <c r="G14" s="92">
        <f>VLOOKUP(A14,'Data Vlaue (Cr)'!C9:CB223,78,0)</f>
        <v>1.6799999999999999E-2</v>
      </c>
      <c r="H14" s="91">
        <f>VLOOKUP($A14,'Data Vlaue (Cr)'!$C:$FB,91)</f>
        <v>699</v>
      </c>
      <c r="I14" s="91">
        <f>VLOOKUP($A14,'Data Vlaue (Cr)'!$C:$FB,93)</f>
        <v>-18</v>
      </c>
      <c r="J14" s="92">
        <f>VLOOKUP($A14,'Data Vlaue (Cr)'!$C:$FB,94)</f>
        <v>-2.5100000000000001E-2</v>
      </c>
      <c r="K14" s="91">
        <f>VLOOKUP($A14,'Data Vlaue (Cr)'!$C:$FB,95)</f>
        <v>463</v>
      </c>
      <c r="L14" s="91">
        <f>VLOOKUP($A14,'Data Vlaue (Cr)'!$C:$FB,97)</f>
        <v>3</v>
      </c>
      <c r="M14" s="92">
        <f>VLOOKUP($A14,'Data Vlaue (Cr)'!$C:$FB,98)</f>
        <v>7.6E-3</v>
      </c>
      <c r="N14" s="91">
        <f>VLOOKUP($A14,'Data Vlaue (Cr)'!$C:$FB,79)</f>
        <v>1689</v>
      </c>
      <c r="O14" s="92">
        <f>VLOOKUP($A14,'Data Vlaue (Cr)'!$C:$FB,82)</f>
        <v>9.7999999999999997E-3</v>
      </c>
    </row>
    <row r="15" spans="1:15" x14ac:dyDescent="0.25">
      <c r="A15" s="97" t="str">
        <f>'Data Vlaue (Cr)'!C10</f>
        <v>ALKEM</v>
      </c>
      <c r="B15" s="142">
        <f>VLOOKUP(A15,'Data Vlaue (Cr)'!C10:CW224,99,0)</f>
        <v>740</v>
      </c>
      <c r="C15" s="90">
        <f>VLOOKUP(A15,'Data Vlaue (Cr)'!C10:CY224,101,0)</f>
        <v>48</v>
      </c>
      <c r="D15" s="139">
        <f>VLOOKUP(A15,'Data Vlaue (Cr)'!C10:CZ224,102,0)</f>
        <v>6.9199999999999998E-2</v>
      </c>
      <c r="E15" s="91">
        <f>VLOOKUP($A15,'Data Vlaue (Cr)'!$C:$FB,75)</f>
        <v>566</v>
      </c>
      <c r="F15" s="91">
        <f>VLOOKUP($A15,'Data Vlaue (Cr)'!$C:$FB,77)</f>
        <v>4</v>
      </c>
      <c r="G15" s="92">
        <f>VLOOKUP(A15,'Data Vlaue (Cr)'!C10:CB224,78,0)</f>
        <v>7.7000000000000002E-3</v>
      </c>
      <c r="H15" s="91">
        <f>VLOOKUP($A15,'Data Vlaue (Cr)'!$C:$FB,91)</f>
        <v>105</v>
      </c>
      <c r="I15" s="91">
        <f>VLOOKUP($A15,'Data Vlaue (Cr)'!$C:$FB,93)</f>
        <v>35</v>
      </c>
      <c r="J15" s="92">
        <f>VLOOKUP($A15,'Data Vlaue (Cr)'!$C:$FB,94)</f>
        <v>0.50049999999999994</v>
      </c>
      <c r="K15" s="91">
        <f>VLOOKUP($A15,'Data Vlaue (Cr)'!$C:$FB,95)</f>
        <v>69</v>
      </c>
      <c r="L15" s="91">
        <f>VLOOKUP($A15,'Data Vlaue (Cr)'!$C:$FB,97)</f>
        <v>8</v>
      </c>
      <c r="M15" s="92">
        <f>VLOOKUP($A15,'Data Vlaue (Cr)'!$C:$FB,98)</f>
        <v>0.1406</v>
      </c>
      <c r="N15" s="91">
        <f>VLOOKUP($A15,'Data Vlaue (Cr)'!$C:$FB,79)</f>
        <v>562</v>
      </c>
      <c r="O15" s="92">
        <f>VLOOKUP($A15,'Data Vlaue (Cr)'!$C:$FB,82)</f>
        <v>4.3E-3</v>
      </c>
    </row>
    <row r="16" spans="1:15" x14ac:dyDescent="0.25">
      <c r="A16" s="97" t="str">
        <f>'Data Vlaue (Cr)'!C11</f>
        <v>AMBER</v>
      </c>
      <c r="B16" s="142">
        <f>VLOOKUP(A16,'Data Vlaue (Cr)'!C11:CW225,99,0)</f>
        <v>1483</v>
      </c>
      <c r="C16" s="90">
        <f>VLOOKUP(A16,'Data Vlaue (Cr)'!C11:CY225,101,0)</f>
        <v>69</v>
      </c>
      <c r="D16" s="139">
        <f>VLOOKUP(A16,'Data Vlaue (Cr)'!C11:CZ225,102,0)</f>
        <v>4.8399999999999999E-2</v>
      </c>
      <c r="E16" s="91">
        <f>VLOOKUP($A16,'Data Vlaue (Cr)'!$C:$FB,75)</f>
        <v>974</v>
      </c>
      <c r="F16" s="91">
        <f>VLOOKUP($A16,'Data Vlaue (Cr)'!$C:$FB,77)</f>
        <v>22</v>
      </c>
      <c r="G16" s="92">
        <f>VLOOKUP(A16,'Data Vlaue (Cr)'!C11:CB225,78,0)</f>
        <v>2.2700000000000001E-2</v>
      </c>
      <c r="H16" s="91">
        <f>VLOOKUP($A16,'Data Vlaue (Cr)'!$C:$FB,91)</f>
        <v>340</v>
      </c>
      <c r="I16" s="91">
        <f>VLOOKUP($A16,'Data Vlaue (Cr)'!$C:$FB,93)</f>
        <v>38</v>
      </c>
      <c r="J16" s="92">
        <f>VLOOKUP($A16,'Data Vlaue (Cr)'!$C:$FB,94)</f>
        <v>0.1241</v>
      </c>
      <c r="K16" s="91">
        <f>VLOOKUP($A16,'Data Vlaue (Cr)'!$C:$FB,95)</f>
        <v>169</v>
      </c>
      <c r="L16" s="91">
        <f>VLOOKUP($A16,'Data Vlaue (Cr)'!$C:$FB,97)</f>
        <v>9</v>
      </c>
      <c r="M16" s="92">
        <f>VLOOKUP($A16,'Data Vlaue (Cr)'!$C:$FB,98)</f>
        <v>5.8500000000000003E-2</v>
      </c>
      <c r="N16" s="91">
        <f>VLOOKUP($A16,'Data Vlaue (Cr)'!$C:$FB,79)</f>
        <v>959</v>
      </c>
      <c r="O16" s="92">
        <f>VLOOKUP($A16,'Data Vlaue (Cr)'!$C:$FB,82)</f>
        <v>2.29E-2</v>
      </c>
    </row>
    <row r="17" spans="1:15" x14ac:dyDescent="0.25">
      <c r="A17" s="97" t="str">
        <f>'Data Vlaue (Cr)'!C12</f>
        <v>AMBUJACEM</v>
      </c>
      <c r="B17" s="142">
        <f>VLOOKUP(A17,'Data Vlaue (Cr)'!C12:CW226,99,0)</f>
        <v>4483</v>
      </c>
      <c r="C17" s="90">
        <f>VLOOKUP(A17,'Data Vlaue (Cr)'!C12:CY226,101,0)</f>
        <v>769</v>
      </c>
      <c r="D17" s="139">
        <f>VLOOKUP(A17,'Data Vlaue (Cr)'!C12:CZ226,102,0)</f>
        <v>0.2072</v>
      </c>
      <c r="E17" s="91">
        <f>VLOOKUP($A17,'Data Vlaue (Cr)'!$C:$FB,75)</f>
        <v>3162</v>
      </c>
      <c r="F17" s="91">
        <f>VLOOKUP($A17,'Data Vlaue (Cr)'!$C:$FB,77)</f>
        <v>363</v>
      </c>
      <c r="G17" s="92">
        <f>VLOOKUP(A17,'Data Vlaue (Cr)'!C12:CB226,78,0)</f>
        <v>0.12970000000000001</v>
      </c>
      <c r="H17" s="91">
        <f>VLOOKUP($A17,'Data Vlaue (Cr)'!$C:$FB,91)</f>
        <v>850</v>
      </c>
      <c r="I17" s="91">
        <f>VLOOKUP($A17,'Data Vlaue (Cr)'!$C:$FB,93)</f>
        <v>344</v>
      </c>
      <c r="J17" s="92">
        <f>VLOOKUP($A17,'Data Vlaue (Cr)'!$C:$FB,94)</f>
        <v>0.67930000000000001</v>
      </c>
      <c r="K17" s="91">
        <f>VLOOKUP($A17,'Data Vlaue (Cr)'!$C:$FB,95)</f>
        <v>471</v>
      </c>
      <c r="L17" s="91">
        <f>VLOOKUP($A17,'Data Vlaue (Cr)'!$C:$FB,97)</f>
        <v>62</v>
      </c>
      <c r="M17" s="92">
        <f>VLOOKUP($A17,'Data Vlaue (Cr)'!$C:$FB,98)</f>
        <v>0.15279999999999999</v>
      </c>
      <c r="N17" s="91">
        <f>VLOOKUP($A17,'Data Vlaue (Cr)'!$C:$FB,79)</f>
        <v>3100</v>
      </c>
      <c r="O17" s="92">
        <f>VLOOKUP($A17,'Data Vlaue (Cr)'!$C:$FB,82)</f>
        <v>0.12720000000000001</v>
      </c>
    </row>
    <row r="18" spans="1:15" x14ac:dyDescent="0.25">
      <c r="A18" s="97" t="str">
        <f>'Data Vlaue (Cr)'!C13</f>
        <v>ANGELONE</v>
      </c>
      <c r="B18" s="142">
        <f>VLOOKUP(A18,'Data Vlaue (Cr)'!C13:CW227,99,0)</f>
        <v>1324</v>
      </c>
      <c r="C18" s="90">
        <f>VLOOKUP(A18,'Data Vlaue (Cr)'!C13:CY227,101,0)</f>
        <v>117</v>
      </c>
      <c r="D18" s="139">
        <f>VLOOKUP(A18,'Data Vlaue (Cr)'!C13:CZ227,102,0)</f>
        <v>9.6600000000000005E-2</v>
      </c>
      <c r="E18" s="91">
        <f>VLOOKUP($A18,'Data Vlaue (Cr)'!$C:$FB,75)</f>
        <v>741</v>
      </c>
      <c r="F18" s="91">
        <f>VLOOKUP($A18,'Data Vlaue (Cr)'!$C:$FB,77)</f>
        <v>60</v>
      </c>
      <c r="G18" s="92">
        <f>VLOOKUP(A18,'Data Vlaue (Cr)'!C13:CB227,78,0)</f>
        <v>8.7999999999999995E-2</v>
      </c>
      <c r="H18" s="91">
        <f>VLOOKUP($A18,'Data Vlaue (Cr)'!$C:$FB,91)</f>
        <v>361</v>
      </c>
      <c r="I18" s="91">
        <f>VLOOKUP($A18,'Data Vlaue (Cr)'!$C:$FB,93)</f>
        <v>48</v>
      </c>
      <c r="J18" s="92">
        <f>VLOOKUP($A18,'Data Vlaue (Cr)'!$C:$FB,94)</f>
        <v>0.1545</v>
      </c>
      <c r="K18" s="91">
        <f>VLOOKUP($A18,'Data Vlaue (Cr)'!$C:$FB,95)</f>
        <v>221</v>
      </c>
      <c r="L18" s="91">
        <f>VLOOKUP($A18,'Data Vlaue (Cr)'!$C:$FB,97)</f>
        <v>8</v>
      </c>
      <c r="M18" s="92">
        <f>VLOOKUP($A18,'Data Vlaue (Cr)'!$C:$FB,98)</f>
        <v>3.9199999999999999E-2</v>
      </c>
      <c r="N18" s="91">
        <f>VLOOKUP($A18,'Data Vlaue (Cr)'!$C:$FB,79)</f>
        <v>720</v>
      </c>
      <c r="O18" s="92">
        <f>VLOOKUP($A18,'Data Vlaue (Cr)'!$C:$FB,82)</f>
        <v>8.6199999999999999E-2</v>
      </c>
    </row>
    <row r="19" spans="1:15" x14ac:dyDescent="0.25">
      <c r="A19" s="97" t="str">
        <f>'Data Vlaue (Cr)'!C14</f>
        <v>APLAPOLLO</v>
      </c>
      <c r="B19" s="142">
        <f>VLOOKUP(A19,'Data Vlaue (Cr)'!C14:CW228,99,0)</f>
        <v>1561</v>
      </c>
      <c r="C19" s="90">
        <f>VLOOKUP(A19,'Data Vlaue (Cr)'!C14:CY228,101,0)</f>
        <v>317</v>
      </c>
      <c r="D19" s="139">
        <f>VLOOKUP(A19,'Data Vlaue (Cr)'!C14:CZ228,102,0)</f>
        <v>0.2545</v>
      </c>
      <c r="E19" s="91">
        <f>VLOOKUP($A19,'Data Vlaue (Cr)'!$C:$FB,75)</f>
        <v>1091</v>
      </c>
      <c r="F19" s="91">
        <f>VLOOKUP($A19,'Data Vlaue (Cr)'!$C:$FB,77)</f>
        <v>116</v>
      </c>
      <c r="G19" s="92">
        <f>VLOOKUP(A19,'Data Vlaue (Cr)'!C14:CB228,78,0)</f>
        <v>0.1195</v>
      </c>
      <c r="H19" s="91">
        <f>VLOOKUP($A19,'Data Vlaue (Cr)'!$C:$FB,91)</f>
        <v>300</v>
      </c>
      <c r="I19" s="91">
        <f>VLOOKUP($A19,'Data Vlaue (Cr)'!$C:$FB,93)</f>
        <v>147</v>
      </c>
      <c r="J19" s="92">
        <f>VLOOKUP($A19,'Data Vlaue (Cr)'!$C:$FB,94)</f>
        <v>0.95950000000000002</v>
      </c>
      <c r="K19" s="91">
        <f>VLOOKUP($A19,'Data Vlaue (Cr)'!$C:$FB,95)</f>
        <v>170</v>
      </c>
      <c r="L19" s="91">
        <f>VLOOKUP($A19,'Data Vlaue (Cr)'!$C:$FB,97)</f>
        <v>53</v>
      </c>
      <c r="M19" s="92">
        <f>VLOOKUP($A19,'Data Vlaue (Cr)'!$C:$FB,98)</f>
        <v>0.45710000000000001</v>
      </c>
      <c r="N19" s="91">
        <f>VLOOKUP($A19,'Data Vlaue (Cr)'!$C:$FB,79)</f>
        <v>989</v>
      </c>
      <c r="O19" s="92">
        <f>VLOOKUP($A19,'Data Vlaue (Cr)'!$C:$FB,82)</f>
        <v>0.1273</v>
      </c>
    </row>
    <row r="20" spans="1:15" x14ac:dyDescent="0.25">
      <c r="A20" s="97" t="str">
        <f>'Data Vlaue (Cr)'!C15</f>
        <v>APOLLOHOSP</v>
      </c>
      <c r="B20" s="142">
        <f>VLOOKUP(A20,'Data Vlaue (Cr)'!C15:CW229,99,0)</f>
        <v>2399</v>
      </c>
      <c r="C20" s="90">
        <f>VLOOKUP(A20,'Data Vlaue (Cr)'!C15:CY229,101,0)</f>
        <v>114</v>
      </c>
      <c r="D20" s="139">
        <f>VLOOKUP(A20,'Data Vlaue (Cr)'!C15:CZ229,102,0)</f>
        <v>5.0099999999999999E-2</v>
      </c>
      <c r="E20" s="91">
        <f>VLOOKUP($A20,'Data Vlaue (Cr)'!$C:$FB,75)</f>
        <v>1573</v>
      </c>
      <c r="F20" s="91">
        <f>VLOOKUP($A20,'Data Vlaue (Cr)'!$C:$FB,77)</f>
        <v>8</v>
      </c>
      <c r="G20" s="92">
        <f>VLOOKUP(A20,'Data Vlaue (Cr)'!C15:CB229,78,0)</f>
        <v>5.1999999999999998E-3</v>
      </c>
      <c r="H20" s="91">
        <f>VLOOKUP($A20,'Data Vlaue (Cr)'!$C:$FB,91)</f>
        <v>502</v>
      </c>
      <c r="I20" s="91">
        <f>VLOOKUP($A20,'Data Vlaue (Cr)'!$C:$FB,93)</f>
        <v>66</v>
      </c>
      <c r="J20" s="92">
        <f>VLOOKUP($A20,'Data Vlaue (Cr)'!$C:$FB,94)</f>
        <v>0.15260000000000001</v>
      </c>
      <c r="K20" s="91">
        <f>VLOOKUP($A20,'Data Vlaue (Cr)'!$C:$FB,95)</f>
        <v>324</v>
      </c>
      <c r="L20" s="91">
        <f>VLOOKUP($A20,'Data Vlaue (Cr)'!$C:$FB,97)</f>
        <v>40</v>
      </c>
      <c r="M20" s="92">
        <f>VLOOKUP($A20,'Data Vlaue (Cr)'!$C:$FB,98)</f>
        <v>0.14069999999999999</v>
      </c>
      <c r="N20" s="91">
        <f>VLOOKUP($A20,'Data Vlaue (Cr)'!$C:$FB,79)</f>
        <v>1438</v>
      </c>
      <c r="O20" s="92">
        <f>VLOOKUP($A20,'Data Vlaue (Cr)'!$C:$FB,82)</f>
        <v>3.0999999999999999E-3</v>
      </c>
    </row>
    <row r="21" spans="1:15" x14ac:dyDescent="0.25">
      <c r="A21" s="97" t="str">
        <f>'Data Vlaue (Cr)'!C16</f>
        <v>ASHOKLEY</v>
      </c>
      <c r="B21" s="142">
        <f>VLOOKUP(A21,'Data Vlaue (Cr)'!C16:CW230,99,0)</f>
        <v>4272</v>
      </c>
      <c r="C21" s="90">
        <f>VLOOKUP(A21,'Data Vlaue (Cr)'!C16:CY230,101,0)</f>
        <v>243</v>
      </c>
      <c r="D21" s="139">
        <f>VLOOKUP(A21,'Data Vlaue (Cr)'!C16:CZ230,102,0)</f>
        <v>6.0299999999999999E-2</v>
      </c>
      <c r="E21" s="91">
        <f>VLOOKUP($A21,'Data Vlaue (Cr)'!$C:$FB,75)</f>
        <v>2207</v>
      </c>
      <c r="F21" s="91">
        <f>VLOOKUP($A21,'Data Vlaue (Cr)'!$C:$FB,77)</f>
        <v>48</v>
      </c>
      <c r="G21" s="92">
        <f>VLOOKUP(A21,'Data Vlaue (Cr)'!C16:CB230,78,0)</f>
        <v>2.23E-2</v>
      </c>
      <c r="H21" s="91">
        <f>VLOOKUP($A21,'Data Vlaue (Cr)'!$C:$FB,91)</f>
        <v>1292</v>
      </c>
      <c r="I21" s="91">
        <f>VLOOKUP($A21,'Data Vlaue (Cr)'!$C:$FB,93)</f>
        <v>155</v>
      </c>
      <c r="J21" s="92">
        <f>VLOOKUP($A21,'Data Vlaue (Cr)'!$C:$FB,94)</f>
        <v>0.1366</v>
      </c>
      <c r="K21" s="91">
        <f>VLOOKUP($A21,'Data Vlaue (Cr)'!$C:$FB,95)</f>
        <v>774</v>
      </c>
      <c r="L21" s="91">
        <f>VLOOKUP($A21,'Data Vlaue (Cr)'!$C:$FB,97)</f>
        <v>40</v>
      </c>
      <c r="M21" s="92">
        <f>VLOOKUP($A21,'Data Vlaue (Cr)'!$C:$FB,98)</f>
        <v>5.3900000000000003E-2</v>
      </c>
      <c r="N21" s="91">
        <f>VLOOKUP($A21,'Data Vlaue (Cr)'!$C:$FB,79)</f>
        <v>2066</v>
      </c>
      <c r="O21" s="92">
        <f>VLOOKUP($A21,'Data Vlaue (Cr)'!$C:$FB,82)</f>
        <v>1.4E-2</v>
      </c>
    </row>
    <row r="22" spans="1:15" x14ac:dyDescent="0.25">
      <c r="A22" s="97" t="str">
        <f>'Data Vlaue (Cr)'!C17</f>
        <v>ASIANPAINT</v>
      </c>
      <c r="B22" s="142">
        <f>VLOOKUP(A22,'Data Vlaue (Cr)'!C17:CW231,99,0)</f>
        <v>5202</v>
      </c>
      <c r="C22" s="90">
        <f>VLOOKUP(A22,'Data Vlaue (Cr)'!C17:CY231,101,0)</f>
        <v>452</v>
      </c>
      <c r="D22" s="139">
        <f>VLOOKUP(A22,'Data Vlaue (Cr)'!C17:CZ231,102,0)</f>
        <v>9.5200000000000007E-2</v>
      </c>
      <c r="E22" s="91">
        <f>VLOOKUP($A22,'Data Vlaue (Cr)'!$C:$FB,75)</f>
        <v>3499</v>
      </c>
      <c r="F22" s="91">
        <f>VLOOKUP($A22,'Data Vlaue (Cr)'!$C:$FB,77)</f>
        <v>75</v>
      </c>
      <c r="G22" s="92">
        <f>VLOOKUP(A22,'Data Vlaue (Cr)'!C17:CB231,78,0)</f>
        <v>2.1899999999999999E-2</v>
      </c>
      <c r="H22" s="91">
        <f>VLOOKUP($A22,'Data Vlaue (Cr)'!$C:$FB,91)</f>
        <v>922</v>
      </c>
      <c r="I22" s="91">
        <f>VLOOKUP($A22,'Data Vlaue (Cr)'!$C:$FB,93)</f>
        <v>273</v>
      </c>
      <c r="J22" s="92">
        <f>VLOOKUP($A22,'Data Vlaue (Cr)'!$C:$FB,94)</f>
        <v>0.42020000000000002</v>
      </c>
      <c r="K22" s="91">
        <f>VLOOKUP($A22,'Data Vlaue (Cr)'!$C:$FB,95)</f>
        <v>780</v>
      </c>
      <c r="L22" s="91">
        <f>VLOOKUP($A22,'Data Vlaue (Cr)'!$C:$FB,97)</f>
        <v>104</v>
      </c>
      <c r="M22" s="92">
        <f>VLOOKUP($A22,'Data Vlaue (Cr)'!$C:$FB,98)</f>
        <v>0.154</v>
      </c>
      <c r="N22" s="91">
        <f>VLOOKUP($A22,'Data Vlaue (Cr)'!$C:$FB,79)</f>
        <v>3213</v>
      </c>
      <c r="O22" s="92">
        <f>VLOOKUP($A22,'Data Vlaue (Cr)'!$C:$FB,82)</f>
        <v>2.0500000000000001E-2</v>
      </c>
    </row>
    <row r="23" spans="1:15" x14ac:dyDescent="0.25">
      <c r="A23" s="97" t="str">
        <f>'Data Vlaue (Cr)'!C18</f>
        <v>ASTRAL</v>
      </c>
      <c r="B23" s="142">
        <f>VLOOKUP(A23,'Data Vlaue (Cr)'!C18:CW232,99,0)</f>
        <v>1779</v>
      </c>
      <c r="C23" s="90">
        <f>VLOOKUP(A23,'Data Vlaue (Cr)'!C18:CY232,101,0)</f>
        <v>31</v>
      </c>
      <c r="D23" s="139">
        <f>VLOOKUP(A23,'Data Vlaue (Cr)'!C18:CZ232,102,0)</f>
        <v>1.7600000000000001E-2</v>
      </c>
      <c r="E23" s="91">
        <f>VLOOKUP($A23,'Data Vlaue (Cr)'!$C:$FB,75)</f>
        <v>1423</v>
      </c>
      <c r="F23" s="91">
        <f>VLOOKUP($A23,'Data Vlaue (Cr)'!$C:$FB,77)</f>
        <v>18</v>
      </c>
      <c r="G23" s="92">
        <f>VLOOKUP(A23,'Data Vlaue (Cr)'!C18:CB232,78,0)</f>
        <v>1.2500000000000001E-2</v>
      </c>
      <c r="H23" s="91">
        <f>VLOOKUP($A23,'Data Vlaue (Cr)'!$C:$FB,91)</f>
        <v>211</v>
      </c>
      <c r="I23" s="91">
        <f>VLOOKUP($A23,'Data Vlaue (Cr)'!$C:$FB,93)</f>
        <v>12</v>
      </c>
      <c r="J23" s="92">
        <f>VLOOKUP($A23,'Data Vlaue (Cr)'!$C:$FB,94)</f>
        <v>5.91E-2</v>
      </c>
      <c r="K23" s="91">
        <f>VLOOKUP($A23,'Data Vlaue (Cr)'!$C:$FB,95)</f>
        <v>145</v>
      </c>
      <c r="L23" s="91">
        <f>VLOOKUP($A23,'Data Vlaue (Cr)'!$C:$FB,97)</f>
        <v>1</v>
      </c>
      <c r="M23" s="92">
        <f>VLOOKUP($A23,'Data Vlaue (Cr)'!$C:$FB,98)</f>
        <v>1.0200000000000001E-2</v>
      </c>
      <c r="N23" s="91">
        <f>VLOOKUP($A23,'Data Vlaue (Cr)'!$C:$FB,79)</f>
        <v>1355</v>
      </c>
      <c r="O23" s="92">
        <f>VLOOKUP($A23,'Data Vlaue (Cr)'!$C:$FB,82)</f>
        <v>4.0000000000000002E-4</v>
      </c>
    </row>
    <row r="24" spans="1:15" x14ac:dyDescent="0.25">
      <c r="A24" s="97" t="str">
        <f>'Data Vlaue (Cr)'!C19</f>
        <v>AUBANK</v>
      </c>
      <c r="B24" s="142">
        <f>VLOOKUP(A24,'Data Vlaue (Cr)'!C19:CW233,99,0)</f>
        <v>3941</v>
      </c>
      <c r="C24" s="90">
        <f>VLOOKUP(A24,'Data Vlaue (Cr)'!C19:CY233,101,0)</f>
        <v>-2</v>
      </c>
      <c r="D24" s="139">
        <f>VLOOKUP(A24,'Data Vlaue (Cr)'!C19:CZ233,102,0)</f>
        <v>-5.9999999999999995E-4</v>
      </c>
      <c r="E24" s="91">
        <f>VLOOKUP($A24,'Data Vlaue (Cr)'!$C:$FB,75)</f>
        <v>2751</v>
      </c>
      <c r="F24" s="91">
        <f>VLOOKUP($A24,'Data Vlaue (Cr)'!$C:$FB,77)</f>
        <v>17</v>
      </c>
      <c r="G24" s="92">
        <f>VLOOKUP(A24,'Data Vlaue (Cr)'!C19:CB233,78,0)</f>
        <v>6.1999999999999998E-3</v>
      </c>
      <c r="H24" s="91">
        <f>VLOOKUP($A24,'Data Vlaue (Cr)'!$C:$FB,91)</f>
        <v>765</v>
      </c>
      <c r="I24" s="91">
        <f>VLOOKUP($A24,'Data Vlaue (Cr)'!$C:$FB,93)</f>
        <v>-20</v>
      </c>
      <c r="J24" s="92">
        <f>VLOOKUP($A24,'Data Vlaue (Cr)'!$C:$FB,94)</f>
        <v>-2.4899999999999999E-2</v>
      </c>
      <c r="K24" s="91">
        <f>VLOOKUP($A24,'Data Vlaue (Cr)'!$C:$FB,95)</f>
        <v>425</v>
      </c>
      <c r="L24" s="91">
        <f>VLOOKUP($A24,'Data Vlaue (Cr)'!$C:$FB,97)</f>
        <v>0</v>
      </c>
      <c r="M24" s="92">
        <f>VLOOKUP($A24,'Data Vlaue (Cr)'!$C:$FB,98)</f>
        <v>0</v>
      </c>
      <c r="N24" s="91">
        <f>VLOOKUP($A24,'Data Vlaue (Cr)'!$C:$FB,79)</f>
        <v>2625</v>
      </c>
      <c r="O24" s="92">
        <f>VLOOKUP($A24,'Data Vlaue (Cr)'!$C:$FB,82)</f>
        <v>1.2999999999999999E-3</v>
      </c>
    </row>
    <row r="25" spans="1:15" x14ac:dyDescent="0.25">
      <c r="A25" s="97" t="str">
        <f>'Data Vlaue (Cr)'!C20</f>
        <v>AUROPHARMA</v>
      </c>
      <c r="B25" s="142">
        <f>VLOOKUP(A25,'Data Vlaue (Cr)'!C20:CW234,99,0)</f>
        <v>3307</v>
      </c>
      <c r="C25" s="90">
        <f>VLOOKUP(A25,'Data Vlaue (Cr)'!C20:CY234,101,0)</f>
        <v>77</v>
      </c>
      <c r="D25" s="139">
        <f>VLOOKUP(A25,'Data Vlaue (Cr)'!C20:CZ234,102,0)</f>
        <v>2.3800000000000002E-2</v>
      </c>
      <c r="E25" s="91">
        <f>VLOOKUP($A25,'Data Vlaue (Cr)'!$C:$FB,75)</f>
        <v>2706</v>
      </c>
      <c r="F25" s="91">
        <f>VLOOKUP($A25,'Data Vlaue (Cr)'!$C:$FB,77)</f>
        <v>16</v>
      </c>
      <c r="G25" s="92">
        <f>VLOOKUP(A25,'Data Vlaue (Cr)'!C20:CB234,78,0)</f>
        <v>5.7999999999999996E-3</v>
      </c>
      <c r="H25" s="91">
        <f>VLOOKUP($A25,'Data Vlaue (Cr)'!$C:$FB,91)</f>
        <v>383</v>
      </c>
      <c r="I25" s="91">
        <f>VLOOKUP($A25,'Data Vlaue (Cr)'!$C:$FB,93)</f>
        <v>46</v>
      </c>
      <c r="J25" s="92">
        <f>VLOOKUP($A25,'Data Vlaue (Cr)'!$C:$FB,94)</f>
        <v>0.1366</v>
      </c>
      <c r="K25" s="91">
        <f>VLOOKUP($A25,'Data Vlaue (Cr)'!$C:$FB,95)</f>
        <v>218</v>
      </c>
      <c r="L25" s="91">
        <f>VLOOKUP($A25,'Data Vlaue (Cr)'!$C:$FB,97)</f>
        <v>15</v>
      </c>
      <c r="M25" s="92">
        <f>VLOOKUP($A25,'Data Vlaue (Cr)'!$C:$FB,98)</f>
        <v>7.5300000000000006E-2</v>
      </c>
      <c r="N25" s="91">
        <f>VLOOKUP($A25,'Data Vlaue (Cr)'!$C:$FB,79)</f>
        <v>2699</v>
      </c>
      <c r="O25" s="92">
        <f>VLOOKUP($A25,'Data Vlaue (Cr)'!$C:$FB,82)</f>
        <v>5.1999999999999998E-3</v>
      </c>
    </row>
    <row r="26" spans="1:15" x14ac:dyDescent="0.25">
      <c r="A26" s="97" t="str">
        <f>'Data Vlaue (Cr)'!C21</f>
        <v>AXISBANK</v>
      </c>
      <c r="B26" s="142">
        <f>VLOOKUP(A26,'Data Vlaue (Cr)'!C21:CW235,99,0)</f>
        <v>11757</v>
      </c>
      <c r="C26" s="90">
        <f>VLOOKUP(A26,'Data Vlaue (Cr)'!C21:CY235,101,0)</f>
        <v>747</v>
      </c>
      <c r="D26" s="139">
        <f>VLOOKUP(A26,'Data Vlaue (Cr)'!C21:CZ235,102,0)</f>
        <v>6.7900000000000002E-2</v>
      </c>
      <c r="E26" s="91">
        <f>VLOOKUP($A26,'Data Vlaue (Cr)'!$C:$FB,75)</f>
        <v>8538</v>
      </c>
      <c r="F26" s="91">
        <f>VLOOKUP($A26,'Data Vlaue (Cr)'!$C:$FB,77)</f>
        <v>268</v>
      </c>
      <c r="G26" s="92">
        <f>VLOOKUP(A26,'Data Vlaue (Cr)'!C21:CB235,78,0)</f>
        <v>3.2399999999999998E-2</v>
      </c>
      <c r="H26" s="91">
        <f>VLOOKUP($A26,'Data Vlaue (Cr)'!$C:$FB,91)</f>
        <v>1897</v>
      </c>
      <c r="I26" s="91">
        <f>VLOOKUP($A26,'Data Vlaue (Cr)'!$C:$FB,93)</f>
        <v>286</v>
      </c>
      <c r="J26" s="92">
        <f>VLOOKUP($A26,'Data Vlaue (Cr)'!$C:$FB,94)</f>
        <v>0.1777</v>
      </c>
      <c r="K26" s="91">
        <f>VLOOKUP($A26,'Data Vlaue (Cr)'!$C:$FB,95)</f>
        <v>1322</v>
      </c>
      <c r="L26" s="91">
        <f>VLOOKUP($A26,'Data Vlaue (Cr)'!$C:$FB,97)</f>
        <v>193</v>
      </c>
      <c r="M26" s="92">
        <f>VLOOKUP($A26,'Data Vlaue (Cr)'!$C:$FB,98)</f>
        <v>0.1709</v>
      </c>
      <c r="N26" s="91">
        <f>VLOOKUP($A26,'Data Vlaue (Cr)'!$C:$FB,79)</f>
        <v>7550</v>
      </c>
      <c r="O26" s="92">
        <f>VLOOKUP($A26,'Data Vlaue (Cr)'!$C:$FB,82)</f>
        <v>2.3900000000000001E-2</v>
      </c>
    </row>
    <row r="27" spans="1:15" x14ac:dyDescent="0.25">
      <c r="A27" s="97" t="str">
        <f>'Data Vlaue (Cr)'!C22</f>
        <v>BAJAJ-AUTO</v>
      </c>
      <c r="B27" s="142">
        <f>VLOOKUP(A27,'Data Vlaue (Cr)'!C22:CW236,99,0)</f>
        <v>5257</v>
      </c>
      <c r="C27" s="90">
        <f>VLOOKUP(A27,'Data Vlaue (Cr)'!C22:CY236,101,0)</f>
        <v>557</v>
      </c>
      <c r="D27" s="139">
        <f>VLOOKUP(A27,'Data Vlaue (Cr)'!C22:CZ236,102,0)</f>
        <v>0.11840000000000001</v>
      </c>
      <c r="E27" s="91">
        <f>VLOOKUP($A27,'Data Vlaue (Cr)'!$C:$FB,75)</f>
        <v>2645</v>
      </c>
      <c r="F27" s="91">
        <f>VLOOKUP($A27,'Data Vlaue (Cr)'!$C:$FB,77)</f>
        <v>29</v>
      </c>
      <c r="G27" s="92">
        <f>VLOOKUP(A27,'Data Vlaue (Cr)'!C22:CB236,78,0)</f>
        <v>1.0999999999999999E-2</v>
      </c>
      <c r="H27" s="91">
        <f>VLOOKUP($A27,'Data Vlaue (Cr)'!$C:$FB,91)</f>
        <v>1455</v>
      </c>
      <c r="I27" s="91">
        <f>VLOOKUP($A27,'Data Vlaue (Cr)'!$C:$FB,93)</f>
        <v>350</v>
      </c>
      <c r="J27" s="92">
        <f>VLOOKUP($A27,'Data Vlaue (Cr)'!$C:$FB,94)</f>
        <v>0.31680000000000003</v>
      </c>
      <c r="K27" s="91">
        <f>VLOOKUP($A27,'Data Vlaue (Cr)'!$C:$FB,95)</f>
        <v>1157</v>
      </c>
      <c r="L27" s="91">
        <f>VLOOKUP($A27,'Data Vlaue (Cr)'!$C:$FB,97)</f>
        <v>178</v>
      </c>
      <c r="M27" s="92">
        <f>VLOOKUP($A27,'Data Vlaue (Cr)'!$C:$FB,98)</f>
        <v>0.18149999999999999</v>
      </c>
      <c r="N27" s="91">
        <f>VLOOKUP($A27,'Data Vlaue (Cr)'!$C:$FB,79)</f>
        <v>2528</v>
      </c>
      <c r="O27" s="92">
        <f>VLOOKUP($A27,'Data Vlaue (Cr)'!$C:$FB,82)</f>
        <v>6.1000000000000004E-3</v>
      </c>
    </row>
    <row r="28" spans="1:15" x14ac:dyDescent="0.25">
      <c r="A28" s="97" t="str">
        <f>'Data Vlaue (Cr)'!C23</f>
        <v>BAJAJFINSV</v>
      </c>
      <c r="B28" s="142">
        <f>VLOOKUP(A28,'Data Vlaue (Cr)'!C23:CW237,99,0)</f>
        <v>3082</v>
      </c>
      <c r="C28" s="90">
        <f>VLOOKUP(A28,'Data Vlaue (Cr)'!C23:CY237,101,0)</f>
        <v>143</v>
      </c>
      <c r="D28" s="139">
        <f>VLOOKUP(A28,'Data Vlaue (Cr)'!C23:CZ237,102,0)</f>
        <v>4.87E-2</v>
      </c>
      <c r="E28" s="91">
        <f>VLOOKUP($A28,'Data Vlaue (Cr)'!$C:$FB,75)</f>
        <v>2069</v>
      </c>
      <c r="F28" s="91">
        <f>VLOOKUP($A28,'Data Vlaue (Cr)'!$C:$FB,77)</f>
        <v>70</v>
      </c>
      <c r="G28" s="92">
        <f>VLOOKUP(A28,'Data Vlaue (Cr)'!C23:CB237,78,0)</f>
        <v>3.4799999999999998E-2</v>
      </c>
      <c r="H28" s="91">
        <f>VLOOKUP($A28,'Data Vlaue (Cr)'!$C:$FB,91)</f>
        <v>495</v>
      </c>
      <c r="I28" s="91">
        <f>VLOOKUP($A28,'Data Vlaue (Cr)'!$C:$FB,93)</f>
        <v>26</v>
      </c>
      <c r="J28" s="92">
        <f>VLOOKUP($A28,'Data Vlaue (Cr)'!$C:$FB,94)</f>
        <v>5.6500000000000002E-2</v>
      </c>
      <c r="K28" s="91">
        <f>VLOOKUP($A28,'Data Vlaue (Cr)'!$C:$FB,95)</f>
        <v>519</v>
      </c>
      <c r="L28" s="91">
        <f>VLOOKUP($A28,'Data Vlaue (Cr)'!$C:$FB,97)</f>
        <v>47</v>
      </c>
      <c r="M28" s="92">
        <f>VLOOKUP($A28,'Data Vlaue (Cr)'!$C:$FB,98)</f>
        <v>9.9699999999999997E-2</v>
      </c>
      <c r="N28" s="91">
        <f>VLOOKUP($A28,'Data Vlaue (Cr)'!$C:$FB,79)</f>
        <v>1886</v>
      </c>
      <c r="O28" s="92">
        <f>VLOOKUP($A28,'Data Vlaue (Cr)'!$C:$FB,82)</f>
        <v>2.9100000000000001E-2</v>
      </c>
    </row>
    <row r="29" spans="1:15" x14ac:dyDescent="0.25">
      <c r="A29" s="97" t="str">
        <f>'Data Vlaue (Cr)'!C24</f>
        <v>BAJAJHLDNG</v>
      </c>
      <c r="B29" s="142">
        <f>VLOOKUP(A29,'Data Vlaue (Cr)'!C24:CW238,99,0)</f>
        <v>352</v>
      </c>
      <c r="C29" s="90">
        <f>VLOOKUP(A29,'Data Vlaue (Cr)'!C24:CY238,101,0)</f>
        <v>33</v>
      </c>
      <c r="D29" s="139">
        <f>VLOOKUP(A29,'Data Vlaue (Cr)'!C24:CZ238,102,0)</f>
        <v>0.1037</v>
      </c>
      <c r="E29" s="91">
        <f>VLOOKUP($A29,'Data Vlaue (Cr)'!$C:$FB,75)</f>
        <v>268</v>
      </c>
      <c r="F29" s="91">
        <f>VLOOKUP($A29,'Data Vlaue (Cr)'!$C:$FB,77)</f>
        <v>5</v>
      </c>
      <c r="G29" s="92">
        <f>VLOOKUP(A29,'Data Vlaue (Cr)'!C24:CB238,78,0)</f>
        <v>1.8200000000000001E-2</v>
      </c>
      <c r="H29" s="91">
        <f>VLOOKUP($A29,'Data Vlaue (Cr)'!$C:$FB,91)</f>
        <v>58</v>
      </c>
      <c r="I29" s="91">
        <f>VLOOKUP($A29,'Data Vlaue (Cr)'!$C:$FB,93)</f>
        <v>20</v>
      </c>
      <c r="J29" s="92">
        <f>VLOOKUP($A29,'Data Vlaue (Cr)'!$C:$FB,94)</f>
        <v>0.51700000000000002</v>
      </c>
      <c r="K29" s="91">
        <f>VLOOKUP($A29,'Data Vlaue (Cr)'!$C:$FB,95)</f>
        <v>26</v>
      </c>
      <c r="L29" s="91">
        <f>VLOOKUP($A29,'Data Vlaue (Cr)'!$C:$FB,97)</f>
        <v>8</v>
      </c>
      <c r="M29" s="92">
        <f>VLOOKUP($A29,'Data Vlaue (Cr)'!$C:$FB,98)</f>
        <v>0.4924</v>
      </c>
      <c r="N29" s="91">
        <f>VLOOKUP($A29,'Data Vlaue (Cr)'!$C:$FB,79)</f>
        <v>265</v>
      </c>
      <c r="O29" s="92">
        <f>VLOOKUP($A29,'Data Vlaue (Cr)'!$C:$FB,82)</f>
        <v>1.66E-2</v>
      </c>
    </row>
    <row r="30" spans="1:15" x14ac:dyDescent="0.25">
      <c r="A30" s="97" t="str">
        <f>'Data Vlaue (Cr)'!C25</f>
        <v>BAJFINANCE</v>
      </c>
      <c r="B30" s="142">
        <f>VLOOKUP(A30,'Data Vlaue (Cr)'!C25:CW239,99,0)</f>
        <v>9583</v>
      </c>
      <c r="C30" s="90">
        <f>VLOOKUP(A30,'Data Vlaue (Cr)'!C25:CY239,101,0)</f>
        <v>-100</v>
      </c>
      <c r="D30" s="139">
        <f>VLOOKUP(A30,'Data Vlaue (Cr)'!C25:CZ239,102,0)</f>
        <v>-1.03E-2</v>
      </c>
      <c r="E30" s="91">
        <f>VLOOKUP($A30,'Data Vlaue (Cr)'!$C:$FB,75)</f>
        <v>6783</v>
      </c>
      <c r="F30" s="91">
        <f>VLOOKUP($A30,'Data Vlaue (Cr)'!$C:$FB,77)</f>
        <v>-33</v>
      </c>
      <c r="G30" s="92">
        <f>VLOOKUP(A30,'Data Vlaue (Cr)'!C25:CB239,78,0)</f>
        <v>-4.7999999999999996E-3</v>
      </c>
      <c r="H30" s="91">
        <f>VLOOKUP($A30,'Data Vlaue (Cr)'!$C:$FB,91)</f>
        <v>1597</v>
      </c>
      <c r="I30" s="91">
        <f>VLOOKUP($A30,'Data Vlaue (Cr)'!$C:$FB,93)</f>
        <v>-83</v>
      </c>
      <c r="J30" s="92">
        <f>VLOOKUP($A30,'Data Vlaue (Cr)'!$C:$FB,94)</f>
        <v>-4.9500000000000002E-2</v>
      </c>
      <c r="K30" s="91">
        <f>VLOOKUP($A30,'Data Vlaue (Cr)'!$C:$FB,95)</f>
        <v>1203</v>
      </c>
      <c r="L30" s="91">
        <f>VLOOKUP($A30,'Data Vlaue (Cr)'!$C:$FB,97)</f>
        <v>16</v>
      </c>
      <c r="M30" s="92">
        <f>VLOOKUP($A30,'Data Vlaue (Cr)'!$C:$FB,98)</f>
        <v>1.32E-2</v>
      </c>
      <c r="N30" s="91">
        <f>VLOOKUP($A30,'Data Vlaue (Cr)'!$C:$FB,79)</f>
        <v>5760</v>
      </c>
      <c r="O30" s="92">
        <f>VLOOKUP($A30,'Data Vlaue (Cr)'!$C:$FB,82)</f>
        <v>-8.3999999999999995E-3</v>
      </c>
    </row>
    <row r="31" spans="1:15" x14ac:dyDescent="0.25">
      <c r="A31" s="97" t="str">
        <f>'Data Vlaue (Cr)'!C26</f>
        <v>BANDHANBNK</v>
      </c>
      <c r="B31" s="142">
        <f>VLOOKUP(A31,'Data Vlaue (Cr)'!C26:CW240,99,0)</f>
        <v>3667</v>
      </c>
      <c r="C31" s="90">
        <f>VLOOKUP(A31,'Data Vlaue (Cr)'!C26:CY240,101,0)</f>
        <v>286</v>
      </c>
      <c r="D31" s="139">
        <f>VLOOKUP(A31,'Data Vlaue (Cr)'!C26:CZ240,102,0)</f>
        <v>8.4400000000000003E-2</v>
      </c>
      <c r="E31" s="91">
        <f>VLOOKUP($A31,'Data Vlaue (Cr)'!$C:$FB,75)</f>
        <v>1989</v>
      </c>
      <c r="F31" s="91">
        <f>VLOOKUP($A31,'Data Vlaue (Cr)'!$C:$FB,77)</f>
        <v>34</v>
      </c>
      <c r="G31" s="92">
        <f>VLOOKUP(A31,'Data Vlaue (Cr)'!C26:CB240,78,0)</f>
        <v>1.7500000000000002E-2</v>
      </c>
      <c r="H31" s="91">
        <f>VLOOKUP($A31,'Data Vlaue (Cr)'!$C:$FB,91)</f>
        <v>966</v>
      </c>
      <c r="I31" s="91">
        <f>VLOOKUP($A31,'Data Vlaue (Cr)'!$C:$FB,93)</f>
        <v>86</v>
      </c>
      <c r="J31" s="92">
        <f>VLOOKUP($A31,'Data Vlaue (Cr)'!$C:$FB,94)</f>
        <v>9.7699999999999995E-2</v>
      </c>
      <c r="K31" s="91">
        <f>VLOOKUP($A31,'Data Vlaue (Cr)'!$C:$FB,95)</f>
        <v>713</v>
      </c>
      <c r="L31" s="91">
        <f>VLOOKUP($A31,'Data Vlaue (Cr)'!$C:$FB,97)</f>
        <v>165</v>
      </c>
      <c r="M31" s="92">
        <f>VLOOKUP($A31,'Data Vlaue (Cr)'!$C:$FB,98)</f>
        <v>0.30199999999999999</v>
      </c>
      <c r="N31" s="91">
        <f>VLOOKUP($A31,'Data Vlaue (Cr)'!$C:$FB,79)</f>
        <v>1944</v>
      </c>
      <c r="O31" s="92">
        <f>VLOOKUP($A31,'Data Vlaue (Cr)'!$C:$FB,82)</f>
        <v>1.66E-2</v>
      </c>
    </row>
    <row r="32" spans="1:15" x14ac:dyDescent="0.25">
      <c r="A32" s="97" t="str">
        <f>'Data Vlaue (Cr)'!C27</f>
        <v>BANKBARODA</v>
      </c>
      <c r="B32" s="142">
        <f>VLOOKUP(A32,'Data Vlaue (Cr)'!C27:CW241,99,0)</f>
        <v>4560</v>
      </c>
      <c r="C32" s="90">
        <f>VLOOKUP(A32,'Data Vlaue (Cr)'!C27:CY241,101,0)</f>
        <v>91</v>
      </c>
      <c r="D32" s="139">
        <f>VLOOKUP(A32,'Data Vlaue (Cr)'!C27:CZ241,102,0)</f>
        <v>2.0299999999999999E-2</v>
      </c>
      <c r="E32" s="91">
        <f>VLOOKUP($A32,'Data Vlaue (Cr)'!$C:$FB,75)</f>
        <v>3035</v>
      </c>
      <c r="F32" s="91">
        <f>VLOOKUP($A32,'Data Vlaue (Cr)'!$C:$FB,77)</f>
        <v>29</v>
      </c>
      <c r="G32" s="92">
        <f>VLOOKUP(A32,'Data Vlaue (Cr)'!C27:CB241,78,0)</f>
        <v>9.7999999999999997E-3</v>
      </c>
      <c r="H32" s="91">
        <f>VLOOKUP($A32,'Data Vlaue (Cr)'!$C:$FB,91)</f>
        <v>845</v>
      </c>
      <c r="I32" s="91">
        <f>VLOOKUP($A32,'Data Vlaue (Cr)'!$C:$FB,93)</f>
        <v>49</v>
      </c>
      <c r="J32" s="92">
        <f>VLOOKUP($A32,'Data Vlaue (Cr)'!$C:$FB,94)</f>
        <v>6.1600000000000002E-2</v>
      </c>
      <c r="K32" s="91">
        <f>VLOOKUP($A32,'Data Vlaue (Cr)'!$C:$FB,95)</f>
        <v>680</v>
      </c>
      <c r="L32" s="91">
        <f>VLOOKUP($A32,'Data Vlaue (Cr)'!$C:$FB,97)</f>
        <v>12</v>
      </c>
      <c r="M32" s="92">
        <f>VLOOKUP($A32,'Data Vlaue (Cr)'!$C:$FB,98)</f>
        <v>1.8599999999999998E-2</v>
      </c>
      <c r="N32" s="91">
        <f>VLOOKUP($A32,'Data Vlaue (Cr)'!$C:$FB,79)</f>
        <v>2787</v>
      </c>
      <c r="O32" s="92">
        <f>VLOOKUP($A32,'Data Vlaue (Cr)'!$C:$FB,82)</f>
        <v>5.7999999999999996E-3</v>
      </c>
    </row>
    <row r="33" spans="1:15" x14ac:dyDescent="0.25">
      <c r="A33" s="97" t="str">
        <f>'Data Vlaue (Cr)'!C28</f>
        <v>BANKINDIA</v>
      </c>
      <c r="B33" s="142">
        <f>VLOOKUP(A33,'Data Vlaue (Cr)'!C28:CW242,99,0)</f>
        <v>1214</v>
      </c>
      <c r="C33" s="90">
        <f>VLOOKUP(A33,'Data Vlaue (Cr)'!C28:CY242,101,0)</f>
        <v>80</v>
      </c>
      <c r="D33" s="139">
        <f>VLOOKUP(A33,'Data Vlaue (Cr)'!C28:CZ242,102,0)</f>
        <v>7.0400000000000004E-2</v>
      </c>
      <c r="E33" s="91">
        <f>VLOOKUP($A33,'Data Vlaue (Cr)'!$C:$FB,75)</f>
        <v>775</v>
      </c>
      <c r="F33" s="91">
        <f>VLOOKUP($A33,'Data Vlaue (Cr)'!$C:$FB,77)</f>
        <v>31</v>
      </c>
      <c r="G33" s="92">
        <f>VLOOKUP(A33,'Data Vlaue (Cr)'!C28:CB242,78,0)</f>
        <v>4.2000000000000003E-2</v>
      </c>
      <c r="H33" s="91">
        <f>VLOOKUP($A33,'Data Vlaue (Cr)'!$C:$FB,91)</f>
        <v>240</v>
      </c>
      <c r="I33" s="91">
        <f>VLOOKUP($A33,'Data Vlaue (Cr)'!$C:$FB,93)</f>
        <v>34</v>
      </c>
      <c r="J33" s="92">
        <f>VLOOKUP($A33,'Data Vlaue (Cr)'!$C:$FB,94)</f>
        <v>0.1636</v>
      </c>
      <c r="K33" s="91">
        <f>VLOOKUP($A33,'Data Vlaue (Cr)'!$C:$FB,95)</f>
        <v>199</v>
      </c>
      <c r="L33" s="91">
        <f>VLOOKUP($A33,'Data Vlaue (Cr)'!$C:$FB,97)</f>
        <v>15</v>
      </c>
      <c r="M33" s="92">
        <f>VLOOKUP($A33,'Data Vlaue (Cr)'!$C:$FB,98)</f>
        <v>8.0699999999999994E-2</v>
      </c>
      <c r="N33" s="91">
        <f>VLOOKUP($A33,'Data Vlaue (Cr)'!$C:$FB,79)</f>
        <v>750</v>
      </c>
      <c r="O33" s="92">
        <f>VLOOKUP($A33,'Data Vlaue (Cr)'!$C:$FB,82)</f>
        <v>4.0099999999999997E-2</v>
      </c>
    </row>
    <row r="34" spans="1:15" x14ac:dyDescent="0.25">
      <c r="A34" s="97" t="str">
        <f>'Data Vlaue (Cr)'!C29</f>
        <v>BANKNIFTY</v>
      </c>
      <c r="B34" s="142">
        <f>VLOOKUP(A34,'Data Vlaue (Cr)'!C29:CW243,99,0)</f>
        <v>150293</v>
      </c>
      <c r="C34" s="90">
        <f>VLOOKUP(A34,'Data Vlaue (Cr)'!C29:CY243,101,0)</f>
        <v>11694</v>
      </c>
      <c r="D34" s="139">
        <f>VLOOKUP(A34,'Data Vlaue (Cr)'!C29:CZ243,102,0)</f>
        <v>8.4400000000000003E-2</v>
      </c>
      <c r="E34" s="91">
        <f>VLOOKUP($A34,'Data Vlaue (Cr)'!$C:$FB,75)</f>
        <v>12905</v>
      </c>
      <c r="F34" s="91">
        <f>VLOOKUP($A34,'Data Vlaue (Cr)'!$C:$FB,77)</f>
        <v>587</v>
      </c>
      <c r="G34" s="92">
        <f>VLOOKUP(A34,'Data Vlaue (Cr)'!C29:CB243,78,0)</f>
        <v>4.7600000000000003E-2</v>
      </c>
      <c r="H34" s="91">
        <f>VLOOKUP($A34,'Data Vlaue (Cr)'!$C:$FB,91)</f>
        <v>73570</v>
      </c>
      <c r="I34" s="91">
        <f>VLOOKUP($A34,'Data Vlaue (Cr)'!$C:$FB,93)</f>
        <v>7126</v>
      </c>
      <c r="J34" s="92">
        <f>VLOOKUP($A34,'Data Vlaue (Cr)'!$C:$FB,94)</f>
        <v>0.1072</v>
      </c>
      <c r="K34" s="91">
        <f>VLOOKUP($A34,'Data Vlaue (Cr)'!$C:$FB,95)</f>
        <v>63818</v>
      </c>
      <c r="L34" s="91">
        <f>VLOOKUP($A34,'Data Vlaue (Cr)'!$C:$FB,97)</f>
        <v>3982</v>
      </c>
      <c r="M34" s="92">
        <f>VLOOKUP($A34,'Data Vlaue (Cr)'!$C:$FB,98)</f>
        <v>6.6500000000000004E-2</v>
      </c>
      <c r="N34" s="91">
        <f>VLOOKUP($A34,'Data Vlaue (Cr)'!$C:$FB,79)</f>
        <v>11596</v>
      </c>
      <c r="O34" s="92">
        <f>VLOOKUP($A34,'Data Vlaue (Cr)'!$C:$FB,82)</f>
        <v>4.7800000000000002E-2</v>
      </c>
    </row>
    <row r="35" spans="1:15" x14ac:dyDescent="0.25">
      <c r="A35" s="97" t="str">
        <f>'Data Vlaue (Cr)'!C30</f>
        <v>BDL</v>
      </c>
      <c r="B35" s="142">
        <f>VLOOKUP(A35,'Data Vlaue (Cr)'!C30:CW244,99,0)</f>
        <v>891</v>
      </c>
      <c r="C35" s="90">
        <f>VLOOKUP(A35,'Data Vlaue (Cr)'!C30:CY244,101,0)</f>
        <v>24</v>
      </c>
      <c r="D35" s="139">
        <f>VLOOKUP(A35,'Data Vlaue (Cr)'!C30:CZ244,102,0)</f>
        <v>2.7900000000000001E-2</v>
      </c>
      <c r="E35" s="91">
        <f>VLOOKUP($A35,'Data Vlaue (Cr)'!$C:$FB,75)</f>
        <v>461</v>
      </c>
      <c r="F35" s="91">
        <f>VLOOKUP($A35,'Data Vlaue (Cr)'!$C:$FB,77)</f>
        <v>-20</v>
      </c>
      <c r="G35" s="92">
        <f>VLOOKUP(A35,'Data Vlaue (Cr)'!C30:CB244,78,0)</f>
        <v>-4.1799999999999997E-2</v>
      </c>
      <c r="H35" s="91">
        <f>VLOOKUP($A35,'Data Vlaue (Cr)'!$C:$FB,91)</f>
        <v>279</v>
      </c>
      <c r="I35" s="91">
        <f>VLOOKUP($A35,'Data Vlaue (Cr)'!$C:$FB,93)</f>
        <v>33</v>
      </c>
      <c r="J35" s="92">
        <f>VLOOKUP($A35,'Data Vlaue (Cr)'!$C:$FB,94)</f>
        <v>0.1323</v>
      </c>
      <c r="K35" s="91">
        <f>VLOOKUP($A35,'Data Vlaue (Cr)'!$C:$FB,95)</f>
        <v>151</v>
      </c>
      <c r="L35" s="91">
        <f>VLOOKUP($A35,'Data Vlaue (Cr)'!$C:$FB,97)</f>
        <v>12</v>
      </c>
      <c r="M35" s="92">
        <f>VLOOKUP($A35,'Data Vlaue (Cr)'!$C:$FB,98)</f>
        <v>8.4199999999999997E-2</v>
      </c>
      <c r="N35" s="91">
        <f>VLOOKUP($A35,'Data Vlaue (Cr)'!$C:$FB,79)</f>
        <v>427</v>
      </c>
      <c r="O35" s="92">
        <f>VLOOKUP($A35,'Data Vlaue (Cr)'!$C:$FB,82)</f>
        <v>-4.6699999999999998E-2</v>
      </c>
    </row>
    <row r="36" spans="1:15" x14ac:dyDescent="0.25">
      <c r="A36" s="97" t="str">
        <f>'Data Vlaue (Cr)'!C31</f>
        <v>BEL</v>
      </c>
      <c r="B36" s="142">
        <f>VLOOKUP(A36,'Data Vlaue (Cr)'!C31:CW245,99,0)</f>
        <v>7696</v>
      </c>
      <c r="C36" s="90">
        <f>VLOOKUP(A36,'Data Vlaue (Cr)'!C31:CY245,101,0)</f>
        <v>331</v>
      </c>
      <c r="D36" s="139">
        <f>VLOOKUP(A36,'Data Vlaue (Cr)'!C31:CZ245,102,0)</f>
        <v>4.4900000000000002E-2</v>
      </c>
      <c r="E36" s="91">
        <f>VLOOKUP($A36,'Data Vlaue (Cr)'!$C:$FB,75)</f>
        <v>5015</v>
      </c>
      <c r="F36" s="91">
        <f>VLOOKUP($A36,'Data Vlaue (Cr)'!$C:$FB,77)</f>
        <v>71</v>
      </c>
      <c r="G36" s="92">
        <f>VLOOKUP(A36,'Data Vlaue (Cr)'!C31:CB245,78,0)</f>
        <v>1.4500000000000001E-2</v>
      </c>
      <c r="H36" s="91">
        <f>VLOOKUP($A36,'Data Vlaue (Cr)'!$C:$FB,91)</f>
        <v>1645</v>
      </c>
      <c r="I36" s="91">
        <f>VLOOKUP($A36,'Data Vlaue (Cr)'!$C:$FB,93)</f>
        <v>182</v>
      </c>
      <c r="J36" s="92">
        <f>VLOOKUP($A36,'Data Vlaue (Cr)'!$C:$FB,94)</f>
        <v>0.1245</v>
      </c>
      <c r="K36" s="91">
        <f>VLOOKUP($A36,'Data Vlaue (Cr)'!$C:$FB,95)</f>
        <v>1035</v>
      </c>
      <c r="L36" s="91">
        <f>VLOOKUP($A36,'Data Vlaue (Cr)'!$C:$FB,97)</f>
        <v>77</v>
      </c>
      <c r="M36" s="92">
        <f>VLOOKUP($A36,'Data Vlaue (Cr)'!$C:$FB,98)</f>
        <v>8.0399999999999999E-2</v>
      </c>
      <c r="N36" s="91">
        <f>VLOOKUP($A36,'Data Vlaue (Cr)'!$C:$FB,79)</f>
        <v>4409</v>
      </c>
      <c r="O36" s="92">
        <f>VLOOKUP($A36,'Data Vlaue (Cr)'!$C:$FB,82)</f>
        <v>1.0800000000000001E-2</v>
      </c>
    </row>
    <row r="37" spans="1:15" x14ac:dyDescent="0.25">
      <c r="A37" s="97" t="str">
        <f>'Data Vlaue (Cr)'!C32</f>
        <v>BHARATFORG</v>
      </c>
      <c r="B37" s="142">
        <f>VLOOKUP(A37,'Data Vlaue (Cr)'!C32:CW246,99,0)</f>
        <v>2119</v>
      </c>
      <c r="C37" s="90">
        <f>VLOOKUP(A37,'Data Vlaue (Cr)'!C32:CY246,101,0)</f>
        <v>151</v>
      </c>
      <c r="D37" s="139">
        <f>VLOOKUP(A37,'Data Vlaue (Cr)'!C32:CZ246,102,0)</f>
        <v>7.6499999999999999E-2</v>
      </c>
      <c r="E37" s="91">
        <f>VLOOKUP($A37,'Data Vlaue (Cr)'!$C:$FB,75)</f>
        <v>1389</v>
      </c>
      <c r="F37" s="91">
        <f>VLOOKUP($A37,'Data Vlaue (Cr)'!$C:$FB,77)</f>
        <v>0</v>
      </c>
      <c r="G37" s="92">
        <f>VLOOKUP(A37,'Data Vlaue (Cr)'!C32:CB246,78,0)</f>
        <v>2.9999999999999997E-4</v>
      </c>
      <c r="H37" s="91">
        <f>VLOOKUP($A37,'Data Vlaue (Cr)'!$C:$FB,91)</f>
        <v>444</v>
      </c>
      <c r="I37" s="91">
        <f>VLOOKUP($A37,'Data Vlaue (Cr)'!$C:$FB,93)</f>
        <v>118</v>
      </c>
      <c r="J37" s="92">
        <f>VLOOKUP($A37,'Data Vlaue (Cr)'!$C:$FB,94)</f>
        <v>0.36370000000000002</v>
      </c>
      <c r="K37" s="91">
        <f>VLOOKUP($A37,'Data Vlaue (Cr)'!$C:$FB,95)</f>
        <v>286</v>
      </c>
      <c r="L37" s="91">
        <f>VLOOKUP($A37,'Data Vlaue (Cr)'!$C:$FB,97)</f>
        <v>32</v>
      </c>
      <c r="M37" s="92">
        <f>VLOOKUP($A37,'Data Vlaue (Cr)'!$C:$FB,98)</f>
        <v>0.12520000000000001</v>
      </c>
      <c r="N37" s="91">
        <f>VLOOKUP($A37,'Data Vlaue (Cr)'!$C:$FB,79)</f>
        <v>1374</v>
      </c>
      <c r="O37" s="92">
        <f>VLOOKUP($A37,'Data Vlaue (Cr)'!$C:$FB,82)</f>
        <v>-1.5E-3</v>
      </c>
    </row>
    <row r="38" spans="1:15" x14ac:dyDescent="0.25">
      <c r="A38" s="97" t="str">
        <f>'Data Vlaue (Cr)'!C33</f>
        <v>BHARTIARTL</v>
      </c>
      <c r="B38" s="142">
        <f>VLOOKUP(A38,'Data Vlaue (Cr)'!C33:CW247,99,0)</f>
        <v>14160</v>
      </c>
      <c r="C38" s="90">
        <f>VLOOKUP(A38,'Data Vlaue (Cr)'!C33:CY247,101,0)</f>
        <v>1289</v>
      </c>
      <c r="D38" s="139">
        <f>VLOOKUP(A38,'Data Vlaue (Cr)'!C33:CZ247,102,0)</f>
        <v>0.10009999999999999</v>
      </c>
      <c r="E38" s="91">
        <f>VLOOKUP($A38,'Data Vlaue (Cr)'!$C:$FB,75)</f>
        <v>11037</v>
      </c>
      <c r="F38" s="91">
        <f>VLOOKUP($A38,'Data Vlaue (Cr)'!$C:$FB,77)</f>
        <v>416</v>
      </c>
      <c r="G38" s="92">
        <f>VLOOKUP(A38,'Data Vlaue (Cr)'!C33:CB247,78,0)</f>
        <v>3.9199999999999999E-2</v>
      </c>
      <c r="H38" s="91">
        <f>VLOOKUP($A38,'Data Vlaue (Cr)'!$C:$FB,91)</f>
        <v>1916</v>
      </c>
      <c r="I38" s="91">
        <f>VLOOKUP($A38,'Data Vlaue (Cr)'!$C:$FB,93)</f>
        <v>685</v>
      </c>
      <c r="J38" s="92">
        <f>VLOOKUP($A38,'Data Vlaue (Cr)'!$C:$FB,94)</f>
        <v>0.55600000000000005</v>
      </c>
      <c r="K38" s="91">
        <f>VLOOKUP($A38,'Data Vlaue (Cr)'!$C:$FB,95)</f>
        <v>1207</v>
      </c>
      <c r="L38" s="91">
        <f>VLOOKUP($A38,'Data Vlaue (Cr)'!$C:$FB,97)</f>
        <v>188</v>
      </c>
      <c r="M38" s="92">
        <f>VLOOKUP($A38,'Data Vlaue (Cr)'!$C:$FB,98)</f>
        <v>0.1842</v>
      </c>
      <c r="N38" s="91">
        <f>VLOOKUP($A38,'Data Vlaue (Cr)'!$C:$FB,79)</f>
        <v>9181</v>
      </c>
      <c r="O38" s="92">
        <f>VLOOKUP($A38,'Data Vlaue (Cr)'!$C:$FB,82)</f>
        <v>3.1099999999999999E-2</v>
      </c>
    </row>
    <row r="39" spans="1:15" x14ac:dyDescent="0.25">
      <c r="A39" s="97" t="str">
        <f>'Data Vlaue (Cr)'!C34</f>
        <v>BHEL</v>
      </c>
      <c r="B39" s="142">
        <f>VLOOKUP(A39,'Data Vlaue (Cr)'!C34:CW248,99,0)</f>
        <v>8762</v>
      </c>
      <c r="C39" s="90">
        <f>VLOOKUP(A39,'Data Vlaue (Cr)'!C34:CY248,101,0)</f>
        <v>2288</v>
      </c>
      <c r="D39" s="139">
        <f>VLOOKUP(A39,'Data Vlaue (Cr)'!C34:CZ248,102,0)</f>
        <v>0.3533</v>
      </c>
      <c r="E39" s="91">
        <f>VLOOKUP($A39,'Data Vlaue (Cr)'!$C:$FB,75)</f>
        <v>5241</v>
      </c>
      <c r="F39" s="91">
        <f>VLOOKUP($A39,'Data Vlaue (Cr)'!$C:$FB,77)</f>
        <v>562</v>
      </c>
      <c r="G39" s="92">
        <f>VLOOKUP(A39,'Data Vlaue (Cr)'!C34:CB248,78,0)</f>
        <v>0.1202</v>
      </c>
      <c r="H39" s="91">
        <f>VLOOKUP($A39,'Data Vlaue (Cr)'!$C:$FB,91)</f>
        <v>1932</v>
      </c>
      <c r="I39" s="91">
        <f>VLOOKUP($A39,'Data Vlaue (Cr)'!$C:$FB,93)</f>
        <v>1004</v>
      </c>
      <c r="J39" s="92">
        <f>VLOOKUP($A39,'Data Vlaue (Cr)'!$C:$FB,94)</f>
        <v>1.0817000000000001</v>
      </c>
      <c r="K39" s="91">
        <f>VLOOKUP($A39,'Data Vlaue (Cr)'!$C:$FB,95)</f>
        <v>1589</v>
      </c>
      <c r="L39" s="91">
        <f>VLOOKUP($A39,'Data Vlaue (Cr)'!$C:$FB,97)</f>
        <v>722</v>
      </c>
      <c r="M39" s="92">
        <f>VLOOKUP($A39,'Data Vlaue (Cr)'!$C:$FB,98)</f>
        <v>0.83160000000000001</v>
      </c>
      <c r="N39" s="91">
        <f>VLOOKUP($A39,'Data Vlaue (Cr)'!$C:$FB,79)</f>
        <v>5069</v>
      </c>
      <c r="O39" s="92">
        <f>VLOOKUP($A39,'Data Vlaue (Cr)'!$C:$FB,82)</f>
        <v>0.1145</v>
      </c>
    </row>
    <row r="40" spans="1:15" x14ac:dyDescent="0.25">
      <c r="A40" s="97" t="str">
        <f>'Data Vlaue (Cr)'!C35</f>
        <v>BIOCON</v>
      </c>
      <c r="B40" s="142">
        <f>VLOOKUP(A40,'Data Vlaue (Cr)'!C35:CW249,99,0)</f>
        <v>2386</v>
      </c>
      <c r="C40" s="90">
        <f>VLOOKUP(A40,'Data Vlaue (Cr)'!C35:CY249,101,0)</f>
        <v>16</v>
      </c>
      <c r="D40" s="139">
        <f>VLOOKUP(A40,'Data Vlaue (Cr)'!C35:CZ249,102,0)</f>
        <v>6.6E-3</v>
      </c>
      <c r="E40" s="91">
        <f>VLOOKUP($A40,'Data Vlaue (Cr)'!$C:$FB,75)</f>
        <v>1139</v>
      </c>
      <c r="F40" s="91">
        <f>VLOOKUP($A40,'Data Vlaue (Cr)'!$C:$FB,77)</f>
        <v>4</v>
      </c>
      <c r="G40" s="92">
        <f>VLOOKUP(A40,'Data Vlaue (Cr)'!C35:CB249,78,0)</f>
        <v>3.5999999999999999E-3</v>
      </c>
      <c r="H40" s="91">
        <f>VLOOKUP($A40,'Data Vlaue (Cr)'!$C:$FB,91)</f>
        <v>848</v>
      </c>
      <c r="I40" s="91">
        <f>VLOOKUP($A40,'Data Vlaue (Cr)'!$C:$FB,93)</f>
        <v>8</v>
      </c>
      <c r="J40" s="92">
        <f>VLOOKUP($A40,'Data Vlaue (Cr)'!$C:$FB,94)</f>
        <v>8.9999999999999993E-3</v>
      </c>
      <c r="K40" s="91">
        <f>VLOOKUP($A40,'Data Vlaue (Cr)'!$C:$FB,95)</f>
        <v>398</v>
      </c>
      <c r="L40" s="91">
        <f>VLOOKUP($A40,'Data Vlaue (Cr)'!$C:$FB,97)</f>
        <v>4</v>
      </c>
      <c r="M40" s="92">
        <f>VLOOKUP($A40,'Data Vlaue (Cr)'!$C:$FB,98)</f>
        <v>1.01E-2</v>
      </c>
      <c r="N40" s="91">
        <f>VLOOKUP($A40,'Data Vlaue (Cr)'!$C:$FB,79)</f>
        <v>1113</v>
      </c>
      <c r="O40" s="92">
        <f>VLOOKUP($A40,'Data Vlaue (Cr)'!$C:$FB,82)</f>
        <v>3.8999999999999998E-3</v>
      </c>
    </row>
    <row r="41" spans="1:15" x14ac:dyDescent="0.25">
      <c r="A41" s="97" t="str">
        <f>'Data Vlaue (Cr)'!C36</f>
        <v>BLUESTARCO</v>
      </c>
      <c r="B41" s="142">
        <f>VLOOKUP(A41,'Data Vlaue (Cr)'!C36:CW250,99,0)</f>
        <v>806</v>
      </c>
      <c r="C41" s="90">
        <f>VLOOKUP(A41,'Data Vlaue (Cr)'!C36:CY250,101,0)</f>
        <v>-5</v>
      </c>
      <c r="D41" s="139">
        <f>VLOOKUP(A41,'Data Vlaue (Cr)'!C36:CZ250,102,0)</f>
        <v>-6.6E-3</v>
      </c>
      <c r="E41" s="91">
        <f>VLOOKUP($A41,'Data Vlaue (Cr)'!$C:$FB,75)</f>
        <v>510</v>
      </c>
      <c r="F41" s="91">
        <f>VLOOKUP($A41,'Data Vlaue (Cr)'!$C:$FB,77)</f>
        <v>-24</v>
      </c>
      <c r="G41" s="92">
        <f>VLOOKUP(A41,'Data Vlaue (Cr)'!C36:CB250,78,0)</f>
        <v>-4.58E-2</v>
      </c>
      <c r="H41" s="91">
        <f>VLOOKUP($A41,'Data Vlaue (Cr)'!$C:$FB,91)</f>
        <v>175</v>
      </c>
      <c r="I41" s="91">
        <f>VLOOKUP($A41,'Data Vlaue (Cr)'!$C:$FB,93)</f>
        <v>8</v>
      </c>
      <c r="J41" s="92">
        <f>VLOOKUP($A41,'Data Vlaue (Cr)'!$C:$FB,94)</f>
        <v>4.6600000000000003E-2</v>
      </c>
      <c r="K41" s="91">
        <f>VLOOKUP($A41,'Data Vlaue (Cr)'!$C:$FB,95)</f>
        <v>122</v>
      </c>
      <c r="L41" s="91">
        <f>VLOOKUP($A41,'Data Vlaue (Cr)'!$C:$FB,97)</f>
        <v>11</v>
      </c>
      <c r="M41" s="92">
        <f>VLOOKUP($A41,'Data Vlaue (Cr)'!$C:$FB,98)</f>
        <v>0.1031</v>
      </c>
      <c r="N41" s="91">
        <f>VLOOKUP($A41,'Data Vlaue (Cr)'!$C:$FB,79)</f>
        <v>497</v>
      </c>
      <c r="O41" s="92">
        <f>VLOOKUP($A41,'Data Vlaue (Cr)'!$C:$FB,82)</f>
        <v>-4.9000000000000002E-2</v>
      </c>
    </row>
    <row r="42" spans="1:15" x14ac:dyDescent="0.25">
      <c r="A42" s="97" t="str">
        <f>'Data Vlaue (Cr)'!C37</f>
        <v>BOSCHLTD</v>
      </c>
      <c r="B42" s="142">
        <f>VLOOKUP(A42,'Data Vlaue (Cr)'!C37:CW251,99,0)</f>
        <v>1170</v>
      </c>
      <c r="C42" s="90">
        <f>VLOOKUP(A42,'Data Vlaue (Cr)'!C37:CY251,101,0)</f>
        <v>68</v>
      </c>
      <c r="D42" s="139">
        <f>VLOOKUP(A42,'Data Vlaue (Cr)'!C37:CZ251,102,0)</f>
        <v>6.1499999999999999E-2</v>
      </c>
      <c r="E42" s="91">
        <f>VLOOKUP($A42,'Data Vlaue (Cr)'!$C:$FB,75)</f>
        <v>891</v>
      </c>
      <c r="F42" s="91">
        <f>VLOOKUP($A42,'Data Vlaue (Cr)'!$C:$FB,77)</f>
        <v>1</v>
      </c>
      <c r="G42" s="92">
        <f>VLOOKUP(A42,'Data Vlaue (Cr)'!C37:CB251,78,0)</f>
        <v>6.9999999999999999E-4</v>
      </c>
      <c r="H42" s="91">
        <f>VLOOKUP($A42,'Data Vlaue (Cr)'!$C:$FB,91)</f>
        <v>156</v>
      </c>
      <c r="I42" s="91">
        <f>VLOOKUP($A42,'Data Vlaue (Cr)'!$C:$FB,93)</f>
        <v>38</v>
      </c>
      <c r="J42" s="92">
        <f>VLOOKUP($A42,'Data Vlaue (Cr)'!$C:$FB,94)</f>
        <v>0.32340000000000002</v>
      </c>
      <c r="K42" s="91">
        <f>VLOOKUP($A42,'Data Vlaue (Cr)'!$C:$FB,95)</f>
        <v>124</v>
      </c>
      <c r="L42" s="91">
        <f>VLOOKUP($A42,'Data Vlaue (Cr)'!$C:$FB,97)</f>
        <v>29</v>
      </c>
      <c r="M42" s="92">
        <f>VLOOKUP($A42,'Data Vlaue (Cr)'!$C:$FB,98)</f>
        <v>0.30830000000000002</v>
      </c>
      <c r="N42" s="91">
        <f>VLOOKUP($A42,'Data Vlaue (Cr)'!$C:$FB,79)</f>
        <v>881</v>
      </c>
      <c r="O42" s="92">
        <f>VLOOKUP($A42,'Data Vlaue (Cr)'!$C:$FB,82)</f>
        <v>-1.8E-3</v>
      </c>
    </row>
    <row r="43" spans="1:15" x14ac:dyDescent="0.25">
      <c r="A43" s="97" t="str">
        <f>'Data Vlaue (Cr)'!C38</f>
        <v>BPCL</v>
      </c>
      <c r="B43" s="142">
        <f>VLOOKUP(A43,'Data Vlaue (Cr)'!C38:CW252,99,0)</f>
        <v>2592</v>
      </c>
      <c r="C43" s="90">
        <f>VLOOKUP(A43,'Data Vlaue (Cr)'!C38:CY252,101,0)</f>
        <v>159</v>
      </c>
      <c r="D43" s="139">
        <f>VLOOKUP(A43,'Data Vlaue (Cr)'!C38:CZ252,102,0)</f>
        <v>6.54E-2</v>
      </c>
      <c r="E43" s="91">
        <f>VLOOKUP($A43,'Data Vlaue (Cr)'!$C:$FB,75)</f>
        <v>1657</v>
      </c>
      <c r="F43" s="91">
        <f>VLOOKUP($A43,'Data Vlaue (Cr)'!$C:$FB,77)</f>
        <v>29</v>
      </c>
      <c r="G43" s="92">
        <f>VLOOKUP(A43,'Data Vlaue (Cr)'!C38:CB252,78,0)</f>
        <v>1.78E-2</v>
      </c>
      <c r="H43" s="91">
        <f>VLOOKUP($A43,'Data Vlaue (Cr)'!$C:$FB,91)</f>
        <v>570</v>
      </c>
      <c r="I43" s="91">
        <f>VLOOKUP($A43,'Data Vlaue (Cr)'!$C:$FB,93)</f>
        <v>64</v>
      </c>
      <c r="J43" s="92">
        <f>VLOOKUP($A43,'Data Vlaue (Cr)'!$C:$FB,94)</f>
        <v>0.12720000000000001</v>
      </c>
      <c r="K43" s="91">
        <f>VLOOKUP($A43,'Data Vlaue (Cr)'!$C:$FB,95)</f>
        <v>364</v>
      </c>
      <c r="L43" s="91">
        <f>VLOOKUP($A43,'Data Vlaue (Cr)'!$C:$FB,97)</f>
        <v>66</v>
      </c>
      <c r="M43" s="92">
        <f>VLOOKUP($A43,'Data Vlaue (Cr)'!$C:$FB,98)</f>
        <v>0.21970000000000001</v>
      </c>
      <c r="N43" s="91">
        <f>VLOOKUP($A43,'Data Vlaue (Cr)'!$C:$FB,79)</f>
        <v>1507</v>
      </c>
      <c r="O43" s="92">
        <f>VLOOKUP($A43,'Data Vlaue (Cr)'!$C:$FB,82)</f>
        <v>1.8700000000000001E-2</v>
      </c>
    </row>
    <row r="44" spans="1:15" x14ac:dyDescent="0.25">
      <c r="A44" s="97" t="str">
        <f>'Data Vlaue (Cr)'!C39</f>
        <v>BRITANNIA</v>
      </c>
      <c r="B44" s="142">
        <f>VLOOKUP(A44,'Data Vlaue (Cr)'!C39:CW253,99,0)</f>
        <v>2249</v>
      </c>
      <c r="C44" s="90">
        <f>VLOOKUP(A44,'Data Vlaue (Cr)'!C39:CY253,101,0)</f>
        <v>97</v>
      </c>
      <c r="D44" s="139">
        <f>VLOOKUP(A44,'Data Vlaue (Cr)'!C39:CZ253,102,0)</f>
        <v>4.5199999999999997E-2</v>
      </c>
      <c r="E44" s="91">
        <f>VLOOKUP($A44,'Data Vlaue (Cr)'!$C:$FB,75)</f>
        <v>1598</v>
      </c>
      <c r="F44" s="91">
        <f>VLOOKUP($A44,'Data Vlaue (Cr)'!$C:$FB,77)</f>
        <v>-3</v>
      </c>
      <c r="G44" s="92">
        <f>VLOOKUP(A44,'Data Vlaue (Cr)'!C39:CB253,78,0)</f>
        <v>-2.0999999999999999E-3</v>
      </c>
      <c r="H44" s="91">
        <f>VLOOKUP($A44,'Data Vlaue (Cr)'!$C:$FB,91)</f>
        <v>376</v>
      </c>
      <c r="I44" s="91">
        <f>VLOOKUP($A44,'Data Vlaue (Cr)'!$C:$FB,93)</f>
        <v>65</v>
      </c>
      <c r="J44" s="92">
        <f>VLOOKUP($A44,'Data Vlaue (Cr)'!$C:$FB,94)</f>
        <v>0.2072</v>
      </c>
      <c r="K44" s="91">
        <f>VLOOKUP($A44,'Data Vlaue (Cr)'!$C:$FB,95)</f>
        <v>274</v>
      </c>
      <c r="L44" s="91">
        <f>VLOOKUP($A44,'Data Vlaue (Cr)'!$C:$FB,97)</f>
        <v>36</v>
      </c>
      <c r="M44" s="92">
        <f>VLOOKUP($A44,'Data Vlaue (Cr)'!$C:$FB,98)</f>
        <v>0.15129999999999999</v>
      </c>
      <c r="N44" s="91">
        <f>VLOOKUP($A44,'Data Vlaue (Cr)'!$C:$FB,79)</f>
        <v>1403</v>
      </c>
      <c r="O44" s="92">
        <f>VLOOKUP($A44,'Data Vlaue (Cr)'!$C:$FB,82)</f>
        <v>-2.5000000000000001E-3</v>
      </c>
    </row>
    <row r="45" spans="1:15" x14ac:dyDescent="0.25">
      <c r="A45" s="97" t="str">
        <f>'Data Vlaue (Cr)'!C40</f>
        <v>BSE</v>
      </c>
      <c r="B45" s="142">
        <f>VLOOKUP(A45,'Data Vlaue (Cr)'!C40:CW254,99,0)</f>
        <v>6092</v>
      </c>
      <c r="C45" s="90">
        <f>VLOOKUP(A45,'Data Vlaue (Cr)'!C40:CY254,101,0)</f>
        <v>329</v>
      </c>
      <c r="D45" s="139">
        <f>VLOOKUP(A45,'Data Vlaue (Cr)'!C40:CZ254,102,0)</f>
        <v>5.7099999999999998E-2</v>
      </c>
      <c r="E45" s="91">
        <f>VLOOKUP($A45,'Data Vlaue (Cr)'!$C:$FB,75)</f>
        <v>2801</v>
      </c>
      <c r="F45" s="91">
        <f>VLOOKUP($A45,'Data Vlaue (Cr)'!$C:$FB,77)</f>
        <v>7</v>
      </c>
      <c r="G45" s="92">
        <f>VLOOKUP(A45,'Data Vlaue (Cr)'!C40:CB254,78,0)</f>
        <v>2.7000000000000001E-3</v>
      </c>
      <c r="H45" s="91">
        <f>VLOOKUP($A45,'Data Vlaue (Cr)'!$C:$FB,91)</f>
        <v>1799</v>
      </c>
      <c r="I45" s="91">
        <f>VLOOKUP($A45,'Data Vlaue (Cr)'!$C:$FB,93)</f>
        <v>243</v>
      </c>
      <c r="J45" s="92">
        <f>VLOOKUP($A45,'Data Vlaue (Cr)'!$C:$FB,94)</f>
        <v>0.15629999999999999</v>
      </c>
      <c r="K45" s="91">
        <f>VLOOKUP($A45,'Data Vlaue (Cr)'!$C:$FB,95)</f>
        <v>1492</v>
      </c>
      <c r="L45" s="91">
        <f>VLOOKUP($A45,'Data Vlaue (Cr)'!$C:$FB,97)</f>
        <v>78</v>
      </c>
      <c r="M45" s="92">
        <f>VLOOKUP($A45,'Data Vlaue (Cr)'!$C:$FB,98)</f>
        <v>5.5300000000000002E-2</v>
      </c>
      <c r="N45" s="91">
        <f>VLOOKUP($A45,'Data Vlaue (Cr)'!$C:$FB,79)</f>
        <v>2573</v>
      </c>
      <c r="O45" s="92">
        <f>VLOOKUP($A45,'Data Vlaue (Cr)'!$C:$FB,82)</f>
        <v>-1.8E-3</v>
      </c>
    </row>
    <row r="46" spans="1:15" x14ac:dyDescent="0.25">
      <c r="A46" s="97" t="str">
        <f>'Data Vlaue (Cr)'!C41</f>
        <v>CAMS</v>
      </c>
      <c r="B46" s="142">
        <f>VLOOKUP(A46,'Data Vlaue (Cr)'!C41:CW255,99,0)</f>
        <v>911</v>
      </c>
      <c r="C46" s="90">
        <f>VLOOKUP(A46,'Data Vlaue (Cr)'!C41:CY255,101,0)</f>
        <v>155</v>
      </c>
      <c r="D46" s="139">
        <f>VLOOKUP(A46,'Data Vlaue (Cr)'!C41:CZ255,102,0)</f>
        <v>0.20499999999999999</v>
      </c>
      <c r="E46" s="91">
        <f>VLOOKUP($A46,'Data Vlaue (Cr)'!$C:$FB,75)</f>
        <v>544</v>
      </c>
      <c r="F46" s="91">
        <f>VLOOKUP($A46,'Data Vlaue (Cr)'!$C:$FB,77)</f>
        <v>1</v>
      </c>
      <c r="G46" s="92">
        <f>VLOOKUP(A46,'Data Vlaue (Cr)'!C41:CB255,78,0)</f>
        <v>2.7000000000000001E-3</v>
      </c>
      <c r="H46" s="91">
        <f>VLOOKUP($A46,'Data Vlaue (Cr)'!$C:$FB,91)</f>
        <v>199</v>
      </c>
      <c r="I46" s="91">
        <f>VLOOKUP($A46,'Data Vlaue (Cr)'!$C:$FB,93)</f>
        <v>83</v>
      </c>
      <c r="J46" s="92">
        <f>VLOOKUP($A46,'Data Vlaue (Cr)'!$C:$FB,94)</f>
        <v>0.71719999999999995</v>
      </c>
      <c r="K46" s="91">
        <f>VLOOKUP($A46,'Data Vlaue (Cr)'!$C:$FB,95)</f>
        <v>168</v>
      </c>
      <c r="L46" s="91">
        <f>VLOOKUP($A46,'Data Vlaue (Cr)'!$C:$FB,97)</f>
        <v>71</v>
      </c>
      <c r="M46" s="92">
        <f>VLOOKUP($A46,'Data Vlaue (Cr)'!$C:$FB,98)</f>
        <v>0.7198</v>
      </c>
      <c r="N46" s="91">
        <f>VLOOKUP($A46,'Data Vlaue (Cr)'!$C:$FB,79)</f>
        <v>511</v>
      </c>
      <c r="O46" s="92">
        <f>VLOOKUP($A46,'Data Vlaue (Cr)'!$C:$FB,82)</f>
        <v>-1E-4</v>
      </c>
    </row>
    <row r="47" spans="1:15" x14ac:dyDescent="0.25">
      <c r="A47" s="97" t="str">
        <f>'Data Vlaue (Cr)'!C42</f>
        <v>CANBK</v>
      </c>
      <c r="B47" s="142">
        <f>VLOOKUP(A47,'Data Vlaue (Cr)'!C42:CW256,99,0)</f>
        <v>4672</v>
      </c>
      <c r="C47" s="90">
        <f>VLOOKUP(A47,'Data Vlaue (Cr)'!C42:CY256,101,0)</f>
        <v>231</v>
      </c>
      <c r="D47" s="139">
        <f>VLOOKUP(A47,'Data Vlaue (Cr)'!C42:CZ256,102,0)</f>
        <v>5.21E-2</v>
      </c>
      <c r="E47" s="91">
        <f>VLOOKUP($A47,'Data Vlaue (Cr)'!$C:$FB,75)</f>
        <v>2973</v>
      </c>
      <c r="F47" s="91">
        <f>VLOOKUP($A47,'Data Vlaue (Cr)'!$C:$FB,77)</f>
        <v>49</v>
      </c>
      <c r="G47" s="92">
        <f>VLOOKUP(A47,'Data Vlaue (Cr)'!C42:CB256,78,0)</f>
        <v>1.66E-2</v>
      </c>
      <c r="H47" s="91">
        <f>VLOOKUP($A47,'Data Vlaue (Cr)'!$C:$FB,91)</f>
        <v>858</v>
      </c>
      <c r="I47" s="91">
        <f>VLOOKUP($A47,'Data Vlaue (Cr)'!$C:$FB,93)</f>
        <v>113</v>
      </c>
      <c r="J47" s="92">
        <f>VLOOKUP($A47,'Data Vlaue (Cr)'!$C:$FB,94)</f>
        <v>0.1522</v>
      </c>
      <c r="K47" s="91">
        <f>VLOOKUP($A47,'Data Vlaue (Cr)'!$C:$FB,95)</f>
        <v>841</v>
      </c>
      <c r="L47" s="91">
        <f>VLOOKUP($A47,'Data Vlaue (Cr)'!$C:$FB,97)</f>
        <v>69</v>
      </c>
      <c r="M47" s="92">
        <f>VLOOKUP($A47,'Data Vlaue (Cr)'!$C:$FB,98)</f>
        <v>8.9899999999999994E-2</v>
      </c>
      <c r="N47" s="91">
        <f>VLOOKUP($A47,'Data Vlaue (Cr)'!$C:$FB,79)</f>
        <v>2673</v>
      </c>
      <c r="O47" s="92">
        <f>VLOOKUP($A47,'Data Vlaue (Cr)'!$C:$FB,82)</f>
        <v>1.34E-2</v>
      </c>
    </row>
    <row r="48" spans="1:15" x14ac:dyDescent="0.25">
      <c r="A48" s="97" t="str">
        <f>'Data Vlaue (Cr)'!C43</f>
        <v>CDSL</v>
      </c>
      <c r="B48" s="142">
        <f>VLOOKUP(A48,'Data Vlaue (Cr)'!C43:CW257,99,0)</f>
        <v>2848</v>
      </c>
      <c r="C48" s="90">
        <f>VLOOKUP(A48,'Data Vlaue (Cr)'!C43:CY257,101,0)</f>
        <v>326</v>
      </c>
      <c r="D48" s="139">
        <f>VLOOKUP(A48,'Data Vlaue (Cr)'!C43:CZ257,102,0)</f>
        <v>0.1295</v>
      </c>
      <c r="E48" s="91">
        <f>VLOOKUP($A48,'Data Vlaue (Cr)'!$C:$FB,75)</f>
        <v>1539</v>
      </c>
      <c r="F48" s="91">
        <f>VLOOKUP($A48,'Data Vlaue (Cr)'!$C:$FB,77)</f>
        <v>88</v>
      </c>
      <c r="G48" s="92">
        <f>VLOOKUP(A48,'Data Vlaue (Cr)'!C43:CB257,78,0)</f>
        <v>6.0999999999999999E-2</v>
      </c>
      <c r="H48" s="91">
        <f>VLOOKUP($A48,'Data Vlaue (Cr)'!$C:$FB,91)</f>
        <v>752</v>
      </c>
      <c r="I48" s="91">
        <f>VLOOKUP($A48,'Data Vlaue (Cr)'!$C:$FB,93)</f>
        <v>195</v>
      </c>
      <c r="J48" s="92">
        <f>VLOOKUP($A48,'Data Vlaue (Cr)'!$C:$FB,94)</f>
        <v>0.35110000000000002</v>
      </c>
      <c r="K48" s="91">
        <f>VLOOKUP($A48,'Data Vlaue (Cr)'!$C:$FB,95)</f>
        <v>557</v>
      </c>
      <c r="L48" s="91">
        <f>VLOOKUP($A48,'Data Vlaue (Cr)'!$C:$FB,97)</f>
        <v>43</v>
      </c>
      <c r="M48" s="92">
        <f>VLOOKUP($A48,'Data Vlaue (Cr)'!$C:$FB,98)</f>
        <v>8.2699999999999996E-2</v>
      </c>
      <c r="N48" s="91">
        <f>VLOOKUP($A48,'Data Vlaue (Cr)'!$C:$FB,79)</f>
        <v>1363</v>
      </c>
      <c r="O48" s="92">
        <f>VLOOKUP($A48,'Data Vlaue (Cr)'!$C:$FB,82)</f>
        <v>5.0799999999999998E-2</v>
      </c>
    </row>
    <row r="49" spans="1:15" x14ac:dyDescent="0.25">
      <c r="A49" s="97" t="str">
        <f>'Data Vlaue (Cr)'!C44</f>
        <v>CGPOWER</v>
      </c>
      <c r="B49" s="142">
        <f>VLOOKUP(A49,'Data Vlaue (Cr)'!C44:CW258,99,0)</f>
        <v>2222</v>
      </c>
      <c r="C49" s="90">
        <f>VLOOKUP(A49,'Data Vlaue (Cr)'!C44:CY258,101,0)</f>
        <v>132</v>
      </c>
      <c r="D49" s="139">
        <f>VLOOKUP(A49,'Data Vlaue (Cr)'!C44:CZ258,102,0)</f>
        <v>6.3299999999999995E-2</v>
      </c>
      <c r="E49" s="91">
        <f>VLOOKUP($A49,'Data Vlaue (Cr)'!$C:$FB,75)</f>
        <v>1785</v>
      </c>
      <c r="F49" s="91">
        <f>VLOOKUP($A49,'Data Vlaue (Cr)'!$C:$FB,77)</f>
        <v>29</v>
      </c>
      <c r="G49" s="92">
        <f>VLOOKUP(A49,'Data Vlaue (Cr)'!C44:CB258,78,0)</f>
        <v>1.6799999999999999E-2</v>
      </c>
      <c r="H49" s="91">
        <f>VLOOKUP($A49,'Data Vlaue (Cr)'!$C:$FB,91)</f>
        <v>267</v>
      </c>
      <c r="I49" s="91">
        <f>VLOOKUP($A49,'Data Vlaue (Cr)'!$C:$FB,93)</f>
        <v>84</v>
      </c>
      <c r="J49" s="92">
        <f>VLOOKUP($A49,'Data Vlaue (Cr)'!$C:$FB,94)</f>
        <v>0.4587</v>
      </c>
      <c r="K49" s="91">
        <f>VLOOKUP($A49,'Data Vlaue (Cr)'!$C:$FB,95)</f>
        <v>170</v>
      </c>
      <c r="L49" s="91">
        <f>VLOOKUP($A49,'Data Vlaue (Cr)'!$C:$FB,97)</f>
        <v>19</v>
      </c>
      <c r="M49" s="92">
        <f>VLOOKUP($A49,'Data Vlaue (Cr)'!$C:$FB,98)</f>
        <v>0.1245</v>
      </c>
      <c r="N49" s="91">
        <f>VLOOKUP($A49,'Data Vlaue (Cr)'!$C:$FB,79)</f>
        <v>1562</v>
      </c>
      <c r="O49" s="92">
        <f>VLOOKUP($A49,'Data Vlaue (Cr)'!$C:$FB,82)</f>
        <v>1.66E-2</v>
      </c>
    </row>
    <row r="50" spans="1:15" x14ac:dyDescent="0.25">
      <c r="A50" s="97" t="str">
        <f>'Data Vlaue (Cr)'!C45</f>
        <v>CHOLAFIN</v>
      </c>
      <c r="B50" s="142">
        <f>VLOOKUP(A50,'Data Vlaue (Cr)'!C45:CW259,99,0)</f>
        <v>3992</v>
      </c>
      <c r="C50" s="90">
        <f>VLOOKUP(A50,'Data Vlaue (Cr)'!C45:CY259,101,0)</f>
        <v>-19</v>
      </c>
      <c r="D50" s="139">
        <f>VLOOKUP(A50,'Data Vlaue (Cr)'!C45:CZ259,102,0)</f>
        <v>-4.5999999999999999E-3</v>
      </c>
      <c r="E50" s="91">
        <f>VLOOKUP($A50,'Data Vlaue (Cr)'!$C:$FB,75)</f>
        <v>3202</v>
      </c>
      <c r="F50" s="91">
        <f>VLOOKUP($A50,'Data Vlaue (Cr)'!$C:$FB,77)</f>
        <v>-70</v>
      </c>
      <c r="G50" s="92">
        <f>VLOOKUP(A50,'Data Vlaue (Cr)'!C45:CB259,78,0)</f>
        <v>-2.1399999999999999E-2</v>
      </c>
      <c r="H50" s="91">
        <f>VLOOKUP($A50,'Data Vlaue (Cr)'!$C:$FB,91)</f>
        <v>425</v>
      </c>
      <c r="I50" s="91">
        <f>VLOOKUP($A50,'Data Vlaue (Cr)'!$C:$FB,93)</f>
        <v>-6</v>
      </c>
      <c r="J50" s="92">
        <f>VLOOKUP($A50,'Data Vlaue (Cr)'!$C:$FB,94)</f>
        <v>-1.29E-2</v>
      </c>
      <c r="K50" s="91">
        <f>VLOOKUP($A50,'Data Vlaue (Cr)'!$C:$FB,95)</f>
        <v>365</v>
      </c>
      <c r="L50" s="91">
        <f>VLOOKUP($A50,'Data Vlaue (Cr)'!$C:$FB,97)</f>
        <v>57</v>
      </c>
      <c r="M50" s="92">
        <f>VLOOKUP($A50,'Data Vlaue (Cr)'!$C:$FB,98)</f>
        <v>0.185</v>
      </c>
      <c r="N50" s="91">
        <f>VLOOKUP($A50,'Data Vlaue (Cr)'!$C:$FB,79)</f>
        <v>3038</v>
      </c>
      <c r="O50" s="92">
        <f>VLOOKUP($A50,'Data Vlaue (Cr)'!$C:$FB,82)</f>
        <v>-2.2200000000000001E-2</v>
      </c>
    </row>
    <row r="51" spans="1:15" x14ac:dyDescent="0.25">
      <c r="A51" s="97" t="str">
        <f>'Data Vlaue (Cr)'!C46</f>
        <v>CIPLA</v>
      </c>
      <c r="B51" s="142">
        <f>VLOOKUP(A51,'Data Vlaue (Cr)'!C46:CW260,99,0)</f>
        <v>2742</v>
      </c>
      <c r="C51" s="90">
        <f>VLOOKUP(A51,'Data Vlaue (Cr)'!C46:CY260,101,0)</f>
        <v>72</v>
      </c>
      <c r="D51" s="139">
        <f>VLOOKUP(A51,'Data Vlaue (Cr)'!C46:CZ260,102,0)</f>
        <v>2.7E-2</v>
      </c>
      <c r="E51" s="91">
        <f>VLOOKUP($A51,'Data Vlaue (Cr)'!$C:$FB,75)</f>
        <v>1837</v>
      </c>
      <c r="F51" s="91">
        <f>VLOOKUP($A51,'Data Vlaue (Cr)'!$C:$FB,77)</f>
        <v>-32</v>
      </c>
      <c r="G51" s="92">
        <f>VLOOKUP(A51,'Data Vlaue (Cr)'!C46:CB260,78,0)</f>
        <v>-1.72E-2</v>
      </c>
      <c r="H51" s="91">
        <f>VLOOKUP($A51,'Data Vlaue (Cr)'!$C:$FB,91)</f>
        <v>535</v>
      </c>
      <c r="I51" s="91">
        <f>VLOOKUP($A51,'Data Vlaue (Cr)'!$C:$FB,93)</f>
        <v>61</v>
      </c>
      <c r="J51" s="92">
        <f>VLOOKUP($A51,'Data Vlaue (Cr)'!$C:$FB,94)</f>
        <v>0.12920000000000001</v>
      </c>
      <c r="K51" s="91">
        <f>VLOOKUP($A51,'Data Vlaue (Cr)'!$C:$FB,95)</f>
        <v>370</v>
      </c>
      <c r="L51" s="91">
        <f>VLOOKUP($A51,'Data Vlaue (Cr)'!$C:$FB,97)</f>
        <v>43</v>
      </c>
      <c r="M51" s="92">
        <f>VLOOKUP($A51,'Data Vlaue (Cr)'!$C:$FB,98)</f>
        <v>0.1318</v>
      </c>
      <c r="N51" s="91">
        <f>VLOOKUP($A51,'Data Vlaue (Cr)'!$C:$FB,79)</f>
        <v>1791</v>
      </c>
      <c r="O51" s="92">
        <f>VLOOKUP($A51,'Data Vlaue (Cr)'!$C:$FB,82)</f>
        <v>-1.9900000000000001E-2</v>
      </c>
    </row>
    <row r="52" spans="1:15" x14ac:dyDescent="0.25">
      <c r="A52" s="97" t="str">
        <f>'Data Vlaue (Cr)'!C47</f>
        <v>COALINDIA</v>
      </c>
      <c r="B52" s="142">
        <f>VLOOKUP(A52,'Data Vlaue (Cr)'!C47:CW261,99,0)</f>
        <v>4629</v>
      </c>
      <c r="C52" s="90">
        <f>VLOOKUP(A52,'Data Vlaue (Cr)'!C47:CY261,101,0)</f>
        <v>3</v>
      </c>
      <c r="D52" s="139">
        <f>VLOOKUP(A52,'Data Vlaue (Cr)'!C47:CZ261,102,0)</f>
        <v>6.9999999999999999E-4</v>
      </c>
      <c r="E52" s="91">
        <f>VLOOKUP($A52,'Data Vlaue (Cr)'!$C:$FB,75)</f>
        <v>2523</v>
      </c>
      <c r="F52" s="91">
        <f>VLOOKUP($A52,'Data Vlaue (Cr)'!$C:$FB,77)</f>
        <v>-17</v>
      </c>
      <c r="G52" s="92">
        <f>VLOOKUP(A52,'Data Vlaue (Cr)'!C47:CB261,78,0)</f>
        <v>-6.6E-3</v>
      </c>
      <c r="H52" s="91">
        <f>VLOOKUP($A52,'Data Vlaue (Cr)'!$C:$FB,91)</f>
        <v>1252</v>
      </c>
      <c r="I52" s="91">
        <f>VLOOKUP($A52,'Data Vlaue (Cr)'!$C:$FB,93)</f>
        <v>34</v>
      </c>
      <c r="J52" s="92">
        <f>VLOOKUP($A52,'Data Vlaue (Cr)'!$C:$FB,94)</f>
        <v>2.8000000000000001E-2</v>
      </c>
      <c r="K52" s="91">
        <f>VLOOKUP($A52,'Data Vlaue (Cr)'!$C:$FB,95)</f>
        <v>854</v>
      </c>
      <c r="L52" s="91">
        <f>VLOOKUP($A52,'Data Vlaue (Cr)'!$C:$FB,97)</f>
        <v>-14</v>
      </c>
      <c r="M52" s="92">
        <f>VLOOKUP($A52,'Data Vlaue (Cr)'!$C:$FB,98)</f>
        <v>-1.6500000000000001E-2</v>
      </c>
      <c r="N52" s="91">
        <f>VLOOKUP($A52,'Data Vlaue (Cr)'!$C:$FB,79)</f>
        <v>2432</v>
      </c>
      <c r="O52" s="92">
        <f>VLOOKUP($A52,'Data Vlaue (Cr)'!$C:$FB,82)</f>
        <v>-1.0500000000000001E-2</v>
      </c>
    </row>
    <row r="53" spans="1:15" x14ac:dyDescent="0.25">
      <c r="A53" s="97" t="str">
        <f>'Data Vlaue (Cr)'!C48</f>
        <v>COCHINSHIP</v>
      </c>
      <c r="B53" s="142">
        <f>VLOOKUP(A53,'Data Vlaue (Cr)'!C48:CW262,99,0)</f>
        <v>772</v>
      </c>
      <c r="C53" s="90">
        <f>VLOOKUP(A53,'Data Vlaue (Cr)'!C48:CY262,101,0)</f>
        <v>16</v>
      </c>
      <c r="D53" s="139">
        <f>VLOOKUP(A53,'Data Vlaue (Cr)'!C48:CZ262,102,0)</f>
        <v>2.07E-2</v>
      </c>
      <c r="E53" s="91">
        <f>VLOOKUP($A53,'Data Vlaue (Cr)'!$C:$FB,75)</f>
        <v>432</v>
      </c>
      <c r="F53" s="91">
        <f>VLOOKUP($A53,'Data Vlaue (Cr)'!$C:$FB,77)</f>
        <v>-1</v>
      </c>
      <c r="G53" s="92">
        <f>VLOOKUP(A53,'Data Vlaue (Cr)'!C48:CB262,78,0)</f>
        <v>-2.3999999999999998E-3</v>
      </c>
      <c r="H53" s="91">
        <f>VLOOKUP($A53,'Data Vlaue (Cr)'!$C:$FB,91)</f>
        <v>204</v>
      </c>
      <c r="I53" s="91">
        <f>VLOOKUP($A53,'Data Vlaue (Cr)'!$C:$FB,93)</f>
        <v>12</v>
      </c>
      <c r="J53" s="92">
        <f>VLOOKUP($A53,'Data Vlaue (Cr)'!$C:$FB,94)</f>
        <v>6.2300000000000001E-2</v>
      </c>
      <c r="K53" s="91">
        <f>VLOOKUP($A53,'Data Vlaue (Cr)'!$C:$FB,95)</f>
        <v>136</v>
      </c>
      <c r="L53" s="91">
        <f>VLOOKUP($A53,'Data Vlaue (Cr)'!$C:$FB,97)</f>
        <v>5</v>
      </c>
      <c r="M53" s="92">
        <f>VLOOKUP($A53,'Data Vlaue (Cr)'!$C:$FB,98)</f>
        <v>3.5799999999999998E-2</v>
      </c>
      <c r="N53" s="91">
        <f>VLOOKUP($A53,'Data Vlaue (Cr)'!$C:$FB,79)</f>
        <v>416</v>
      </c>
      <c r="O53" s="92">
        <f>VLOOKUP($A53,'Data Vlaue (Cr)'!$C:$FB,82)</f>
        <v>-4.0000000000000001E-3</v>
      </c>
    </row>
    <row r="54" spans="1:15" x14ac:dyDescent="0.25">
      <c r="A54" s="97" t="str">
        <f>'Data Vlaue (Cr)'!C49</f>
        <v>COFORGE</v>
      </c>
      <c r="B54" s="142">
        <f>VLOOKUP(A54,'Data Vlaue (Cr)'!C49:CW263,99,0)</f>
        <v>3351</v>
      </c>
      <c r="C54" s="90">
        <f>VLOOKUP(A54,'Data Vlaue (Cr)'!C49:CY263,101,0)</f>
        <v>119</v>
      </c>
      <c r="D54" s="139">
        <f>VLOOKUP(A54,'Data Vlaue (Cr)'!C49:CZ263,102,0)</f>
        <v>3.6799999999999999E-2</v>
      </c>
      <c r="E54" s="91">
        <f>VLOOKUP($A54,'Data Vlaue (Cr)'!$C:$FB,75)</f>
        <v>2180</v>
      </c>
      <c r="F54" s="91">
        <f>VLOOKUP($A54,'Data Vlaue (Cr)'!$C:$FB,77)</f>
        <v>-17</v>
      </c>
      <c r="G54" s="92">
        <f>VLOOKUP(A54,'Data Vlaue (Cr)'!C49:CB263,78,0)</f>
        <v>-7.7000000000000002E-3</v>
      </c>
      <c r="H54" s="91">
        <f>VLOOKUP($A54,'Data Vlaue (Cr)'!$C:$FB,91)</f>
        <v>727</v>
      </c>
      <c r="I54" s="91">
        <f>VLOOKUP($A54,'Data Vlaue (Cr)'!$C:$FB,93)</f>
        <v>94</v>
      </c>
      <c r="J54" s="92">
        <f>VLOOKUP($A54,'Data Vlaue (Cr)'!$C:$FB,94)</f>
        <v>0.14810000000000001</v>
      </c>
      <c r="K54" s="91">
        <f>VLOOKUP($A54,'Data Vlaue (Cr)'!$C:$FB,95)</f>
        <v>444</v>
      </c>
      <c r="L54" s="91">
        <f>VLOOKUP($A54,'Data Vlaue (Cr)'!$C:$FB,97)</f>
        <v>42</v>
      </c>
      <c r="M54" s="92">
        <f>VLOOKUP($A54,'Data Vlaue (Cr)'!$C:$FB,98)</f>
        <v>0.105</v>
      </c>
      <c r="N54" s="91">
        <f>VLOOKUP($A54,'Data Vlaue (Cr)'!$C:$FB,79)</f>
        <v>2117</v>
      </c>
      <c r="O54" s="92">
        <f>VLOOKUP($A54,'Data Vlaue (Cr)'!$C:$FB,82)</f>
        <v>-1.0999999999999999E-2</v>
      </c>
    </row>
    <row r="55" spans="1:15" x14ac:dyDescent="0.25">
      <c r="A55" s="97" t="str">
        <f>'Data Vlaue (Cr)'!C50</f>
        <v>COLPAL</v>
      </c>
      <c r="B55" s="142">
        <f>VLOOKUP(A55,'Data Vlaue (Cr)'!C50:CW264,99,0)</f>
        <v>1547</v>
      </c>
      <c r="C55" s="90">
        <f>VLOOKUP(A55,'Data Vlaue (Cr)'!C50:CY264,101,0)</f>
        <v>58</v>
      </c>
      <c r="D55" s="139">
        <f>VLOOKUP(A55,'Data Vlaue (Cr)'!C50:CZ264,102,0)</f>
        <v>3.8800000000000001E-2</v>
      </c>
      <c r="E55" s="91">
        <f>VLOOKUP($A55,'Data Vlaue (Cr)'!$C:$FB,75)</f>
        <v>1112</v>
      </c>
      <c r="F55" s="91">
        <f>VLOOKUP($A55,'Data Vlaue (Cr)'!$C:$FB,77)</f>
        <v>29</v>
      </c>
      <c r="G55" s="92">
        <f>VLOOKUP(A55,'Data Vlaue (Cr)'!C50:CB264,78,0)</f>
        <v>2.7199999999999998E-2</v>
      </c>
      <c r="H55" s="91">
        <f>VLOOKUP($A55,'Data Vlaue (Cr)'!$C:$FB,91)</f>
        <v>262</v>
      </c>
      <c r="I55" s="91">
        <f>VLOOKUP($A55,'Data Vlaue (Cr)'!$C:$FB,93)</f>
        <v>22</v>
      </c>
      <c r="J55" s="92">
        <f>VLOOKUP($A55,'Data Vlaue (Cr)'!$C:$FB,94)</f>
        <v>9.2600000000000002E-2</v>
      </c>
      <c r="K55" s="91">
        <f>VLOOKUP($A55,'Data Vlaue (Cr)'!$C:$FB,95)</f>
        <v>172</v>
      </c>
      <c r="L55" s="91">
        <f>VLOOKUP($A55,'Data Vlaue (Cr)'!$C:$FB,97)</f>
        <v>6</v>
      </c>
      <c r="M55" s="92">
        <f>VLOOKUP($A55,'Data Vlaue (Cr)'!$C:$FB,98)</f>
        <v>3.6999999999999998E-2</v>
      </c>
      <c r="N55" s="91">
        <f>VLOOKUP($A55,'Data Vlaue (Cr)'!$C:$FB,79)</f>
        <v>1077</v>
      </c>
      <c r="O55" s="92">
        <f>VLOOKUP($A55,'Data Vlaue (Cr)'!$C:$FB,82)</f>
        <v>2.5399999999999999E-2</v>
      </c>
    </row>
    <row r="56" spans="1:15" x14ac:dyDescent="0.25">
      <c r="A56" s="97" t="str">
        <f>'Data Vlaue (Cr)'!C51</f>
        <v>CONCOR</v>
      </c>
      <c r="B56" s="142">
        <f>VLOOKUP(A56,'Data Vlaue (Cr)'!C51:CW265,99,0)</f>
        <v>1624</v>
      </c>
      <c r="C56" s="90">
        <f>VLOOKUP(A56,'Data Vlaue (Cr)'!C51:CY265,101,0)</f>
        <v>13</v>
      </c>
      <c r="D56" s="139">
        <f>VLOOKUP(A56,'Data Vlaue (Cr)'!C51:CZ265,102,0)</f>
        <v>8.0000000000000002E-3</v>
      </c>
      <c r="E56" s="91">
        <f>VLOOKUP($A56,'Data Vlaue (Cr)'!$C:$FB,75)</f>
        <v>1193</v>
      </c>
      <c r="F56" s="91">
        <f>VLOOKUP($A56,'Data Vlaue (Cr)'!$C:$FB,77)</f>
        <v>-2</v>
      </c>
      <c r="G56" s="92">
        <f>VLOOKUP(A56,'Data Vlaue (Cr)'!C51:CB265,78,0)</f>
        <v>-1.2999999999999999E-3</v>
      </c>
      <c r="H56" s="91">
        <f>VLOOKUP($A56,'Data Vlaue (Cr)'!$C:$FB,91)</f>
        <v>253</v>
      </c>
      <c r="I56" s="91">
        <f>VLOOKUP($A56,'Data Vlaue (Cr)'!$C:$FB,93)</f>
        <v>15</v>
      </c>
      <c r="J56" s="92">
        <f>VLOOKUP($A56,'Data Vlaue (Cr)'!$C:$FB,94)</f>
        <v>6.2E-2</v>
      </c>
      <c r="K56" s="91">
        <f>VLOOKUP($A56,'Data Vlaue (Cr)'!$C:$FB,95)</f>
        <v>179</v>
      </c>
      <c r="L56" s="91">
        <f>VLOOKUP($A56,'Data Vlaue (Cr)'!$C:$FB,97)</f>
        <v>0</v>
      </c>
      <c r="M56" s="92">
        <f>VLOOKUP($A56,'Data Vlaue (Cr)'!$C:$FB,98)</f>
        <v>-1.5E-3</v>
      </c>
      <c r="N56" s="91">
        <f>VLOOKUP($A56,'Data Vlaue (Cr)'!$C:$FB,79)</f>
        <v>1167</v>
      </c>
      <c r="O56" s="92">
        <f>VLOOKUP($A56,'Data Vlaue (Cr)'!$C:$FB,82)</f>
        <v>-1.6999999999999999E-3</v>
      </c>
    </row>
    <row r="57" spans="1:15" x14ac:dyDescent="0.25">
      <c r="A57" s="97" t="str">
        <f>'Data Vlaue (Cr)'!C52</f>
        <v>CROMPTON</v>
      </c>
      <c r="B57" s="142">
        <f>VLOOKUP(A57,'Data Vlaue (Cr)'!C52:CW266,99,0)</f>
        <v>2054</v>
      </c>
      <c r="C57" s="90">
        <f>VLOOKUP(A57,'Data Vlaue (Cr)'!C52:CY266,101,0)</f>
        <v>107</v>
      </c>
      <c r="D57" s="139">
        <f>VLOOKUP(A57,'Data Vlaue (Cr)'!C52:CZ266,102,0)</f>
        <v>5.4800000000000001E-2</v>
      </c>
      <c r="E57" s="91">
        <f>VLOOKUP($A57,'Data Vlaue (Cr)'!$C:$FB,75)</f>
        <v>1482</v>
      </c>
      <c r="F57" s="91">
        <f>VLOOKUP($A57,'Data Vlaue (Cr)'!$C:$FB,77)</f>
        <v>51</v>
      </c>
      <c r="G57" s="92">
        <f>VLOOKUP(A57,'Data Vlaue (Cr)'!C52:CB266,78,0)</f>
        <v>3.5400000000000001E-2</v>
      </c>
      <c r="H57" s="91">
        <f>VLOOKUP($A57,'Data Vlaue (Cr)'!$C:$FB,91)</f>
        <v>391</v>
      </c>
      <c r="I57" s="91">
        <f>VLOOKUP($A57,'Data Vlaue (Cr)'!$C:$FB,93)</f>
        <v>37</v>
      </c>
      <c r="J57" s="92">
        <f>VLOOKUP($A57,'Data Vlaue (Cr)'!$C:$FB,94)</f>
        <v>0.104</v>
      </c>
      <c r="K57" s="91">
        <f>VLOOKUP($A57,'Data Vlaue (Cr)'!$C:$FB,95)</f>
        <v>181</v>
      </c>
      <c r="L57" s="91">
        <f>VLOOKUP($A57,'Data Vlaue (Cr)'!$C:$FB,97)</f>
        <v>19</v>
      </c>
      <c r="M57" s="92">
        <f>VLOOKUP($A57,'Data Vlaue (Cr)'!$C:$FB,98)</f>
        <v>0.1182</v>
      </c>
      <c r="N57" s="91">
        <f>VLOOKUP($A57,'Data Vlaue (Cr)'!$C:$FB,79)</f>
        <v>1461</v>
      </c>
      <c r="O57" s="92">
        <f>VLOOKUP($A57,'Data Vlaue (Cr)'!$C:$FB,82)</f>
        <v>3.5000000000000003E-2</v>
      </c>
    </row>
    <row r="58" spans="1:15" x14ac:dyDescent="0.25">
      <c r="A58" s="97" t="str">
        <f>'Data Vlaue (Cr)'!C53</f>
        <v>CUMMINSIND</v>
      </c>
      <c r="B58" s="142">
        <f>VLOOKUP(A58,'Data Vlaue (Cr)'!C53:CW267,99,0)</f>
        <v>2623</v>
      </c>
      <c r="C58" s="90">
        <f>VLOOKUP(A58,'Data Vlaue (Cr)'!C53:CY267,101,0)</f>
        <v>69</v>
      </c>
      <c r="D58" s="139">
        <f>VLOOKUP(A58,'Data Vlaue (Cr)'!C53:CZ267,102,0)</f>
        <v>2.69E-2</v>
      </c>
      <c r="E58" s="91">
        <f>VLOOKUP($A58,'Data Vlaue (Cr)'!$C:$FB,75)</f>
        <v>2108</v>
      </c>
      <c r="F58" s="91">
        <f>VLOOKUP($A58,'Data Vlaue (Cr)'!$C:$FB,77)</f>
        <v>9</v>
      </c>
      <c r="G58" s="92">
        <f>VLOOKUP(A58,'Data Vlaue (Cr)'!C53:CB267,78,0)</f>
        <v>4.4000000000000003E-3</v>
      </c>
      <c r="H58" s="91">
        <f>VLOOKUP($A58,'Data Vlaue (Cr)'!$C:$FB,91)</f>
        <v>301</v>
      </c>
      <c r="I58" s="91">
        <f>VLOOKUP($A58,'Data Vlaue (Cr)'!$C:$FB,93)</f>
        <v>57</v>
      </c>
      <c r="J58" s="92">
        <f>VLOOKUP($A58,'Data Vlaue (Cr)'!$C:$FB,94)</f>
        <v>0.2341</v>
      </c>
      <c r="K58" s="91">
        <f>VLOOKUP($A58,'Data Vlaue (Cr)'!$C:$FB,95)</f>
        <v>214</v>
      </c>
      <c r="L58" s="91">
        <f>VLOOKUP($A58,'Data Vlaue (Cr)'!$C:$FB,97)</f>
        <v>2</v>
      </c>
      <c r="M58" s="92">
        <f>VLOOKUP($A58,'Data Vlaue (Cr)'!$C:$FB,98)</f>
        <v>1.0999999999999999E-2</v>
      </c>
      <c r="N58" s="91">
        <f>VLOOKUP($A58,'Data Vlaue (Cr)'!$C:$FB,79)</f>
        <v>1949</v>
      </c>
      <c r="O58" s="92">
        <f>VLOOKUP($A58,'Data Vlaue (Cr)'!$C:$FB,82)</f>
        <v>3.3999999999999998E-3</v>
      </c>
    </row>
    <row r="59" spans="1:15" x14ac:dyDescent="0.25">
      <c r="A59" s="97" t="str">
        <f>'Data Vlaue (Cr)'!C54</f>
        <v>DABUR</v>
      </c>
      <c r="B59" s="142">
        <f>VLOOKUP(A59,'Data Vlaue (Cr)'!C54:CW268,99,0)</f>
        <v>1749</v>
      </c>
      <c r="C59" s="90">
        <f>VLOOKUP(A59,'Data Vlaue (Cr)'!C54:CY268,101,0)</f>
        <v>56</v>
      </c>
      <c r="D59" s="139">
        <f>VLOOKUP(A59,'Data Vlaue (Cr)'!C54:CZ268,102,0)</f>
        <v>3.3300000000000003E-2</v>
      </c>
      <c r="E59" s="91">
        <f>VLOOKUP($A59,'Data Vlaue (Cr)'!$C:$FB,75)</f>
        <v>1282</v>
      </c>
      <c r="F59" s="91">
        <f>VLOOKUP($A59,'Data Vlaue (Cr)'!$C:$FB,77)</f>
        <v>2</v>
      </c>
      <c r="G59" s="92">
        <f>VLOOKUP(A59,'Data Vlaue (Cr)'!C54:CB268,78,0)</f>
        <v>1.1999999999999999E-3</v>
      </c>
      <c r="H59" s="91">
        <f>VLOOKUP($A59,'Data Vlaue (Cr)'!$C:$FB,91)</f>
        <v>285</v>
      </c>
      <c r="I59" s="91">
        <f>VLOOKUP($A59,'Data Vlaue (Cr)'!$C:$FB,93)</f>
        <v>40</v>
      </c>
      <c r="J59" s="92">
        <f>VLOOKUP($A59,'Data Vlaue (Cr)'!$C:$FB,94)</f>
        <v>0.1656</v>
      </c>
      <c r="K59" s="91">
        <f>VLOOKUP($A59,'Data Vlaue (Cr)'!$C:$FB,95)</f>
        <v>182</v>
      </c>
      <c r="L59" s="91">
        <f>VLOOKUP($A59,'Data Vlaue (Cr)'!$C:$FB,97)</f>
        <v>14</v>
      </c>
      <c r="M59" s="92">
        <f>VLOOKUP($A59,'Data Vlaue (Cr)'!$C:$FB,98)</f>
        <v>8.5599999999999996E-2</v>
      </c>
      <c r="N59" s="91">
        <f>VLOOKUP($A59,'Data Vlaue (Cr)'!$C:$FB,79)</f>
        <v>1256</v>
      </c>
      <c r="O59" s="92">
        <f>VLOOKUP($A59,'Data Vlaue (Cr)'!$C:$FB,82)</f>
        <v>-1.5E-3</v>
      </c>
    </row>
    <row r="60" spans="1:15" x14ac:dyDescent="0.25">
      <c r="A60" s="97" t="str">
        <f>'Data Vlaue (Cr)'!C55</f>
        <v>DALBHARAT</v>
      </c>
      <c r="B60" s="142">
        <f>VLOOKUP(A60,'Data Vlaue (Cr)'!C55:CW269,99,0)</f>
        <v>792</v>
      </c>
      <c r="C60" s="90">
        <f>VLOOKUP(A60,'Data Vlaue (Cr)'!C55:CY269,101,0)</f>
        <v>85</v>
      </c>
      <c r="D60" s="139">
        <f>VLOOKUP(A60,'Data Vlaue (Cr)'!C55:CZ269,102,0)</f>
        <v>0.12089999999999999</v>
      </c>
      <c r="E60" s="91">
        <f>VLOOKUP($A60,'Data Vlaue (Cr)'!$C:$FB,75)</f>
        <v>534</v>
      </c>
      <c r="F60" s="91">
        <f>VLOOKUP($A60,'Data Vlaue (Cr)'!$C:$FB,77)</f>
        <v>70</v>
      </c>
      <c r="G60" s="92">
        <f>VLOOKUP(A60,'Data Vlaue (Cr)'!C55:CB269,78,0)</f>
        <v>0.152</v>
      </c>
      <c r="H60" s="91">
        <f>VLOOKUP($A60,'Data Vlaue (Cr)'!$C:$FB,91)</f>
        <v>157</v>
      </c>
      <c r="I60" s="91">
        <f>VLOOKUP($A60,'Data Vlaue (Cr)'!$C:$FB,93)</f>
        <v>8</v>
      </c>
      <c r="J60" s="92">
        <f>VLOOKUP($A60,'Data Vlaue (Cr)'!$C:$FB,94)</f>
        <v>5.4699999999999999E-2</v>
      </c>
      <c r="K60" s="91">
        <f>VLOOKUP($A60,'Data Vlaue (Cr)'!$C:$FB,95)</f>
        <v>101</v>
      </c>
      <c r="L60" s="91">
        <f>VLOOKUP($A60,'Data Vlaue (Cr)'!$C:$FB,97)</f>
        <v>7</v>
      </c>
      <c r="M60" s="92">
        <f>VLOOKUP($A60,'Data Vlaue (Cr)'!$C:$FB,98)</f>
        <v>7.2900000000000006E-2</v>
      </c>
      <c r="N60" s="91">
        <f>VLOOKUP($A60,'Data Vlaue (Cr)'!$C:$FB,79)</f>
        <v>529</v>
      </c>
      <c r="O60" s="92">
        <f>VLOOKUP($A60,'Data Vlaue (Cr)'!$C:$FB,82)</f>
        <v>0.1527</v>
      </c>
    </row>
    <row r="61" spans="1:15" x14ac:dyDescent="0.25">
      <c r="A61" s="97" t="str">
        <f>'Data Vlaue (Cr)'!C56</f>
        <v>DELHIVERY</v>
      </c>
      <c r="B61" s="142">
        <f>VLOOKUP(A61,'Data Vlaue (Cr)'!C56:CW270,99,0)</f>
        <v>1763</v>
      </c>
      <c r="C61" s="90">
        <f>VLOOKUP(A61,'Data Vlaue (Cr)'!C56:CY270,101,0)</f>
        <v>8</v>
      </c>
      <c r="D61" s="139">
        <f>VLOOKUP(A61,'Data Vlaue (Cr)'!C56:CZ270,102,0)</f>
        <v>4.4000000000000003E-3</v>
      </c>
      <c r="E61" s="91">
        <f>VLOOKUP($A61,'Data Vlaue (Cr)'!$C:$FB,75)</f>
        <v>1402</v>
      </c>
      <c r="F61" s="91">
        <f>VLOOKUP($A61,'Data Vlaue (Cr)'!$C:$FB,77)</f>
        <v>-13</v>
      </c>
      <c r="G61" s="92">
        <f>VLOOKUP(A61,'Data Vlaue (Cr)'!C56:CB270,78,0)</f>
        <v>-8.9999999999999993E-3</v>
      </c>
      <c r="H61" s="91">
        <f>VLOOKUP($A61,'Data Vlaue (Cr)'!$C:$FB,91)</f>
        <v>261</v>
      </c>
      <c r="I61" s="91">
        <f>VLOOKUP($A61,'Data Vlaue (Cr)'!$C:$FB,93)</f>
        <v>16</v>
      </c>
      <c r="J61" s="92">
        <f>VLOOKUP($A61,'Data Vlaue (Cr)'!$C:$FB,94)</f>
        <v>6.6900000000000001E-2</v>
      </c>
      <c r="K61" s="91">
        <f>VLOOKUP($A61,'Data Vlaue (Cr)'!$C:$FB,95)</f>
        <v>99</v>
      </c>
      <c r="L61" s="91">
        <f>VLOOKUP($A61,'Data Vlaue (Cr)'!$C:$FB,97)</f>
        <v>4</v>
      </c>
      <c r="M61" s="92">
        <f>VLOOKUP($A61,'Data Vlaue (Cr)'!$C:$FB,98)</f>
        <v>4.2900000000000001E-2</v>
      </c>
      <c r="N61" s="91">
        <f>VLOOKUP($A61,'Data Vlaue (Cr)'!$C:$FB,79)</f>
        <v>1390</v>
      </c>
      <c r="O61" s="92">
        <f>VLOOKUP($A61,'Data Vlaue (Cr)'!$C:$FB,82)</f>
        <v>-9.9000000000000008E-3</v>
      </c>
    </row>
    <row r="62" spans="1:15" x14ac:dyDescent="0.25">
      <c r="A62" s="97" t="str">
        <f>'Data Vlaue (Cr)'!C57</f>
        <v>DIVISLAB</v>
      </c>
      <c r="B62" s="142">
        <f>VLOOKUP(A62,'Data Vlaue (Cr)'!C57:CW271,99,0)</f>
        <v>2261</v>
      </c>
      <c r="C62" s="90">
        <f>VLOOKUP(A62,'Data Vlaue (Cr)'!C57:CY271,101,0)</f>
        <v>114</v>
      </c>
      <c r="D62" s="139">
        <f>VLOOKUP(A62,'Data Vlaue (Cr)'!C57:CZ271,102,0)</f>
        <v>5.3199999999999997E-2</v>
      </c>
      <c r="E62" s="91">
        <f>VLOOKUP($A62,'Data Vlaue (Cr)'!$C:$FB,75)</f>
        <v>1612</v>
      </c>
      <c r="F62" s="91">
        <f>VLOOKUP($A62,'Data Vlaue (Cr)'!$C:$FB,77)</f>
        <v>-10</v>
      </c>
      <c r="G62" s="92">
        <f>VLOOKUP(A62,'Data Vlaue (Cr)'!C57:CB271,78,0)</f>
        <v>-6.3E-3</v>
      </c>
      <c r="H62" s="91">
        <f>VLOOKUP($A62,'Data Vlaue (Cr)'!$C:$FB,91)</f>
        <v>373</v>
      </c>
      <c r="I62" s="91">
        <f>VLOOKUP($A62,'Data Vlaue (Cr)'!$C:$FB,93)</f>
        <v>73</v>
      </c>
      <c r="J62" s="92">
        <f>VLOOKUP($A62,'Data Vlaue (Cr)'!$C:$FB,94)</f>
        <v>0.24249999999999999</v>
      </c>
      <c r="K62" s="91">
        <f>VLOOKUP($A62,'Data Vlaue (Cr)'!$C:$FB,95)</f>
        <v>276</v>
      </c>
      <c r="L62" s="91">
        <f>VLOOKUP($A62,'Data Vlaue (Cr)'!$C:$FB,97)</f>
        <v>52</v>
      </c>
      <c r="M62" s="92">
        <f>VLOOKUP($A62,'Data Vlaue (Cr)'!$C:$FB,98)</f>
        <v>0.23</v>
      </c>
      <c r="N62" s="91">
        <f>VLOOKUP($A62,'Data Vlaue (Cr)'!$C:$FB,79)</f>
        <v>1418</v>
      </c>
      <c r="O62" s="92">
        <f>VLOOKUP($A62,'Data Vlaue (Cr)'!$C:$FB,82)</f>
        <v>-8.3000000000000001E-3</v>
      </c>
    </row>
    <row r="63" spans="1:15" x14ac:dyDescent="0.25">
      <c r="A63" s="97" t="str">
        <f>'Data Vlaue (Cr)'!C58</f>
        <v>DIXON</v>
      </c>
      <c r="B63" s="142">
        <f>VLOOKUP(A63,'Data Vlaue (Cr)'!C58:CW272,99,0)</f>
        <v>5515</v>
      </c>
      <c r="C63" s="90">
        <f>VLOOKUP(A63,'Data Vlaue (Cr)'!C58:CY272,101,0)</f>
        <v>73</v>
      </c>
      <c r="D63" s="139">
        <f>VLOOKUP(A63,'Data Vlaue (Cr)'!C58:CZ272,102,0)</f>
        <v>1.3299999999999999E-2</v>
      </c>
      <c r="E63" s="91">
        <f>VLOOKUP($A63,'Data Vlaue (Cr)'!$C:$FB,75)</f>
        <v>3405</v>
      </c>
      <c r="F63" s="91">
        <f>VLOOKUP($A63,'Data Vlaue (Cr)'!$C:$FB,77)</f>
        <v>1</v>
      </c>
      <c r="G63" s="92">
        <f>VLOOKUP(A63,'Data Vlaue (Cr)'!C58:CB272,78,0)</f>
        <v>2.0000000000000001E-4</v>
      </c>
      <c r="H63" s="91">
        <f>VLOOKUP($A63,'Data Vlaue (Cr)'!$C:$FB,91)</f>
        <v>1089</v>
      </c>
      <c r="I63" s="91">
        <f>VLOOKUP($A63,'Data Vlaue (Cr)'!$C:$FB,93)</f>
        <v>27</v>
      </c>
      <c r="J63" s="92">
        <f>VLOOKUP($A63,'Data Vlaue (Cr)'!$C:$FB,94)</f>
        <v>2.5000000000000001E-2</v>
      </c>
      <c r="K63" s="91">
        <f>VLOOKUP($A63,'Data Vlaue (Cr)'!$C:$FB,95)</f>
        <v>1020</v>
      </c>
      <c r="L63" s="91">
        <f>VLOOKUP($A63,'Data Vlaue (Cr)'!$C:$FB,97)</f>
        <v>45</v>
      </c>
      <c r="M63" s="92">
        <f>VLOOKUP($A63,'Data Vlaue (Cr)'!$C:$FB,98)</f>
        <v>4.6399999999999997E-2</v>
      </c>
      <c r="N63" s="91">
        <f>VLOOKUP($A63,'Data Vlaue (Cr)'!$C:$FB,79)</f>
        <v>3224</v>
      </c>
      <c r="O63" s="92">
        <f>VLOOKUP($A63,'Data Vlaue (Cr)'!$C:$FB,82)</f>
        <v>-1.9E-3</v>
      </c>
    </row>
    <row r="64" spans="1:15" x14ac:dyDescent="0.25">
      <c r="A64" s="97" t="str">
        <f>'Data Vlaue (Cr)'!C59</f>
        <v>DLF</v>
      </c>
      <c r="B64" s="142">
        <f>VLOOKUP(A64,'Data Vlaue (Cr)'!C59:CW273,99,0)</f>
        <v>3558</v>
      </c>
      <c r="C64" s="90">
        <f>VLOOKUP(A64,'Data Vlaue (Cr)'!C59:CY273,101,0)</f>
        <v>93</v>
      </c>
      <c r="D64" s="139">
        <f>VLOOKUP(A64,'Data Vlaue (Cr)'!C59:CZ273,102,0)</f>
        <v>2.69E-2</v>
      </c>
      <c r="E64" s="91">
        <f>VLOOKUP($A64,'Data Vlaue (Cr)'!$C:$FB,75)</f>
        <v>2779</v>
      </c>
      <c r="F64" s="91">
        <f>VLOOKUP($A64,'Data Vlaue (Cr)'!$C:$FB,77)</f>
        <v>18</v>
      </c>
      <c r="G64" s="92">
        <f>VLOOKUP(A64,'Data Vlaue (Cr)'!C59:CB273,78,0)</f>
        <v>6.4999999999999997E-3</v>
      </c>
      <c r="H64" s="91">
        <f>VLOOKUP($A64,'Data Vlaue (Cr)'!$C:$FB,91)</f>
        <v>432</v>
      </c>
      <c r="I64" s="91">
        <f>VLOOKUP($A64,'Data Vlaue (Cr)'!$C:$FB,93)</f>
        <v>57</v>
      </c>
      <c r="J64" s="92">
        <f>VLOOKUP($A64,'Data Vlaue (Cr)'!$C:$FB,94)</f>
        <v>0.15090000000000001</v>
      </c>
      <c r="K64" s="91">
        <f>VLOOKUP($A64,'Data Vlaue (Cr)'!$C:$FB,95)</f>
        <v>348</v>
      </c>
      <c r="L64" s="91">
        <f>VLOOKUP($A64,'Data Vlaue (Cr)'!$C:$FB,97)</f>
        <v>19</v>
      </c>
      <c r="M64" s="92">
        <f>VLOOKUP($A64,'Data Vlaue (Cr)'!$C:$FB,98)</f>
        <v>5.74E-2</v>
      </c>
      <c r="N64" s="91">
        <f>VLOOKUP($A64,'Data Vlaue (Cr)'!$C:$FB,79)</f>
        <v>2597</v>
      </c>
      <c r="O64" s="92">
        <f>VLOOKUP($A64,'Data Vlaue (Cr)'!$C:$FB,82)</f>
        <v>6.6E-3</v>
      </c>
    </row>
    <row r="65" spans="1:15" x14ac:dyDescent="0.25">
      <c r="A65" s="97" t="str">
        <f>'Data Vlaue (Cr)'!C60</f>
        <v>DMART</v>
      </c>
      <c r="B65" s="142">
        <f>VLOOKUP(A65,'Data Vlaue (Cr)'!C60:CW274,99,0)</f>
        <v>2927</v>
      </c>
      <c r="C65" s="90">
        <f>VLOOKUP(A65,'Data Vlaue (Cr)'!C60:CY274,101,0)</f>
        <v>934</v>
      </c>
      <c r="D65" s="139">
        <f>VLOOKUP(A65,'Data Vlaue (Cr)'!C60:CZ274,102,0)</f>
        <v>0.46879999999999999</v>
      </c>
      <c r="E65" s="91">
        <f>VLOOKUP($A65,'Data Vlaue (Cr)'!$C:$FB,75)</f>
        <v>1730</v>
      </c>
      <c r="F65" s="91">
        <f>VLOOKUP($A65,'Data Vlaue (Cr)'!$C:$FB,77)</f>
        <v>267</v>
      </c>
      <c r="G65" s="92">
        <f>VLOOKUP(A65,'Data Vlaue (Cr)'!C60:CB274,78,0)</f>
        <v>0.1822</v>
      </c>
      <c r="H65" s="91">
        <f>VLOOKUP($A65,'Data Vlaue (Cr)'!$C:$FB,91)</f>
        <v>809</v>
      </c>
      <c r="I65" s="91">
        <f>VLOOKUP($A65,'Data Vlaue (Cr)'!$C:$FB,93)</f>
        <v>496</v>
      </c>
      <c r="J65" s="92">
        <f>VLOOKUP($A65,'Data Vlaue (Cr)'!$C:$FB,94)</f>
        <v>1.5881000000000001</v>
      </c>
      <c r="K65" s="91">
        <f>VLOOKUP($A65,'Data Vlaue (Cr)'!$C:$FB,95)</f>
        <v>388</v>
      </c>
      <c r="L65" s="91">
        <f>VLOOKUP($A65,'Data Vlaue (Cr)'!$C:$FB,97)</f>
        <v>171</v>
      </c>
      <c r="M65" s="92">
        <f>VLOOKUP($A65,'Data Vlaue (Cr)'!$C:$FB,98)</f>
        <v>0.79069999999999996</v>
      </c>
      <c r="N65" s="91">
        <f>VLOOKUP($A65,'Data Vlaue (Cr)'!$C:$FB,79)</f>
        <v>1686</v>
      </c>
      <c r="O65" s="92">
        <f>VLOOKUP($A65,'Data Vlaue (Cr)'!$C:$FB,82)</f>
        <v>0.16389999999999999</v>
      </c>
    </row>
    <row r="66" spans="1:15" x14ac:dyDescent="0.25">
      <c r="A66" s="97" t="str">
        <f>'Data Vlaue (Cr)'!C61</f>
        <v>DRREDDY</v>
      </c>
      <c r="B66" s="142">
        <f>VLOOKUP(A66,'Data Vlaue (Cr)'!C61:CW275,99,0)</f>
        <v>3727</v>
      </c>
      <c r="C66" s="90">
        <f>VLOOKUP(A66,'Data Vlaue (Cr)'!C61:CY275,101,0)</f>
        <v>375</v>
      </c>
      <c r="D66" s="139">
        <f>VLOOKUP(A66,'Data Vlaue (Cr)'!C61:CZ275,102,0)</f>
        <v>0.1119</v>
      </c>
      <c r="E66" s="91">
        <f>VLOOKUP($A66,'Data Vlaue (Cr)'!$C:$FB,75)</f>
        <v>2101</v>
      </c>
      <c r="F66" s="91">
        <f>VLOOKUP($A66,'Data Vlaue (Cr)'!$C:$FB,77)</f>
        <v>135</v>
      </c>
      <c r="G66" s="92">
        <f>VLOOKUP(A66,'Data Vlaue (Cr)'!C61:CB275,78,0)</f>
        <v>6.8699999999999997E-2</v>
      </c>
      <c r="H66" s="91">
        <f>VLOOKUP($A66,'Data Vlaue (Cr)'!$C:$FB,91)</f>
        <v>1078</v>
      </c>
      <c r="I66" s="91">
        <f>VLOOKUP($A66,'Data Vlaue (Cr)'!$C:$FB,93)</f>
        <v>201</v>
      </c>
      <c r="J66" s="92">
        <f>VLOOKUP($A66,'Data Vlaue (Cr)'!$C:$FB,94)</f>
        <v>0.2291</v>
      </c>
      <c r="K66" s="91">
        <f>VLOOKUP($A66,'Data Vlaue (Cr)'!$C:$FB,95)</f>
        <v>548</v>
      </c>
      <c r="L66" s="91">
        <f>VLOOKUP($A66,'Data Vlaue (Cr)'!$C:$FB,97)</f>
        <v>39</v>
      </c>
      <c r="M66" s="92">
        <f>VLOOKUP($A66,'Data Vlaue (Cr)'!$C:$FB,98)</f>
        <v>7.6700000000000004E-2</v>
      </c>
      <c r="N66" s="91">
        <f>VLOOKUP($A66,'Data Vlaue (Cr)'!$C:$FB,79)</f>
        <v>2053</v>
      </c>
      <c r="O66" s="92">
        <f>VLOOKUP($A66,'Data Vlaue (Cr)'!$C:$FB,82)</f>
        <v>6.4600000000000005E-2</v>
      </c>
    </row>
    <row r="67" spans="1:15" x14ac:dyDescent="0.25">
      <c r="A67" s="97" t="str">
        <f>'Data Vlaue (Cr)'!C62</f>
        <v>EICHERMOT</v>
      </c>
      <c r="B67" s="142">
        <f>VLOOKUP(A67,'Data Vlaue (Cr)'!C62:CW276,99,0)</f>
        <v>3955</v>
      </c>
      <c r="C67" s="90">
        <f>VLOOKUP(A67,'Data Vlaue (Cr)'!C62:CY276,101,0)</f>
        <v>138</v>
      </c>
      <c r="D67" s="139">
        <f>VLOOKUP(A67,'Data Vlaue (Cr)'!C62:CZ276,102,0)</f>
        <v>3.6200000000000003E-2</v>
      </c>
      <c r="E67" s="91">
        <f>VLOOKUP($A67,'Data Vlaue (Cr)'!$C:$FB,75)</f>
        <v>2664</v>
      </c>
      <c r="F67" s="91">
        <f>VLOOKUP($A67,'Data Vlaue (Cr)'!$C:$FB,77)</f>
        <v>-4</v>
      </c>
      <c r="G67" s="92">
        <f>VLOOKUP(A67,'Data Vlaue (Cr)'!C62:CB276,78,0)</f>
        <v>-1.6000000000000001E-3</v>
      </c>
      <c r="H67" s="91">
        <f>VLOOKUP($A67,'Data Vlaue (Cr)'!$C:$FB,91)</f>
        <v>720</v>
      </c>
      <c r="I67" s="91">
        <f>VLOOKUP($A67,'Data Vlaue (Cr)'!$C:$FB,93)</f>
        <v>104</v>
      </c>
      <c r="J67" s="92">
        <f>VLOOKUP($A67,'Data Vlaue (Cr)'!$C:$FB,94)</f>
        <v>0.1691</v>
      </c>
      <c r="K67" s="91">
        <f>VLOOKUP($A67,'Data Vlaue (Cr)'!$C:$FB,95)</f>
        <v>572</v>
      </c>
      <c r="L67" s="91">
        <f>VLOOKUP($A67,'Data Vlaue (Cr)'!$C:$FB,97)</f>
        <v>39</v>
      </c>
      <c r="M67" s="92">
        <f>VLOOKUP($A67,'Data Vlaue (Cr)'!$C:$FB,98)</f>
        <v>7.2300000000000003E-2</v>
      </c>
      <c r="N67" s="91">
        <f>VLOOKUP($A67,'Data Vlaue (Cr)'!$C:$FB,79)</f>
        <v>2268</v>
      </c>
      <c r="O67" s="92">
        <f>VLOOKUP($A67,'Data Vlaue (Cr)'!$C:$FB,82)</f>
        <v>-5.7000000000000002E-3</v>
      </c>
    </row>
    <row r="68" spans="1:15" x14ac:dyDescent="0.25">
      <c r="A68" s="97" t="str">
        <f>'Data Vlaue (Cr)'!C63</f>
        <v>ETERNAL</v>
      </c>
      <c r="B68" s="142">
        <f>VLOOKUP(A68,'Data Vlaue (Cr)'!C63:CW277,99,0)</f>
        <v>8909</v>
      </c>
      <c r="C68" s="90">
        <f>VLOOKUP(A68,'Data Vlaue (Cr)'!C63:CY277,101,0)</f>
        <v>82</v>
      </c>
      <c r="D68" s="139">
        <f>VLOOKUP(A68,'Data Vlaue (Cr)'!C63:CZ277,102,0)</f>
        <v>9.2999999999999992E-3</v>
      </c>
      <c r="E68" s="91">
        <f>VLOOKUP($A68,'Data Vlaue (Cr)'!$C:$FB,75)</f>
        <v>5256</v>
      </c>
      <c r="F68" s="91">
        <f>VLOOKUP($A68,'Data Vlaue (Cr)'!$C:$FB,77)</f>
        <v>27</v>
      </c>
      <c r="G68" s="92">
        <f>VLOOKUP(A68,'Data Vlaue (Cr)'!C63:CB277,78,0)</f>
        <v>5.1999999999999998E-3</v>
      </c>
      <c r="H68" s="91">
        <f>VLOOKUP($A68,'Data Vlaue (Cr)'!$C:$FB,91)</f>
        <v>2365</v>
      </c>
      <c r="I68" s="91">
        <f>VLOOKUP($A68,'Data Vlaue (Cr)'!$C:$FB,93)</f>
        <v>20</v>
      </c>
      <c r="J68" s="92">
        <f>VLOOKUP($A68,'Data Vlaue (Cr)'!$C:$FB,94)</f>
        <v>8.3000000000000001E-3</v>
      </c>
      <c r="K68" s="91">
        <f>VLOOKUP($A68,'Data Vlaue (Cr)'!$C:$FB,95)</f>
        <v>1288</v>
      </c>
      <c r="L68" s="91">
        <f>VLOOKUP($A68,'Data Vlaue (Cr)'!$C:$FB,97)</f>
        <v>36</v>
      </c>
      <c r="M68" s="92">
        <f>VLOOKUP($A68,'Data Vlaue (Cr)'!$C:$FB,98)</f>
        <v>2.8400000000000002E-2</v>
      </c>
      <c r="N68" s="91">
        <f>VLOOKUP($A68,'Data Vlaue (Cr)'!$C:$FB,79)</f>
        <v>4820</v>
      </c>
      <c r="O68" s="92">
        <f>VLOOKUP($A68,'Data Vlaue (Cr)'!$C:$FB,82)</f>
        <v>3.5999999999999999E-3</v>
      </c>
    </row>
    <row r="69" spans="1:15" x14ac:dyDescent="0.25">
      <c r="A69" s="97" t="str">
        <f>'Data Vlaue (Cr)'!C64</f>
        <v>EXIDEIND</v>
      </c>
      <c r="B69" s="142">
        <f>VLOOKUP(A69,'Data Vlaue (Cr)'!C64:CW278,99,0)</f>
        <v>1888</v>
      </c>
      <c r="C69" s="90">
        <f>VLOOKUP(A69,'Data Vlaue (Cr)'!C64:CY278,101,0)</f>
        <v>296</v>
      </c>
      <c r="D69" s="139">
        <f>VLOOKUP(A69,'Data Vlaue (Cr)'!C64:CZ278,102,0)</f>
        <v>0.186</v>
      </c>
      <c r="E69" s="91">
        <f>VLOOKUP($A69,'Data Vlaue (Cr)'!$C:$FB,75)</f>
        <v>1037</v>
      </c>
      <c r="F69" s="91">
        <f>VLOOKUP($A69,'Data Vlaue (Cr)'!$C:$FB,77)</f>
        <v>22</v>
      </c>
      <c r="G69" s="92">
        <f>VLOOKUP(A69,'Data Vlaue (Cr)'!C64:CB278,78,0)</f>
        <v>2.1299999999999999E-2</v>
      </c>
      <c r="H69" s="91">
        <f>VLOOKUP($A69,'Data Vlaue (Cr)'!$C:$FB,91)</f>
        <v>525</v>
      </c>
      <c r="I69" s="91">
        <f>VLOOKUP($A69,'Data Vlaue (Cr)'!$C:$FB,93)</f>
        <v>181</v>
      </c>
      <c r="J69" s="92">
        <f>VLOOKUP($A69,'Data Vlaue (Cr)'!$C:$FB,94)</f>
        <v>0.52739999999999998</v>
      </c>
      <c r="K69" s="91">
        <f>VLOOKUP($A69,'Data Vlaue (Cr)'!$C:$FB,95)</f>
        <v>325</v>
      </c>
      <c r="L69" s="91">
        <f>VLOOKUP($A69,'Data Vlaue (Cr)'!$C:$FB,97)</f>
        <v>93</v>
      </c>
      <c r="M69" s="92">
        <f>VLOOKUP($A69,'Data Vlaue (Cr)'!$C:$FB,98)</f>
        <v>0.40079999999999999</v>
      </c>
      <c r="N69" s="91">
        <f>VLOOKUP($A69,'Data Vlaue (Cr)'!$C:$FB,79)</f>
        <v>997</v>
      </c>
      <c r="O69" s="92">
        <f>VLOOKUP($A69,'Data Vlaue (Cr)'!$C:$FB,82)</f>
        <v>1.9400000000000001E-2</v>
      </c>
    </row>
    <row r="70" spans="1:15" x14ac:dyDescent="0.25">
      <c r="A70" s="97" t="str">
        <f>'Data Vlaue (Cr)'!C65</f>
        <v>FEDERALBNK</v>
      </c>
      <c r="B70" s="142">
        <f>VLOOKUP(A70,'Data Vlaue (Cr)'!C65:CW279,99,0)</f>
        <v>4045</v>
      </c>
      <c r="C70" s="90">
        <f>VLOOKUP(A70,'Data Vlaue (Cr)'!C65:CY279,101,0)</f>
        <v>13</v>
      </c>
      <c r="D70" s="139">
        <f>VLOOKUP(A70,'Data Vlaue (Cr)'!C65:CZ279,102,0)</f>
        <v>3.2000000000000002E-3</v>
      </c>
      <c r="E70" s="91">
        <f>VLOOKUP($A70,'Data Vlaue (Cr)'!$C:$FB,75)</f>
        <v>2420</v>
      </c>
      <c r="F70" s="91">
        <f>VLOOKUP($A70,'Data Vlaue (Cr)'!$C:$FB,77)</f>
        <v>72</v>
      </c>
      <c r="G70" s="92">
        <f>VLOOKUP(A70,'Data Vlaue (Cr)'!C65:CB279,78,0)</f>
        <v>3.0599999999999999E-2</v>
      </c>
      <c r="H70" s="91">
        <f>VLOOKUP($A70,'Data Vlaue (Cr)'!$C:$FB,91)</f>
        <v>1054</v>
      </c>
      <c r="I70" s="91">
        <f>VLOOKUP($A70,'Data Vlaue (Cr)'!$C:$FB,93)</f>
        <v>-60</v>
      </c>
      <c r="J70" s="92">
        <f>VLOOKUP($A70,'Data Vlaue (Cr)'!$C:$FB,94)</f>
        <v>-5.3800000000000001E-2</v>
      </c>
      <c r="K70" s="91">
        <f>VLOOKUP($A70,'Data Vlaue (Cr)'!$C:$FB,95)</f>
        <v>570</v>
      </c>
      <c r="L70" s="91">
        <f>VLOOKUP($A70,'Data Vlaue (Cr)'!$C:$FB,97)</f>
        <v>1</v>
      </c>
      <c r="M70" s="92">
        <f>VLOOKUP($A70,'Data Vlaue (Cr)'!$C:$FB,98)</f>
        <v>2E-3</v>
      </c>
      <c r="N70" s="91">
        <f>VLOOKUP($A70,'Data Vlaue (Cr)'!$C:$FB,79)</f>
        <v>2220</v>
      </c>
      <c r="O70" s="92">
        <f>VLOOKUP($A70,'Data Vlaue (Cr)'!$C:$FB,82)</f>
        <v>2.6499999999999999E-2</v>
      </c>
    </row>
    <row r="71" spans="1:15" x14ac:dyDescent="0.25">
      <c r="A71" s="97" t="str">
        <f>'Data Vlaue (Cr)'!C66</f>
        <v>FINNIFTY</v>
      </c>
      <c r="B71" s="142">
        <f>VLOOKUP(A71,'Data Vlaue (Cr)'!C66:CW280,99,0)</f>
        <v>677</v>
      </c>
      <c r="C71" s="90">
        <f>VLOOKUP(A71,'Data Vlaue (Cr)'!C66:CY280,101,0)</f>
        <v>207</v>
      </c>
      <c r="D71" s="139">
        <f>VLOOKUP(A71,'Data Vlaue (Cr)'!C66:CZ280,102,0)</f>
        <v>0.44209999999999999</v>
      </c>
      <c r="E71" s="91">
        <f>VLOOKUP($A71,'Data Vlaue (Cr)'!$C:$FB,75)</f>
        <v>69</v>
      </c>
      <c r="F71" s="91">
        <f>VLOOKUP($A71,'Data Vlaue (Cr)'!$C:$FB,77)</f>
        <v>2</v>
      </c>
      <c r="G71" s="92">
        <f>VLOOKUP(A71,'Data Vlaue (Cr)'!C66:CB280,78,0)</f>
        <v>2.3099999999999999E-2</v>
      </c>
      <c r="H71" s="91">
        <f>VLOOKUP($A71,'Data Vlaue (Cr)'!$C:$FB,91)</f>
        <v>378</v>
      </c>
      <c r="I71" s="91">
        <f>VLOOKUP($A71,'Data Vlaue (Cr)'!$C:$FB,93)</f>
        <v>99</v>
      </c>
      <c r="J71" s="92">
        <f>VLOOKUP($A71,'Data Vlaue (Cr)'!$C:$FB,94)</f>
        <v>0.3574</v>
      </c>
      <c r="K71" s="91">
        <f>VLOOKUP($A71,'Data Vlaue (Cr)'!$C:$FB,95)</f>
        <v>230</v>
      </c>
      <c r="L71" s="91">
        <f>VLOOKUP($A71,'Data Vlaue (Cr)'!$C:$FB,97)</f>
        <v>106</v>
      </c>
      <c r="M71" s="92">
        <f>VLOOKUP($A71,'Data Vlaue (Cr)'!$C:$FB,98)</f>
        <v>0.86040000000000005</v>
      </c>
      <c r="N71" s="91">
        <f>VLOOKUP($A71,'Data Vlaue (Cr)'!$C:$FB,79)</f>
        <v>69</v>
      </c>
      <c r="O71" s="92">
        <f>VLOOKUP($A71,'Data Vlaue (Cr)'!$C:$FB,82)</f>
        <v>2.3099999999999999E-2</v>
      </c>
    </row>
    <row r="72" spans="1:15" x14ac:dyDescent="0.25">
      <c r="A72" s="97" t="str">
        <f>'Data Vlaue (Cr)'!C67</f>
        <v>FORCEMOT</v>
      </c>
      <c r="B72" s="142">
        <f>VLOOKUP(A72,'Data Vlaue (Cr)'!C67:CW281,99,0)</f>
        <v>950</v>
      </c>
      <c r="C72" s="90">
        <f>VLOOKUP(A72,'Data Vlaue (Cr)'!C67:CY281,101,0)</f>
        <v>77</v>
      </c>
      <c r="D72" s="139">
        <f>VLOOKUP(A72,'Data Vlaue (Cr)'!C67:CZ281,102,0)</f>
        <v>8.8200000000000001E-2</v>
      </c>
      <c r="E72" s="91">
        <f>VLOOKUP($A72,'Data Vlaue (Cr)'!$C:$FB,75)</f>
        <v>567</v>
      </c>
      <c r="F72" s="91">
        <f>VLOOKUP($A72,'Data Vlaue (Cr)'!$C:$FB,77)</f>
        <v>18</v>
      </c>
      <c r="G72" s="92">
        <f>VLOOKUP(A72,'Data Vlaue (Cr)'!C67:CB281,78,0)</f>
        <v>3.27E-2</v>
      </c>
      <c r="H72" s="91">
        <f>VLOOKUP($A72,'Data Vlaue (Cr)'!$C:$FB,91)</f>
        <v>287</v>
      </c>
      <c r="I72" s="91">
        <f>VLOOKUP($A72,'Data Vlaue (Cr)'!$C:$FB,93)</f>
        <v>55</v>
      </c>
      <c r="J72" s="92">
        <f>VLOOKUP($A72,'Data Vlaue (Cr)'!$C:$FB,94)</f>
        <v>0.23719999999999999</v>
      </c>
      <c r="K72" s="91">
        <f>VLOOKUP($A72,'Data Vlaue (Cr)'!$C:$FB,95)</f>
        <v>96</v>
      </c>
      <c r="L72" s="91">
        <f>VLOOKUP($A72,'Data Vlaue (Cr)'!$C:$FB,97)</f>
        <v>4</v>
      </c>
      <c r="M72" s="92">
        <f>VLOOKUP($A72,'Data Vlaue (Cr)'!$C:$FB,98)</f>
        <v>4.2999999999999997E-2</v>
      </c>
      <c r="N72" s="91">
        <f>VLOOKUP($A72,'Data Vlaue (Cr)'!$C:$FB,79)</f>
        <v>541</v>
      </c>
      <c r="O72" s="92">
        <f>VLOOKUP($A72,'Data Vlaue (Cr)'!$C:$FB,82)</f>
        <v>2.3800000000000002E-2</v>
      </c>
    </row>
    <row r="73" spans="1:15" x14ac:dyDescent="0.25">
      <c r="A73" s="97" t="str">
        <f>'Data Vlaue (Cr)'!C68</f>
        <v>FORTIS</v>
      </c>
      <c r="B73" s="142">
        <f>VLOOKUP(A73,'Data Vlaue (Cr)'!C68:CW282,99,0)</f>
        <v>1122</v>
      </c>
      <c r="C73" s="90">
        <f>VLOOKUP(A73,'Data Vlaue (Cr)'!C68:CY282,101,0)</f>
        <v>48</v>
      </c>
      <c r="D73" s="139">
        <f>VLOOKUP(A73,'Data Vlaue (Cr)'!C68:CZ282,102,0)</f>
        <v>4.48E-2</v>
      </c>
      <c r="E73" s="91">
        <f>VLOOKUP($A73,'Data Vlaue (Cr)'!$C:$FB,75)</f>
        <v>899</v>
      </c>
      <c r="F73" s="91">
        <f>VLOOKUP($A73,'Data Vlaue (Cr)'!$C:$FB,77)</f>
        <v>-3</v>
      </c>
      <c r="G73" s="92">
        <f>VLOOKUP(A73,'Data Vlaue (Cr)'!C68:CB282,78,0)</f>
        <v>-3.8999999999999998E-3</v>
      </c>
      <c r="H73" s="91">
        <f>VLOOKUP($A73,'Data Vlaue (Cr)'!$C:$FB,91)</f>
        <v>145</v>
      </c>
      <c r="I73" s="91">
        <f>VLOOKUP($A73,'Data Vlaue (Cr)'!$C:$FB,93)</f>
        <v>36</v>
      </c>
      <c r="J73" s="92">
        <f>VLOOKUP($A73,'Data Vlaue (Cr)'!$C:$FB,94)</f>
        <v>0.3281</v>
      </c>
      <c r="K73" s="91">
        <f>VLOOKUP($A73,'Data Vlaue (Cr)'!$C:$FB,95)</f>
        <v>77</v>
      </c>
      <c r="L73" s="91">
        <f>VLOOKUP($A73,'Data Vlaue (Cr)'!$C:$FB,97)</f>
        <v>16</v>
      </c>
      <c r="M73" s="92">
        <f>VLOOKUP($A73,'Data Vlaue (Cr)'!$C:$FB,98)</f>
        <v>0.25509999999999999</v>
      </c>
      <c r="N73" s="91">
        <f>VLOOKUP($A73,'Data Vlaue (Cr)'!$C:$FB,79)</f>
        <v>719</v>
      </c>
      <c r="O73" s="92">
        <f>VLOOKUP($A73,'Data Vlaue (Cr)'!$C:$FB,82)</f>
        <v>-4.8999999999999998E-3</v>
      </c>
    </row>
    <row r="74" spans="1:15" x14ac:dyDescent="0.25">
      <c r="A74" s="97" t="str">
        <f>'Data Vlaue (Cr)'!C69</f>
        <v>GAIL</v>
      </c>
      <c r="B74" s="142">
        <f>VLOOKUP(A74,'Data Vlaue (Cr)'!C69:CW283,99,0)</f>
        <v>1822</v>
      </c>
      <c r="C74" s="90">
        <f>VLOOKUP(A74,'Data Vlaue (Cr)'!C69:CY283,101,0)</f>
        <v>13</v>
      </c>
      <c r="D74" s="139">
        <f>VLOOKUP(A74,'Data Vlaue (Cr)'!C69:CZ283,102,0)</f>
        <v>7.1000000000000004E-3</v>
      </c>
      <c r="E74" s="91">
        <f>VLOOKUP($A74,'Data Vlaue (Cr)'!$C:$FB,75)</f>
        <v>1248</v>
      </c>
      <c r="F74" s="91">
        <f>VLOOKUP($A74,'Data Vlaue (Cr)'!$C:$FB,77)</f>
        <v>1</v>
      </c>
      <c r="G74" s="92">
        <f>VLOOKUP(A74,'Data Vlaue (Cr)'!C69:CB283,78,0)</f>
        <v>5.9999999999999995E-4</v>
      </c>
      <c r="H74" s="91">
        <f>VLOOKUP($A74,'Data Vlaue (Cr)'!$C:$FB,91)</f>
        <v>279</v>
      </c>
      <c r="I74" s="91">
        <f>VLOOKUP($A74,'Data Vlaue (Cr)'!$C:$FB,93)</f>
        <v>7</v>
      </c>
      <c r="J74" s="92">
        <f>VLOOKUP($A74,'Data Vlaue (Cr)'!$C:$FB,94)</f>
        <v>2.6499999999999999E-2</v>
      </c>
      <c r="K74" s="91">
        <f>VLOOKUP($A74,'Data Vlaue (Cr)'!$C:$FB,95)</f>
        <v>295</v>
      </c>
      <c r="L74" s="91">
        <f>VLOOKUP($A74,'Data Vlaue (Cr)'!$C:$FB,97)</f>
        <v>5</v>
      </c>
      <c r="M74" s="92">
        <f>VLOOKUP($A74,'Data Vlaue (Cr)'!$C:$FB,98)</f>
        <v>1.7100000000000001E-2</v>
      </c>
      <c r="N74" s="91">
        <f>VLOOKUP($A74,'Data Vlaue (Cr)'!$C:$FB,79)</f>
        <v>1150</v>
      </c>
      <c r="O74" s="92">
        <f>VLOOKUP($A74,'Data Vlaue (Cr)'!$C:$FB,82)</f>
        <v>8.9999999999999998E-4</v>
      </c>
    </row>
    <row r="75" spans="1:15" x14ac:dyDescent="0.25">
      <c r="A75" s="97" t="str">
        <f>'Data Vlaue (Cr)'!C70</f>
        <v>GLENMARK</v>
      </c>
      <c r="B75" s="142">
        <f>VLOOKUP(A75,'Data Vlaue (Cr)'!C70:CW284,99,0)</f>
        <v>3332</v>
      </c>
      <c r="C75" s="90">
        <f>VLOOKUP(A75,'Data Vlaue (Cr)'!C70:CY284,101,0)</f>
        <v>35</v>
      </c>
      <c r="D75" s="139">
        <f>VLOOKUP(A75,'Data Vlaue (Cr)'!C70:CZ284,102,0)</f>
        <v>1.0800000000000001E-2</v>
      </c>
      <c r="E75" s="91">
        <f>VLOOKUP($A75,'Data Vlaue (Cr)'!$C:$FB,75)</f>
        <v>2700</v>
      </c>
      <c r="F75" s="91">
        <f>VLOOKUP($A75,'Data Vlaue (Cr)'!$C:$FB,77)</f>
        <v>-7</v>
      </c>
      <c r="G75" s="92">
        <f>VLOOKUP(A75,'Data Vlaue (Cr)'!C70:CB284,78,0)</f>
        <v>-2.5000000000000001E-3</v>
      </c>
      <c r="H75" s="91">
        <f>VLOOKUP($A75,'Data Vlaue (Cr)'!$C:$FB,91)</f>
        <v>409</v>
      </c>
      <c r="I75" s="91">
        <f>VLOOKUP($A75,'Data Vlaue (Cr)'!$C:$FB,93)</f>
        <v>34</v>
      </c>
      <c r="J75" s="92">
        <f>VLOOKUP($A75,'Data Vlaue (Cr)'!$C:$FB,94)</f>
        <v>9.1499999999999998E-2</v>
      </c>
      <c r="K75" s="91">
        <f>VLOOKUP($A75,'Data Vlaue (Cr)'!$C:$FB,95)</f>
        <v>223</v>
      </c>
      <c r="L75" s="91">
        <f>VLOOKUP($A75,'Data Vlaue (Cr)'!$C:$FB,97)</f>
        <v>8</v>
      </c>
      <c r="M75" s="92">
        <f>VLOOKUP($A75,'Data Vlaue (Cr)'!$C:$FB,98)</f>
        <v>3.6999999999999998E-2</v>
      </c>
      <c r="N75" s="91">
        <f>VLOOKUP($A75,'Data Vlaue (Cr)'!$C:$FB,79)</f>
        <v>2687</v>
      </c>
      <c r="O75" s="92">
        <f>VLOOKUP($A75,'Data Vlaue (Cr)'!$C:$FB,82)</f>
        <v>-2.7000000000000001E-3</v>
      </c>
    </row>
    <row r="76" spans="1:15" x14ac:dyDescent="0.25">
      <c r="A76" s="97" t="str">
        <f>'Data Vlaue (Cr)'!C71</f>
        <v>GMRAIRPORT</v>
      </c>
      <c r="B76" s="142">
        <f>VLOOKUP(A76,'Data Vlaue (Cr)'!C71:CW285,99,0)</f>
        <v>2263</v>
      </c>
      <c r="C76" s="90">
        <f>VLOOKUP(A76,'Data Vlaue (Cr)'!C71:CY285,101,0)</f>
        <v>141</v>
      </c>
      <c r="D76" s="139">
        <f>VLOOKUP(A76,'Data Vlaue (Cr)'!C71:CZ285,102,0)</f>
        <v>6.6199999999999995E-2</v>
      </c>
      <c r="E76" s="91">
        <f>VLOOKUP($A76,'Data Vlaue (Cr)'!$C:$FB,75)</f>
        <v>1325</v>
      </c>
      <c r="F76" s="91">
        <f>VLOOKUP($A76,'Data Vlaue (Cr)'!$C:$FB,77)</f>
        <v>0</v>
      </c>
      <c r="G76" s="92">
        <f>VLOOKUP(A76,'Data Vlaue (Cr)'!C71:CB285,78,0)</f>
        <v>0</v>
      </c>
      <c r="H76" s="91">
        <f>VLOOKUP($A76,'Data Vlaue (Cr)'!$C:$FB,91)</f>
        <v>590</v>
      </c>
      <c r="I76" s="91">
        <f>VLOOKUP($A76,'Data Vlaue (Cr)'!$C:$FB,93)</f>
        <v>93</v>
      </c>
      <c r="J76" s="92">
        <f>VLOOKUP($A76,'Data Vlaue (Cr)'!$C:$FB,94)</f>
        <v>0.18640000000000001</v>
      </c>
      <c r="K76" s="91">
        <f>VLOOKUP($A76,'Data Vlaue (Cr)'!$C:$FB,95)</f>
        <v>349</v>
      </c>
      <c r="L76" s="91">
        <f>VLOOKUP($A76,'Data Vlaue (Cr)'!$C:$FB,97)</f>
        <v>48</v>
      </c>
      <c r="M76" s="92">
        <f>VLOOKUP($A76,'Data Vlaue (Cr)'!$C:$FB,98)</f>
        <v>0.1593</v>
      </c>
      <c r="N76" s="91">
        <f>VLOOKUP($A76,'Data Vlaue (Cr)'!$C:$FB,79)</f>
        <v>1258</v>
      </c>
      <c r="O76" s="92">
        <f>VLOOKUP($A76,'Data Vlaue (Cr)'!$C:$FB,82)</f>
        <v>8.0000000000000004E-4</v>
      </c>
    </row>
    <row r="77" spans="1:15" x14ac:dyDescent="0.25">
      <c r="A77" s="97" t="str">
        <f>'Data Vlaue (Cr)'!C72</f>
        <v>GODFRYPHLP</v>
      </c>
      <c r="B77" s="142">
        <f>VLOOKUP(A77,'Data Vlaue (Cr)'!C72:CW286,99,0)</f>
        <v>529</v>
      </c>
      <c r="C77" s="90">
        <f>VLOOKUP(A77,'Data Vlaue (Cr)'!C72:CY286,101,0)</f>
        <v>13</v>
      </c>
      <c r="D77" s="139">
        <f>VLOOKUP(A77,'Data Vlaue (Cr)'!C72:CZ286,102,0)</f>
        <v>2.5600000000000001E-2</v>
      </c>
      <c r="E77" s="91">
        <f>VLOOKUP($A77,'Data Vlaue (Cr)'!$C:$FB,75)</f>
        <v>355</v>
      </c>
      <c r="F77" s="91">
        <f>VLOOKUP($A77,'Data Vlaue (Cr)'!$C:$FB,77)</f>
        <v>8</v>
      </c>
      <c r="G77" s="92">
        <f>VLOOKUP(A77,'Data Vlaue (Cr)'!C72:CB286,78,0)</f>
        <v>2.2800000000000001E-2</v>
      </c>
      <c r="H77" s="91">
        <f>VLOOKUP($A77,'Data Vlaue (Cr)'!$C:$FB,91)</f>
        <v>125</v>
      </c>
      <c r="I77" s="91">
        <f>VLOOKUP($A77,'Data Vlaue (Cr)'!$C:$FB,93)</f>
        <v>5</v>
      </c>
      <c r="J77" s="92">
        <f>VLOOKUP($A77,'Data Vlaue (Cr)'!$C:$FB,94)</f>
        <v>3.8600000000000002E-2</v>
      </c>
      <c r="K77" s="91">
        <f>VLOOKUP($A77,'Data Vlaue (Cr)'!$C:$FB,95)</f>
        <v>49</v>
      </c>
      <c r="L77" s="91">
        <f>VLOOKUP($A77,'Data Vlaue (Cr)'!$C:$FB,97)</f>
        <v>1</v>
      </c>
      <c r="M77" s="92">
        <f>VLOOKUP($A77,'Data Vlaue (Cr)'!$C:$FB,98)</f>
        <v>1.38E-2</v>
      </c>
      <c r="N77" s="91">
        <f>VLOOKUP($A77,'Data Vlaue (Cr)'!$C:$FB,79)</f>
        <v>346</v>
      </c>
      <c r="O77" s="92">
        <f>VLOOKUP($A77,'Data Vlaue (Cr)'!$C:$FB,82)</f>
        <v>2.1100000000000001E-2</v>
      </c>
    </row>
    <row r="78" spans="1:15" x14ac:dyDescent="0.25">
      <c r="A78" s="97" t="str">
        <f>'Data Vlaue (Cr)'!C73</f>
        <v>GODREJCP</v>
      </c>
      <c r="B78" s="142">
        <f>VLOOKUP(A78,'Data Vlaue (Cr)'!C73:CW287,99,0)</f>
        <v>1626</v>
      </c>
      <c r="C78" s="90">
        <f>VLOOKUP(A78,'Data Vlaue (Cr)'!C73:CY287,101,0)</f>
        <v>40</v>
      </c>
      <c r="D78" s="139">
        <f>VLOOKUP(A78,'Data Vlaue (Cr)'!C73:CZ287,102,0)</f>
        <v>2.53E-2</v>
      </c>
      <c r="E78" s="91">
        <f>VLOOKUP($A78,'Data Vlaue (Cr)'!$C:$FB,75)</f>
        <v>1422</v>
      </c>
      <c r="F78" s="91">
        <f>VLOOKUP($A78,'Data Vlaue (Cr)'!$C:$FB,77)</f>
        <v>13</v>
      </c>
      <c r="G78" s="92">
        <f>VLOOKUP(A78,'Data Vlaue (Cr)'!C73:CB287,78,0)</f>
        <v>9.1000000000000004E-3</v>
      </c>
      <c r="H78" s="91">
        <f>VLOOKUP($A78,'Data Vlaue (Cr)'!$C:$FB,91)</f>
        <v>115</v>
      </c>
      <c r="I78" s="91">
        <f>VLOOKUP($A78,'Data Vlaue (Cr)'!$C:$FB,93)</f>
        <v>25</v>
      </c>
      <c r="J78" s="92">
        <f>VLOOKUP($A78,'Data Vlaue (Cr)'!$C:$FB,94)</f>
        <v>0.27050000000000002</v>
      </c>
      <c r="K78" s="91">
        <f>VLOOKUP($A78,'Data Vlaue (Cr)'!$C:$FB,95)</f>
        <v>88</v>
      </c>
      <c r="L78" s="91">
        <f>VLOOKUP($A78,'Data Vlaue (Cr)'!$C:$FB,97)</f>
        <v>3</v>
      </c>
      <c r="M78" s="92">
        <f>VLOOKUP($A78,'Data Vlaue (Cr)'!$C:$FB,98)</f>
        <v>3.0800000000000001E-2</v>
      </c>
      <c r="N78" s="91">
        <f>VLOOKUP($A78,'Data Vlaue (Cr)'!$C:$FB,79)</f>
        <v>1351</v>
      </c>
      <c r="O78" s="92">
        <f>VLOOKUP($A78,'Data Vlaue (Cr)'!$C:$FB,82)</f>
        <v>9.1000000000000004E-3</v>
      </c>
    </row>
    <row r="79" spans="1:15" x14ac:dyDescent="0.25">
      <c r="A79" s="97" t="str">
        <f>'Data Vlaue (Cr)'!C74</f>
        <v>GODREJPROP</v>
      </c>
      <c r="B79" s="142">
        <f>VLOOKUP(A79,'Data Vlaue (Cr)'!C74:CW288,99,0)</f>
        <v>2165</v>
      </c>
      <c r="C79" s="90">
        <f>VLOOKUP(A79,'Data Vlaue (Cr)'!C74:CY288,101,0)</f>
        <v>361</v>
      </c>
      <c r="D79" s="139">
        <f>VLOOKUP(A79,'Data Vlaue (Cr)'!C74:CZ288,102,0)</f>
        <v>0.20030000000000001</v>
      </c>
      <c r="E79" s="91">
        <f>VLOOKUP($A79,'Data Vlaue (Cr)'!$C:$FB,75)</f>
        <v>1406</v>
      </c>
      <c r="F79" s="91">
        <f>VLOOKUP($A79,'Data Vlaue (Cr)'!$C:$FB,77)</f>
        <v>64</v>
      </c>
      <c r="G79" s="92">
        <f>VLOOKUP(A79,'Data Vlaue (Cr)'!C74:CB288,78,0)</f>
        <v>4.7699999999999999E-2</v>
      </c>
      <c r="H79" s="91">
        <f>VLOOKUP($A79,'Data Vlaue (Cr)'!$C:$FB,91)</f>
        <v>475</v>
      </c>
      <c r="I79" s="91">
        <f>VLOOKUP($A79,'Data Vlaue (Cr)'!$C:$FB,93)</f>
        <v>221</v>
      </c>
      <c r="J79" s="92">
        <f>VLOOKUP($A79,'Data Vlaue (Cr)'!$C:$FB,94)</f>
        <v>0.86709999999999998</v>
      </c>
      <c r="K79" s="91">
        <f>VLOOKUP($A79,'Data Vlaue (Cr)'!$C:$FB,95)</f>
        <v>284</v>
      </c>
      <c r="L79" s="91">
        <f>VLOOKUP($A79,'Data Vlaue (Cr)'!$C:$FB,97)</f>
        <v>77</v>
      </c>
      <c r="M79" s="92">
        <f>VLOOKUP($A79,'Data Vlaue (Cr)'!$C:$FB,98)</f>
        <v>0.36930000000000002</v>
      </c>
      <c r="N79" s="91">
        <f>VLOOKUP($A79,'Data Vlaue (Cr)'!$C:$FB,79)</f>
        <v>1254</v>
      </c>
      <c r="O79" s="92">
        <f>VLOOKUP($A79,'Data Vlaue (Cr)'!$C:$FB,82)</f>
        <v>5.1999999999999998E-2</v>
      </c>
    </row>
    <row r="80" spans="1:15" x14ac:dyDescent="0.25">
      <c r="A80" s="97" t="str">
        <f>'Data Vlaue (Cr)'!C75</f>
        <v>GRASIM</v>
      </c>
      <c r="B80" s="142">
        <f>VLOOKUP(A80,'Data Vlaue (Cr)'!C75:CW289,99,0)</f>
        <v>4754</v>
      </c>
      <c r="C80" s="90">
        <f>VLOOKUP(A80,'Data Vlaue (Cr)'!C75:CY289,101,0)</f>
        <v>104</v>
      </c>
      <c r="D80" s="139">
        <f>VLOOKUP(A80,'Data Vlaue (Cr)'!C75:CZ289,102,0)</f>
        <v>2.24E-2</v>
      </c>
      <c r="E80" s="91">
        <f>VLOOKUP($A80,'Data Vlaue (Cr)'!$C:$FB,75)</f>
        <v>4225</v>
      </c>
      <c r="F80" s="91">
        <f>VLOOKUP($A80,'Data Vlaue (Cr)'!$C:$FB,77)</f>
        <v>60</v>
      </c>
      <c r="G80" s="92">
        <f>VLOOKUP(A80,'Data Vlaue (Cr)'!C75:CB289,78,0)</f>
        <v>1.4500000000000001E-2</v>
      </c>
      <c r="H80" s="91">
        <f>VLOOKUP($A80,'Data Vlaue (Cr)'!$C:$FB,91)</f>
        <v>306</v>
      </c>
      <c r="I80" s="91">
        <f>VLOOKUP($A80,'Data Vlaue (Cr)'!$C:$FB,93)</f>
        <v>38</v>
      </c>
      <c r="J80" s="92">
        <f>VLOOKUP($A80,'Data Vlaue (Cr)'!$C:$FB,94)</f>
        <v>0.14319999999999999</v>
      </c>
      <c r="K80" s="91">
        <f>VLOOKUP($A80,'Data Vlaue (Cr)'!$C:$FB,95)</f>
        <v>223</v>
      </c>
      <c r="L80" s="91">
        <f>VLOOKUP($A80,'Data Vlaue (Cr)'!$C:$FB,97)</f>
        <v>5</v>
      </c>
      <c r="M80" s="92">
        <f>VLOOKUP($A80,'Data Vlaue (Cr)'!$C:$FB,98)</f>
        <v>2.47E-2</v>
      </c>
      <c r="N80" s="91">
        <f>VLOOKUP($A80,'Data Vlaue (Cr)'!$C:$FB,79)</f>
        <v>3995</v>
      </c>
      <c r="O80" s="92">
        <f>VLOOKUP($A80,'Data Vlaue (Cr)'!$C:$FB,82)</f>
        <v>1.37E-2</v>
      </c>
    </row>
    <row r="81" spans="1:15" x14ac:dyDescent="0.25">
      <c r="A81" s="97" t="str">
        <f>'Data Vlaue (Cr)'!C76</f>
        <v>HAL</v>
      </c>
      <c r="B81" s="142">
        <f>VLOOKUP(A81,'Data Vlaue (Cr)'!C76:CW290,99,0)</f>
        <v>5026</v>
      </c>
      <c r="C81" s="90">
        <f>VLOOKUP(A81,'Data Vlaue (Cr)'!C76:CY290,101,0)</f>
        <v>322</v>
      </c>
      <c r="D81" s="139">
        <f>VLOOKUP(A81,'Data Vlaue (Cr)'!C76:CZ290,102,0)</f>
        <v>6.8500000000000005E-2</v>
      </c>
      <c r="E81" s="91">
        <f>VLOOKUP($A81,'Data Vlaue (Cr)'!$C:$FB,75)</f>
        <v>3122</v>
      </c>
      <c r="F81" s="91">
        <f>VLOOKUP($A81,'Data Vlaue (Cr)'!$C:$FB,77)</f>
        <v>-80</v>
      </c>
      <c r="G81" s="92">
        <f>VLOOKUP(A81,'Data Vlaue (Cr)'!C76:CB290,78,0)</f>
        <v>-2.5000000000000001E-2</v>
      </c>
      <c r="H81" s="91">
        <f>VLOOKUP($A81,'Data Vlaue (Cr)'!$C:$FB,91)</f>
        <v>1022</v>
      </c>
      <c r="I81" s="91">
        <f>VLOOKUP($A81,'Data Vlaue (Cr)'!$C:$FB,93)</f>
        <v>221</v>
      </c>
      <c r="J81" s="92">
        <f>VLOOKUP($A81,'Data Vlaue (Cr)'!$C:$FB,94)</f>
        <v>0.27610000000000001</v>
      </c>
      <c r="K81" s="91">
        <f>VLOOKUP($A81,'Data Vlaue (Cr)'!$C:$FB,95)</f>
        <v>882</v>
      </c>
      <c r="L81" s="91">
        <f>VLOOKUP($A81,'Data Vlaue (Cr)'!$C:$FB,97)</f>
        <v>181</v>
      </c>
      <c r="M81" s="92">
        <f>VLOOKUP($A81,'Data Vlaue (Cr)'!$C:$FB,98)</f>
        <v>0.25869999999999999</v>
      </c>
      <c r="N81" s="91">
        <f>VLOOKUP($A81,'Data Vlaue (Cr)'!$C:$FB,79)</f>
        <v>2713</v>
      </c>
      <c r="O81" s="92">
        <f>VLOOKUP($A81,'Data Vlaue (Cr)'!$C:$FB,82)</f>
        <v>-3.2399999999999998E-2</v>
      </c>
    </row>
    <row r="82" spans="1:15" x14ac:dyDescent="0.25">
      <c r="A82" s="97" t="str">
        <f>'Data Vlaue (Cr)'!C77</f>
        <v>HAVELLS</v>
      </c>
      <c r="B82" s="142">
        <f>VLOOKUP(A82,'Data Vlaue (Cr)'!C77:CW291,99,0)</f>
        <v>2238</v>
      </c>
      <c r="C82" s="90">
        <f>VLOOKUP(A82,'Data Vlaue (Cr)'!C77:CY291,101,0)</f>
        <v>16</v>
      </c>
      <c r="D82" s="139">
        <f>VLOOKUP(A82,'Data Vlaue (Cr)'!C77:CZ291,102,0)</f>
        <v>7.0000000000000001E-3</v>
      </c>
      <c r="E82" s="91">
        <f>VLOOKUP($A82,'Data Vlaue (Cr)'!$C:$FB,75)</f>
        <v>1333</v>
      </c>
      <c r="F82" s="91">
        <f>VLOOKUP($A82,'Data Vlaue (Cr)'!$C:$FB,77)</f>
        <v>-13</v>
      </c>
      <c r="G82" s="92">
        <f>VLOOKUP(A82,'Data Vlaue (Cr)'!C77:CB291,78,0)</f>
        <v>-9.7999999999999997E-3</v>
      </c>
      <c r="H82" s="91">
        <f>VLOOKUP($A82,'Data Vlaue (Cr)'!$C:$FB,91)</f>
        <v>613</v>
      </c>
      <c r="I82" s="91">
        <f>VLOOKUP($A82,'Data Vlaue (Cr)'!$C:$FB,93)</f>
        <v>26</v>
      </c>
      <c r="J82" s="92">
        <f>VLOOKUP($A82,'Data Vlaue (Cr)'!$C:$FB,94)</f>
        <v>4.3900000000000002E-2</v>
      </c>
      <c r="K82" s="91">
        <f>VLOOKUP($A82,'Data Vlaue (Cr)'!$C:$FB,95)</f>
        <v>292</v>
      </c>
      <c r="L82" s="91">
        <f>VLOOKUP($A82,'Data Vlaue (Cr)'!$C:$FB,97)</f>
        <v>3</v>
      </c>
      <c r="M82" s="92">
        <f>VLOOKUP($A82,'Data Vlaue (Cr)'!$C:$FB,98)</f>
        <v>0.01</v>
      </c>
      <c r="N82" s="91">
        <f>VLOOKUP($A82,'Data Vlaue (Cr)'!$C:$FB,79)</f>
        <v>1274</v>
      </c>
      <c r="O82" s="92">
        <f>VLOOKUP($A82,'Data Vlaue (Cr)'!$C:$FB,82)</f>
        <v>-1.06E-2</v>
      </c>
    </row>
    <row r="83" spans="1:15" x14ac:dyDescent="0.25">
      <c r="A83" s="97" t="str">
        <f>'Data Vlaue (Cr)'!C78</f>
        <v>HCLTECH</v>
      </c>
      <c r="B83" s="142">
        <f>VLOOKUP(A83,'Data Vlaue (Cr)'!C78:CW292,99,0)</f>
        <v>9329</v>
      </c>
      <c r="C83" s="90">
        <f>VLOOKUP(A83,'Data Vlaue (Cr)'!C78:CY292,101,0)</f>
        <v>251</v>
      </c>
      <c r="D83" s="139">
        <f>VLOOKUP(A83,'Data Vlaue (Cr)'!C78:CZ292,102,0)</f>
        <v>2.76E-2</v>
      </c>
      <c r="E83" s="91">
        <f>VLOOKUP($A83,'Data Vlaue (Cr)'!$C:$FB,75)</f>
        <v>5294</v>
      </c>
      <c r="F83" s="91">
        <f>VLOOKUP($A83,'Data Vlaue (Cr)'!$C:$FB,77)</f>
        <v>61</v>
      </c>
      <c r="G83" s="92">
        <f>VLOOKUP(A83,'Data Vlaue (Cr)'!C78:CB292,78,0)</f>
        <v>1.17E-2</v>
      </c>
      <c r="H83" s="91">
        <f>VLOOKUP($A83,'Data Vlaue (Cr)'!$C:$FB,91)</f>
        <v>2651</v>
      </c>
      <c r="I83" s="91">
        <f>VLOOKUP($A83,'Data Vlaue (Cr)'!$C:$FB,93)</f>
        <v>151</v>
      </c>
      <c r="J83" s="92">
        <f>VLOOKUP($A83,'Data Vlaue (Cr)'!$C:$FB,94)</f>
        <v>6.0600000000000001E-2</v>
      </c>
      <c r="K83" s="91">
        <f>VLOOKUP($A83,'Data Vlaue (Cr)'!$C:$FB,95)</f>
        <v>1385</v>
      </c>
      <c r="L83" s="91">
        <f>VLOOKUP($A83,'Data Vlaue (Cr)'!$C:$FB,97)</f>
        <v>38</v>
      </c>
      <c r="M83" s="92">
        <f>VLOOKUP($A83,'Data Vlaue (Cr)'!$C:$FB,98)</f>
        <v>2.8400000000000002E-2</v>
      </c>
      <c r="N83" s="91">
        <f>VLOOKUP($A83,'Data Vlaue (Cr)'!$C:$FB,79)</f>
        <v>5040</v>
      </c>
      <c r="O83" s="92">
        <f>VLOOKUP($A83,'Data Vlaue (Cr)'!$C:$FB,82)</f>
        <v>7.7999999999999996E-3</v>
      </c>
    </row>
    <row r="84" spans="1:15" x14ac:dyDescent="0.25">
      <c r="A84" s="97" t="str">
        <f>'Data Vlaue (Cr)'!C79</f>
        <v>HDFCAMC</v>
      </c>
      <c r="B84" s="142">
        <f>VLOOKUP(A84,'Data Vlaue (Cr)'!C79:CW293,99,0)</f>
        <v>1920</v>
      </c>
      <c r="C84" s="90">
        <f>VLOOKUP(A84,'Data Vlaue (Cr)'!C79:CY293,101,0)</f>
        <v>68</v>
      </c>
      <c r="D84" s="139">
        <f>VLOOKUP(A84,'Data Vlaue (Cr)'!C79:CZ293,102,0)</f>
        <v>3.6600000000000001E-2</v>
      </c>
      <c r="E84" s="91">
        <f>VLOOKUP($A84,'Data Vlaue (Cr)'!$C:$FB,75)</f>
        <v>1525</v>
      </c>
      <c r="F84" s="91">
        <f>VLOOKUP($A84,'Data Vlaue (Cr)'!$C:$FB,77)</f>
        <v>29</v>
      </c>
      <c r="G84" s="92">
        <f>VLOOKUP(A84,'Data Vlaue (Cr)'!C79:CB293,78,0)</f>
        <v>1.9400000000000001E-2</v>
      </c>
      <c r="H84" s="91">
        <f>VLOOKUP($A84,'Data Vlaue (Cr)'!$C:$FB,91)</f>
        <v>233</v>
      </c>
      <c r="I84" s="91">
        <f>VLOOKUP($A84,'Data Vlaue (Cr)'!$C:$FB,93)</f>
        <v>28</v>
      </c>
      <c r="J84" s="92">
        <f>VLOOKUP($A84,'Data Vlaue (Cr)'!$C:$FB,94)</f>
        <v>0.1348</v>
      </c>
      <c r="K84" s="91">
        <f>VLOOKUP($A84,'Data Vlaue (Cr)'!$C:$FB,95)</f>
        <v>162</v>
      </c>
      <c r="L84" s="91">
        <f>VLOOKUP($A84,'Data Vlaue (Cr)'!$C:$FB,97)</f>
        <v>11</v>
      </c>
      <c r="M84" s="92">
        <f>VLOOKUP($A84,'Data Vlaue (Cr)'!$C:$FB,98)</f>
        <v>7.2599999999999998E-2</v>
      </c>
      <c r="N84" s="91">
        <f>VLOOKUP($A84,'Data Vlaue (Cr)'!$C:$FB,79)</f>
        <v>1500</v>
      </c>
      <c r="O84" s="92">
        <f>VLOOKUP($A84,'Data Vlaue (Cr)'!$C:$FB,82)</f>
        <v>2.2700000000000001E-2</v>
      </c>
    </row>
    <row r="85" spans="1:15" x14ac:dyDescent="0.25">
      <c r="A85" s="97" t="str">
        <f>'Data Vlaue (Cr)'!C80</f>
        <v>HDFCBANK</v>
      </c>
      <c r="B85" s="142">
        <f>VLOOKUP(A85,'Data Vlaue (Cr)'!C80:CW294,99,0)</f>
        <v>34529</v>
      </c>
      <c r="C85" s="90">
        <f>VLOOKUP(A85,'Data Vlaue (Cr)'!C80:CY294,101,0)</f>
        <v>690</v>
      </c>
      <c r="D85" s="139">
        <f>VLOOKUP(A85,'Data Vlaue (Cr)'!C80:CZ294,102,0)</f>
        <v>2.0400000000000001E-2</v>
      </c>
      <c r="E85" s="91">
        <f>VLOOKUP($A85,'Data Vlaue (Cr)'!$C:$FB,75)</f>
        <v>26448</v>
      </c>
      <c r="F85" s="91">
        <f>VLOOKUP($A85,'Data Vlaue (Cr)'!$C:$FB,77)</f>
        <v>142</v>
      </c>
      <c r="G85" s="92">
        <f>VLOOKUP(A85,'Data Vlaue (Cr)'!C80:CB294,78,0)</f>
        <v>5.4000000000000003E-3</v>
      </c>
      <c r="H85" s="91">
        <f>VLOOKUP($A85,'Data Vlaue (Cr)'!$C:$FB,91)</f>
        <v>5229</v>
      </c>
      <c r="I85" s="91">
        <f>VLOOKUP($A85,'Data Vlaue (Cr)'!$C:$FB,93)</f>
        <v>377</v>
      </c>
      <c r="J85" s="92">
        <f>VLOOKUP($A85,'Data Vlaue (Cr)'!$C:$FB,94)</f>
        <v>7.7700000000000005E-2</v>
      </c>
      <c r="K85" s="91">
        <f>VLOOKUP($A85,'Data Vlaue (Cr)'!$C:$FB,95)</f>
        <v>2852</v>
      </c>
      <c r="L85" s="91">
        <f>VLOOKUP($A85,'Data Vlaue (Cr)'!$C:$FB,97)</f>
        <v>171</v>
      </c>
      <c r="M85" s="92">
        <f>VLOOKUP($A85,'Data Vlaue (Cr)'!$C:$FB,98)</f>
        <v>6.3600000000000004E-2</v>
      </c>
      <c r="N85" s="91">
        <f>VLOOKUP($A85,'Data Vlaue (Cr)'!$C:$FB,79)</f>
        <v>20121</v>
      </c>
      <c r="O85" s="92">
        <f>VLOOKUP($A85,'Data Vlaue (Cr)'!$C:$FB,82)</f>
        <v>-1.6000000000000001E-3</v>
      </c>
    </row>
    <row r="86" spans="1:15" x14ac:dyDescent="0.25">
      <c r="A86" s="97" t="str">
        <f>'Data Vlaue (Cr)'!C81</f>
        <v>HDFCLIFE</v>
      </c>
      <c r="B86" s="142">
        <f>VLOOKUP(A86,'Data Vlaue (Cr)'!C81:CW295,99,0)</f>
        <v>3934</v>
      </c>
      <c r="C86" s="90">
        <f>VLOOKUP(A86,'Data Vlaue (Cr)'!C81:CY295,101,0)</f>
        <v>160</v>
      </c>
      <c r="D86" s="139">
        <f>VLOOKUP(A86,'Data Vlaue (Cr)'!C81:CZ295,102,0)</f>
        <v>4.2299999999999997E-2</v>
      </c>
      <c r="E86" s="91">
        <f>VLOOKUP($A86,'Data Vlaue (Cr)'!$C:$FB,75)</f>
        <v>2624</v>
      </c>
      <c r="F86" s="91">
        <f>VLOOKUP($A86,'Data Vlaue (Cr)'!$C:$FB,77)</f>
        <v>46</v>
      </c>
      <c r="G86" s="92">
        <f>VLOOKUP(A86,'Data Vlaue (Cr)'!C81:CB295,78,0)</f>
        <v>1.7999999999999999E-2</v>
      </c>
      <c r="H86" s="91">
        <f>VLOOKUP($A86,'Data Vlaue (Cr)'!$C:$FB,91)</f>
        <v>812</v>
      </c>
      <c r="I86" s="91">
        <f>VLOOKUP($A86,'Data Vlaue (Cr)'!$C:$FB,93)</f>
        <v>76</v>
      </c>
      <c r="J86" s="92">
        <f>VLOOKUP($A86,'Data Vlaue (Cr)'!$C:$FB,94)</f>
        <v>0.10299999999999999</v>
      </c>
      <c r="K86" s="91">
        <f>VLOOKUP($A86,'Data Vlaue (Cr)'!$C:$FB,95)</f>
        <v>498</v>
      </c>
      <c r="L86" s="91">
        <f>VLOOKUP($A86,'Data Vlaue (Cr)'!$C:$FB,97)</f>
        <v>37</v>
      </c>
      <c r="M86" s="92">
        <f>VLOOKUP($A86,'Data Vlaue (Cr)'!$C:$FB,98)</f>
        <v>8.1000000000000003E-2</v>
      </c>
      <c r="N86" s="91">
        <f>VLOOKUP($A86,'Data Vlaue (Cr)'!$C:$FB,79)</f>
        <v>2369</v>
      </c>
      <c r="O86" s="92">
        <f>VLOOKUP($A86,'Data Vlaue (Cr)'!$C:$FB,82)</f>
        <v>1.43E-2</v>
      </c>
    </row>
    <row r="87" spans="1:15" x14ac:dyDescent="0.25">
      <c r="A87" s="97" t="str">
        <f>'Data Vlaue (Cr)'!C82</f>
        <v>HEROMOTOCO</v>
      </c>
      <c r="B87" s="142">
        <f>VLOOKUP(A87,'Data Vlaue (Cr)'!C82:CW296,99,0)</f>
        <v>3490</v>
      </c>
      <c r="C87" s="90">
        <f>VLOOKUP(A87,'Data Vlaue (Cr)'!C82:CY296,101,0)</f>
        <v>325</v>
      </c>
      <c r="D87" s="139">
        <f>VLOOKUP(A87,'Data Vlaue (Cr)'!C82:CZ296,102,0)</f>
        <v>0.1026</v>
      </c>
      <c r="E87" s="91">
        <f>VLOOKUP($A87,'Data Vlaue (Cr)'!$C:$FB,75)</f>
        <v>2269</v>
      </c>
      <c r="F87" s="91">
        <f>VLOOKUP($A87,'Data Vlaue (Cr)'!$C:$FB,77)</f>
        <v>72</v>
      </c>
      <c r="G87" s="92">
        <f>VLOOKUP(A87,'Data Vlaue (Cr)'!C82:CB296,78,0)</f>
        <v>3.2500000000000001E-2</v>
      </c>
      <c r="H87" s="91">
        <f>VLOOKUP($A87,'Data Vlaue (Cr)'!$C:$FB,91)</f>
        <v>768</v>
      </c>
      <c r="I87" s="91">
        <f>VLOOKUP($A87,'Data Vlaue (Cr)'!$C:$FB,93)</f>
        <v>179</v>
      </c>
      <c r="J87" s="92">
        <f>VLOOKUP($A87,'Data Vlaue (Cr)'!$C:$FB,94)</f>
        <v>0.30459999999999998</v>
      </c>
      <c r="K87" s="91">
        <f>VLOOKUP($A87,'Data Vlaue (Cr)'!$C:$FB,95)</f>
        <v>454</v>
      </c>
      <c r="L87" s="91">
        <f>VLOOKUP($A87,'Data Vlaue (Cr)'!$C:$FB,97)</f>
        <v>74</v>
      </c>
      <c r="M87" s="92">
        <f>VLOOKUP($A87,'Data Vlaue (Cr)'!$C:$FB,98)</f>
        <v>0.19470000000000001</v>
      </c>
      <c r="N87" s="91">
        <f>VLOOKUP($A87,'Data Vlaue (Cr)'!$C:$FB,79)</f>
        <v>2116</v>
      </c>
      <c r="O87" s="92">
        <f>VLOOKUP($A87,'Data Vlaue (Cr)'!$C:$FB,82)</f>
        <v>2.9000000000000001E-2</v>
      </c>
    </row>
    <row r="88" spans="1:15" x14ac:dyDescent="0.25">
      <c r="A88" s="97" t="str">
        <f>'Data Vlaue (Cr)'!C83</f>
        <v>HINDALCO</v>
      </c>
      <c r="B88" s="142">
        <f>VLOOKUP(A88,'Data Vlaue (Cr)'!C83:CW297,99,0)</f>
        <v>4726</v>
      </c>
      <c r="C88" s="90">
        <f>VLOOKUP(A88,'Data Vlaue (Cr)'!C83:CY297,101,0)</f>
        <v>167</v>
      </c>
      <c r="D88" s="139">
        <f>VLOOKUP(A88,'Data Vlaue (Cr)'!C83:CZ297,102,0)</f>
        <v>3.6700000000000003E-2</v>
      </c>
      <c r="E88" s="91">
        <f>VLOOKUP($A88,'Data Vlaue (Cr)'!$C:$FB,75)</f>
        <v>3573</v>
      </c>
      <c r="F88" s="91">
        <f>VLOOKUP($A88,'Data Vlaue (Cr)'!$C:$FB,77)</f>
        <v>14</v>
      </c>
      <c r="G88" s="92">
        <f>VLOOKUP(A88,'Data Vlaue (Cr)'!C83:CB297,78,0)</f>
        <v>4.0000000000000001E-3</v>
      </c>
      <c r="H88" s="91">
        <f>VLOOKUP($A88,'Data Vlaue (Cr)'!$C:$FB,91)</f>
        <v>656</v>
      </c>
      <c r="I88" s="91">
        <f>VLOOKUP($A88,'Data Vlaue (Cr)'!$C:$FB,93)</f>
        <v>86</v>
      </c>
      <c r="J88" s="92">
        <f>VLOOKUP($A88,'Data Vlaue (Cr)'!$C:$FB,94)</f>
        <v>0.15140000000000001</v>
      </c>
      <c r="K88" s="91">
        <f>VLOOKUP($A88,'Data Vlaue (Cr)'!$C:$FB,95)</f>
        <v>498</v>
      </c>
      <c r="L88" s="91">
        <f>VLOOKUP($A88,'Data Vlaue (Cr)'!$C:$FB,97)</f>
        <v>67</v>
      </c>
      <c r="M88" s="92">
        <f>VLOOKUP($A88,'Data Vlaue (Cr)'!$C:$FB,98)</f>
        <v>0.15509999999999999</v>
      </c>
      <c r="N88" s="91">
        <f>VLOOKUP($A88,'Data Vlaue (Cr)'!$C:$FB,79)</f>
        <v>3235</v>
      </c>
      <c r="O88" s="92">
        <f>VLOOKUP($A88,'Data Vlaue (Cr)'!$C:$FB,82)</f>
        <v>-3.3E-3</v>
      </c>
    </row>
    <row r="89" spans="1:15" x14ac:dyDescent="0.25">
      <c r="A89" s="97" t="str">
        <f>'Data Vlaue (Cr)'!C84</f>
        <v>HINDPETRO</v>
      </c>
      <c r="B89" s="142">
        <f>VLOOKUP(A89,'Data Vlaue (Cr)'!C84:CW298,99,0)</f>
        <v>2210</v>
      </c>
      <c r="C89" s="90">
        <f>VLOOKUP(A89,'Data Vlaue (Cr)'!C84:CY298,101,0)</f>
        <v>201</v>
      </c>
      <c r="D89" s="139">
        <f>VLOOKUP(A89,'Data Vlaue (Cr)'!C84:CZ298,102,0)</f>
        <v>0.1003</v>
      </c>
      <c r="E89" s="91">
        <f>VLOOKUP($A89,'Data Vlaue (Cr)'!$C:$FB,75)</f>
        <v>1414</v>
      </c>
      <c r="F89" s="91">
        <f>VLOOKUP($A89,'Data Vlaue (Cr)'!$C:$FB,77)</f>
        <v>66</v>
      </c>
      <c r="G89" s="92">
        <f>VLOOKUP(A89,'Data Vlaue (Cr)'!C84:CB298,78,0)</f>
        <v>4.9099999999999998E-2</v>
      </c>
      <c r="H89" s="91">
        <f>VLOOKUP($A89,'Data Vlaue (Cr)'!$C:$FB,91)</f>
        <v>371</v>
      </c>
      <c r="I89" s="91">
        <f>VLOOKUP($A89,'Data Vlaue (Cr)'!$C:$FB,93)</f>
        <v>48</v>
      </c>
      <c r="J89" s="92">
        <f>VLOOKUP($A89,'Data Vlaue (Cr)'!$C:$FB,94)</f>
        <v>0.1479</v>
      </c>
      <c r="K89" s="91">
        <f>VLOOKUP($A89,'Data Vlaue (Cr)'!$C:$FB,95)</f>
        <v>426</v>
      </c>
      <c r="L89" s="91">
        <f>VLOOKUP($A89,'Data Vlaue (Cr)'!$C:$FB,97)</f>
        <v>88</v>
      </c>
      <c r="M89" s="92">
        <f>VLOOKUP($A89,'Data Vlaue (Cr)'!$C:$FB,98)</f>
        <v>0.2586</v>
      </c>
      <c r="N89" s="91">
        <f>VLOOKUP($A89,'Data Vlaue (Cr)'!$C:$FB,79)</f>
        <v>1365</v>
      </c>
      <c r="O89" s="92">
        <f>VLOOKUP($A89,'Data Vlaue (Cr)'!$C:$FB,82)</f>
        <v>4.7899999999999998E-2</v>
      </c>
    </row>
    <row r="90" spans="1:15" x14ac:dyDescent="0.25">
      <c r="A90" s="97" t="str">
        <f>'Data Vlaue (Cr)'!C85</f>
        <v>HINDUNILVR</v>
      </c>
      <c r="B90" s="142">
        <f>VLOOKUP(A90,'Data Vlaue (Cr)'!C85:CW299,99,0)</f>
        <v>6119</v>
      </c>
      <c r="C90" s="90">
        <f>VLOOKUP(A90,'Data Vlaue (Cr)'!C85:CY299,101,0)</f>
        <v>-141</v>
      </c>
      <c r="D90" s="139">
        <f>VLOOKUP(A90,'Data Vlaue (Cr)'!C85:CZ299,102,0)</f>
        <v>-2.2499999999999999E-2</v>
      </c>
      <c r="E90" s="91">
        <f>VLOOKUP($A90,'Data Vlaue (Cr)'!$C:$FB,75)</f>
        <v>3503</v>
      </c>
      <c r="F90" s="91">
        <f>VLOOKUP($A90,'Data Vlaue (Cr)'!$C:$FB,77)</f>
        <v>-189</v>
      </c>
      <c r="G90" s="92">
        <f>VLOOKUP(A90,'Data Vlaue (Cr)'!C85:CB299,78,0)</f>
        <v>-5.1299999999999998E-2</v>
      </c>
      <c r="H90" s="91">
        <f>VLOOKUP($A90,'Data Vlaue (Cr)'!$C:$FB,91)</f>
        <v>1636</v>
      </c>
      <c r="I90" s="91">
        <f>VLOOKUP($A90,'Data Vlaue (Cr)'!$C:$FB,93)</f>
        <v>-33</v>
      </c>
      <c r="J90" s="92">
        <f>VLOOKUP($A90,'Data Vlaue (Cr)'!$C:$FB,94)</f>
        <v>-1.9900000000000001E-2</v>
      </c>
      <c r="K90" s="91">
        <f>VLOOKUP($A90,'Data Vlaue (Cr)'!$C:$FB,95)</f>
        <v>980</v>
      </c>
      <c r="L90" s="91">
        <f>VLOOKUP($A90,'Data Vlaue (Cr)'!$C:$FB,97)</f>
        <v>82</v>
      </c>
      <c r="M90" s="92">
        <f>VLOOKUP($A90,'Data Vlaue (Cr)'!$C:$FB,98)</f>
        <v>9.0999999999999998E-2</v>
      </c>
      <c r="N90" s="91">
        <f>VLOOKUP($A90,'Data Vlaue (Cr)'!$C:$FB,79)</f>
        <v>3355</v>
      </c>
      <c r="O90" s="92">
        <f>VLOOKUP($A90,'Data Vlaue (Cr)'!$C:$FB,82)</f>
        <v>-5.4300000000000001E-2</v>
      </c>
    </row>
    <row r="91" spans="1:15" x14ac:dyDescent="0.25">
      <c r="A91" s="97" t="str">
        <f>'Data Vlaue (Cr)'!C86</f>
        <v>HINDZINC</v>
      </c>
      <c r="B91" s="142">
        <f>VLOOKUP(A91,'Data Vlaue (Cr)'!C86:CW300,99,0)</f>
        <v>3722</v>
      </c>
      <c r="C91" s="90">
        <f>VLOOKUP(A91,'Data Vlaue (Cr)'!C86:CY300,101,0)</f>
        <v>33</v>
      </c>
      <c r="D91" s="139">
        <f>VLOOKUP(A91,'Data Vlaue (Cr)'!C86:CZ300,102,0)</f>
        <v>8.8999999999999999E-3</v>
      </c>
      <c r="E91" s="91">
        <f>VLOOKUP($A91,'Data Vlaue (Cr)'!$C:$FB,75)</f>
        <v>2109</v>
      </c>
      <c r="F91" s="91">
        <f>VLOOKUP($A91,'Data Vlaue (Cr)'!$C:$FB,77)</f>
        <v>1</v>
      </c>
      <c r="G91" s="92">
        <f>VLOOKUP(A91,'Data Vlaue (Cr)'!C86:CB300,78,0)</f>
        <v>5.0000000000000001E-4</v>
      </c>
      <c r="H91" s="91">
        <f>VLOOKUP($A91,'Data Vlaue (Cr)'!$C:$FB,91)</f>
        <v>989</v>
      </c>
      <c r="I91" s="91">
        <f>VLOOKUP($A91,'Data Vlaue (Cr)'!$C:$FB,93)</f>
        <v>18</v>
      </c>
      <c r="J91" s="92">
        <f>VLOOKUP($A91,'Data Vlaue (Cr)'!$C:$FB,94)</f>
        <v>1.9E-2</v>
      </c>
      <c r="K91" s="91">
        <f>VLOOKUP($A91,'Data Vlaue (Cr)'!$C:$FB,95)</f>
        <v>624</v>
      </c>
      <c r="L91" s="91">
        <f>VLOOKUP($A91,'Data Vlaue (Cr)'!$C:$FB,97)</f>
        <v>13</v>
      </c>
      <c r="M91" s="92">
        <f>VLOOKUP($A91,'Data Vlaue (Cr)'!$C:$FB,98)</f>
        <v>2.1899999999999999E-2</v>
      </c>
      <c r="N91" s="91">
        <f>VLOOKUP($A91,'Data Vlaue (Cr)'!$C:$FB,79)</f>
        <v>2038</v>
      </c>
      <c r="O91" s="92">
        <f>VLOOKUP($A91,'Data Vlaue (Cr)'!$C:$FB,82)</f>
        <v>-3.7000000000000002E-3</v>
      </c>
    </row>
    <row r="92" spans="1:15" x14ac:dyDescent="0.25">
      <c r="A92" s="97" t="str">
        <f>'Data Vlaue (Cr)'!C87</f>
        <v>HYUNDAI</v>
      </c>
      <c r="B92" s="142">
        <f>VLOOKUP(A92,'Data Vlaue (Cr)'!C87:CW301,99,0)</f>
        <v>1781</v>
      </c>
      <c r="C92" s="90">
        <f>VLOOKUP(A92,'Data Vlaue (Cr)'!C87:CY301,101,0)</f>
        <v>17</v>
      </c>
      <c r="D92" s="139">
        <f>VLOOKUP(A92,'Data Vlaue (Cr)'!C87:CZ301,102,0)</f>
        <v>9.7999999999999997E-3</v>
      </c>
      <c r="E92" s="91">
        <f>VLOOKUP($A92,'Data Vlaue (Cr)'!$C:$FB,75)</f>
        <v>1500</v>
      </c>
      <c r="F92" s="91">
        <f>VLOOKUP($A92,'Data Vlaue (Cr)'!$C:$FB,77)</f>
        <v>0</v>
      </c>
      <c r="G92" s="92">
        <f>VLOOKUP(A92,'Data Vlaue (Cr)'!C87:CB301,78,0)</f>
        <v>0</v>
      </c>
      <c r="H92" s="91">
        <f>VLOOKUP($A92,'Data Vlaue (Cr)'!$C:$FB,91)</f>
        <v>162</v>
      </c>
      <c r="I92" s="91">
        <f>VLOOKUP($A92,'Data Vlaue (Cr)'!$C:$FB,93)</f>
        <v>29</v>
      </c>
      <c r="J92" s="92">
        <f>VLOOKUP($A92,'Data Vlaue (Cr)'!$C:$FB,94)</f>
        <v>0.22120000000000001</v>
      </c>
      <c r="K92" s="91">
        <f>VLOOKUP($A92,'Data Vlaue (Cr)'!$C:$FB,95)</f>
        <v>119</v>
      </c>
      <c r="L92" s="91">
        <f>VLOOKUP($A92,'Data Vlaue (Cr)'!$C:$FB,97)</f>
        <v>-12</v>
      </c>
      <c r="M92" s="92">
        <f>VLOOKUP($A92,'Data Vlaue (Cr)'!$C:$FB,98)</f>
        <v>-9.2499999999999999E-2</v>
      </c>
      <c r="N92" s="91">
        <f>VLOOKUP($A92,'Data Vlaue (Cr)'!$C:$FB,79)</f>
        <v>1404</v>
      </c>
      <c r="O92" s="92">
        <f>VLOOKUP($A92,'Data Vlaue (Cr)'!$C:$FB,82)</f>
        <v>-1.9E-3</v>
      </c>
    </row>
    <row r="93" spans="1:15" x14ac:dyDescent="0.25">
      <c r="A93" s="97" t="str">
        <f>'Data Vlaue (Cr)'!C88</f>
        <v>ICICIBANK</v>
      </c>
      <c r="B93" s="142">
        <f>VLOOKUP(A93,'Data Vlaue (Cr)'!C88:CW302,99,0)</f>
        <v>24275</v>
      </c>
      <c r="C93" s="90">
        <f>VLOOKUP(A93,'Data Vlaue (Cr)'!C88:CY302,101,0)</f>
        <v>986</v>
      </c>
      <c r="D93" s="139">
        <f>VLOOKUP(A93,'Data Vlaue (Cr)'!C88:CZ302,102,0)</f>
        <v>4.24E-2</v>
      </c>
      <c r="E93" s="91">
        <f>VLOOKUP($A93,'Data Vlaue (Cr)'!$C:$FB,75)</f>
        <v>17729</v>
      </c>
      <c r="F93" s="91">
        <f>VLOOKUP($A93,'Data Vlaue (Cr)'!$C:$FB,77)</f>
        <v>546</v>
      </c>
      <c r="G93" s="92">
        <f>VLOOKUP(A93,'Data Vlaue (Cr)'!C88:CB302,78,0)</f>
        <v>3.1800000000000002E-2</v>
      </c>
      <c r="H93" s="91">
        <f>VLOOKUP($A93,'Data Vlaue (Cr)'!$C:$FB,91)</f>
        <v>4104</v>
      </c>
      <c r="I93" s="91">
        <f>VLOOKUP($A93,'Data Vlaue (Cr)'!$C:$FB,93)</f>
        <v>393</v>
      </c>
      <c r="J93" s="92">
        <f>VLOOKUP($A93,'Data Vlaue (Cr)'!$C:$FB,94)</f>
        <v>0.106</v>
      </c>
      <c r="K93" s="91">
        <f>VLOOKUP($A93,'Data Vlaue (Cr)'!$C:$FB,95)</f>
        <v>2443</v>
      </c>
      <c r="L93" s="91">
        <f>VLOOKUP($A93,'Data Vlaue (Cr)'!$C:$FB,97)</f>
        <v>47</v>
      </c>
      <c r="M93" s="92">
        <f>VLOOKUP($A93,'Data Vlaue (Cr)'!$C:$FB,98)</f>
        <v>1.9599999999999999E-2</v>
      </c>
      <c r="N93" s="91">
        <f>VLOOKUP($A93,'Data Vlaue (Cr)'!$C:$FB,79)</f>
        <v>14324</v>
      </c>
      <c r="O93" s="92">
        <f>VLOOKUP($A93,'Data Vlaue (Cr)'!$C:$FB,82)</f>
        <v>2.92E-2</v>
      </c>
    </row>
    <row r="94" spans="1:15" x14ac:dyDescent="0.25">
      <c r="A94" s="97" t="str">
        <f>'Data Vlaue (Cr)'!C89</f>
        <v>ICICIGI</v>
      </c>
      <c r="B94" s="142">
        <f>VLOOKUP(A94,'Data Vlaue (Cr)'!C89:CW303,99,0)</f>
        <v>1086</v>
      </c>
      <c r="C94" s="90">
        <f>VLOOKUP(A94,'Data Vlaue (Cr)'!C89:CY303,101,0)</f>
        <v>27</v>
      </c>
      <c r="D94" s="139">
        <f>VLOOKUP(A94,'Data Vlaue (Cr)'!C89:CZ303,102,0)</f>
        <v>2.5499999999999998E-2</v>
      </c>
      <c r="E94" s="91">
        <f>VLOOKUP($A94,'Data Vlaue (Cr)'!$C:$FB,75)</f>
        <v>939</v>
      </c>
      <c r="F94" s="91">
        <f>VLOOKUP($A94,'Data Vlaue (Cr)'!$C:$FB,77)</f>
        <v>3</v>
      </c>
      <c r="G94" s="92">
        <f>VLOOKUP(A94,'Data Vlaue (Cr)'!C89:CB303,78,0)</f>
        <v>2.7000000000000001E-3</v>
      </c>
      <c r="H94" s="91">
        <f>VLOOKUP($A94,'Data Vlaue (Cr)'!$C:$FB,91)</f>
        <v>91</v>
      </c>
      <c r="I94" s="91">
        <f>VLOOKUP($A94,'Data Vlaue (Cr)'!$C:$FB,93)</f>
        <v>15</v>
      </c>
      <c r="J94" s="92">
        <f>VLOOKUP($A94,'Data Vlaue (Cr)'!$C:$FB,94)</f>
        <v>0.20469999999999999</v>
      </c>
      <c r="K94" s="91">
        <f>VLOOKUP($A94,'Data Vlaue (Cr)'!$C:$FB,95)</f>
        <v>56</v>
      </c>
      <c r="L94" s="91">
        <f>VLOOKUP($A94,'Data Vlaue (Cr)'!$C:$FB,97)</f>
        <v>9</v>
      </c>
      <c r="M94" s="92">
        <f>VLOOKUP($A94,'Data Vlaue (Cr)'!$C:$FB,98)</f>
        <v>0.19409999999999999</v>
      </c>
      <c r="N94" s="91">
        <f>VLOOKUP($A94,'Data Vlaue (Cr)'!$C:$FB,79)</f>
        <v>886</v>
      </c>
      <c r="O94" s="92">
        <f>VLOOKUP($A94,'Data Vlaue (Cr)'!$C:$FB,82)</f>
        <v>1.4E-3</v>
      </c>
    </row>
    <row r="95" spans="1:15" x14ac:dyDescent="0.25">
      <c r="A95" s="97" t="str">
        <f>'Data Vlaue (Cr)'!C90</f>
        <v>ICICIPRULI</v>
      </c>
      <c r="B95" s="142">
        <f>VLOOKUP(A95,'Data Vlaue (Cr)'!C90:CW304,99,0)</f>
        <v>1403</v>
      </c>
      <c r="C95" s="90">
        <f>VLOOKUP(A95,'Data Vlaue (Cr)'!C90:CY304,101,0)</f>
        <v>27</v>
      </c>
      <c r="D95" s="139">
        <f>VLOOKUP(A95,'Data Vlaue (Cr)'!C90:CZ304,102,0)</f>
        <v>1.9699999999999999E-2</v>
      </c>
      <c r="E95" s="91">
        <f>VLOOKUP($A95,'Data Vlaue (Cr)'!$C:$FB,75)</f>
        <v>1111</v>
      </c>
      <c r="F95" s="91">
        <f>VLOOKUP($A95,'Data Vlaue (Cr)'!$C:$FB,77)</f>
        <v>22</v>
      </c>
      <c r="G95" s="92">
        <f>VLOOKUP(A95,'Data Vlaue (Cr)'!C90:CB304,78,0)</f>
        <v>1.9900000000000001E-2</v>
      </c>
      <c r="H95" s="91">
        <f>VLOOKUP($A95,'Data Vlaue (Cr)'!$C:$FB,91)</f>
        <v>176</v>
      </c>
      <c r="I95" s="91">
        <f>VLOOKUP($A95,'Data Vlaue (Cr)'!$C:$FB,93)</f>
        <v>6</v>
      </c>
      <c r="J95" s="92">
        <f>VLOOKUP($A95,'Data Vlaue (Cr)'!$C:$FB,94)</f>
        <v>3.56E-2</v>
      </c>
      <c r="K95" s="91">
        <f>VLOOKUP($A95,'Data Vlaue (Cr)'!$C:$FB,95)</f>
        <v>115</v>
      </c>
      <c r="L95" s="91">
        <f>VLOOKUP($A95,'Data Vlaue (Cr)'!$C:$FB,97)</f>
        <v>-1</v>
      </c>
      <c r="M95" s="92">
        <f>VLOOKUP($A95,'Data Vlaue (Cr)'!$C:$FB,98)</f>
        <v>-5.1999999999999998E-3</v>
      </c>
      <c r="N95" s="91">
        <f>VLOOKUP($A95,'Data Vlaue (Cr)'!$C:$FB,79)</f>
        <v>1099</v>
      </c>
      <c r="O95" s="92">
        <f>VLOOKUP($A95,'Data Vlaue (Cr)'!$C:$FB,82)</f>
        <v>1.77E-2</v>
      </c>
    </row>
    <row r="96" spans="1:15" x14ac:dyDescent="0.25">
      <c r="A96" s="97" t="str">
        <f>'Data Vlaue (Cr)'!C91</f>
        <v>IDEA</v>
      </c>
      <c r="B96" s="142">
        <f>VLOOKUP(A96,'Data Vlaue (Cr)'!C91:CW305,99,0)</f>
        <v>9648</v>
      </c>
      <c r="C96" s="90">
        <f>VLOOKUP(A96,'Data Vlaue (Cr)'!C91:CY305,101,0)</f>
        <v>630</v>
      </c>
      <c r="D96" s="139">
        <f>VLOOKUP(A96,'Data Vlaue (Cr)'!C91:CZ305,102,0)</f>
        <v>6.9900000000000004E-2</v>
      </c>
      <c r="E96" s="91">
        <f>VLOOKUP($A96,'Data Vlaue (Cr)'!$C:$FB,75)</f>
        <v>7149</v>
      </c>
      <c r="F96" s="91">
        <f>VLOOKUP($A96,'Data Vlaue (Cr)'!$C:$FB,77)</f>
        <v>243</v>
      </c>
      <c r="G96" s="92">
        <f>VLOOKUP(A96,'Data Vlaue (Cr)'!C91:CB305,78,0)</f>
        <v>3.5299999999999998E-2</v>
      </c>
      <c r="H96" s="91">
        <f>VLOOKUP($A96,'Data Vlaue (Cr)'!$C:$FB,91)</f>
        <v>1683</v>
      </c>
      <c r="I96" s="91">
        <f>VLOOKUP($A96,'Data Vlaue (Cr)'!$C:$FB,93)</f>
        <v>283</v>
      </c>
      <c r="J96" s="92">
        <f>VLOOKUP($A96,'Data Vlaue (Cr)'!$C:$FB,94)</f>
        <v>0.20219999999999999</v>
      </c>
      <c r="K96" s="91">
        <f>VLOOKUP($A96,'Data Vlaue (Cr)'!$C:$FB,95)</f>
        <v>816</v>
      </c>
      <c r="L96" s="91">
        <f>VLOOKUP($A96,'Data Vlaue (Cr)'!$C:$FB,97)</f>
        <v>104</v>
      </c>
      <c r="M96" s="92">
        <f>VLOOKUP($A96,'Data Vlaue (Cr)'!$C:$FB,98)</f>
        <v>0.1457</v>
      </c>
      <c r="N96" s="91">
        <f>VLOOKUP($A96,'Data Vlaue (Cr)'!$C:$FB,79)</f>
        <v>6947</v>
      </c>
      <c r="O96" s="92">
        <f>VLOOKUP($A96,'Data Vlaue (Cr)'!$C:$FB,82)</f>
        <v>2.9100000000000001E-2</v>
      </c>
    </row>
    <row r="97" spans="1:15" x14ac:dyDescent="0.25">
      <c r="A97" s="97" t="str">
        <f>'Data Vlaue (Cr)'!C92</f>
        <v>IDFCFIRSTB</v>
      </c>
      <c r="B97" s="142">
        <f>VLOOKUP(A97,'Data Vlaue (Cr)'!C92:CW306,99,0)</f>
        <v>4010</v>
      </c>
      <c r="C97" s="90">
        <f>VLOOKUP(A97,'Data Vlaue (Cr)'!C92:CY306,101,0)</f>
        <v>85</v>
      </c>
      <c r="D97" s="139">
        <f>VLOOKUP(A97,'Data Vlaue (Cr)'!C92:CZ306,102,0)</f>
        <v>2.1600000000000001E-2</v>
      </c>
      <c r="E97" s="91">
        <f>VLOOKUP($A97,'Data Vlaue (Cr)'!$C:$FB,75)</f>
        <v>2850</v>
      </c>
      <c r="F97" s="91">
        <f>VLOOKUP($A97,'Data Vlaue (Cr)'!$C:$FB,77)</f>
        <v>47</v>
      </c>
      <c r="G97" s="92">
        <f>VLOOKUP(A97,'Data Vlaue (Cr)'!C92:CB306,78,0)</f>
        <v>1.67E-2</v>
      </c>
      <c r="H97" s="91">
        <f>VLOOKUP($A97,'Data Vlaue (Cr)'!$C:$FB,91)</f>
        <v>602</v>
      </c>
      <c r="I97" s="91">
        <f>VLOOKUP($A97,'Data Vlaue (Cr)'!$C:$FB,93)</f>
        <v>19</v>
      </c>
      <c r="J97" s="92">
        <f>VLOOKUP($A97,'Data Vlaue (Cr)'!$C:$FB,94)</f>
        <v>3.2500000000000001E-2</v>
      </c>
      <c r="K97" s="91">
        <f>VLOOKUP($A97,'Data Vlaue (Cr)'!$C:$FB,95)</f>
        <v>557</v>
      </c>
      <c r="L97" s="91">
        <f>VLOOKUP($A97,'Data Vlaue (Cr)'!$C:$FB,97)</f>
        <v>19</v>
      </c>
      <c r="M97" s="92">
        <f>VLOOKUP($A97,'Data Vlaue (Cr)'!$C:$FB,98)</f>
        <v>3.5299999999999998E-2</v>
      </c>
      <c r="N97" s="91">
        <f>VLOOKUP($A97,'Data Vlaue (Cr)'!$C:$FB,79)</f>
        <v>2551</v>
      </c>
      <c r="O97" s="92">
        <f>VLOOKUP($A97,'Data Vlaue (Cr)'!$C:$FB,82)</f>
        <v>1.4200000000000001E-2</v>
      </c>
    </row>
    <row r="98" spans="1:15" x14ac:dyDescent="0.25">
      <c r="A98" s="97" t="str">
        <f>'Data Vlaue (Cr)'!C93</f>
        <v>IEX</v>
      </c>
      <c r="B98" s="142">
        <f>VLOOKUP(A98,'Data Vlaue (Cr)'!C93:CW307,99,0)</f>
        <v>1774</v>
      </c>
      <c r="C98" s="90">
        <f>VLOOKUP(A98,'Data Vlaue (Cr)'!C93:CY307,101,0)</f>
        <v>69</v>
      </c>
      <c r="D98" s="139">
        <f>VLOOKUP(A98,'Data Vlaue (Cr)'!C93:CZ307,102,0)</f>
        <v>4.0399999999999998E-2</v>
      </c>
      <c r="E98" s="91">
        <f>VLOOKUP($A98,'Data Vlaue (Cr)'!$C:$FB,75)</f>
        <v>898</v>
      </c>
      <c r="F98" s="91">
        <f>VLOOKUP($A98,'Data Vlaue (Cr)'!$C:$FB,77)</f>
        <v>-2</v>
      </c>
      <c r="G98" s="92">
        <f>VLOOKUP(A98,'Data Vlaue (Cr)'!C93:CB307,78,0)</f>
        <v>-1.9E-3</v>
      </c>
      <c r="H98" s="91">
        <f>VLOOKUP($A98,'Data Vlaue (Cr)'!$C:$FB,91)</f>
        <v>547</v>
      </c>
      <c r="I98" s="91">
        <f>VLOOKUP($A98,'Data Vlaue (Cr)'!$C:$FB,93)</f>
        <v>46</v>
      </c>
      <c r="J98" s="92">
        <f>VLOOKUP($A98,'Data Vlaue (Cr)'!$C:$FB,94)</f>
        <v>9.2999999999999999E-2</v>
      </c>
      <c r="K98" s="91">
        <f>VLOOKUP($A98,'Data Vlaue (Cr)'!$C:$FB,95)</f>
        <v>330</v>
      </c>
      <c r="L98" s="91">
        <f>VLOOKUP($A98,'Data Vlaue (Cr)'!$C:$FB,97)</f>
        <v>24</v>
      </c>
      <c r="M98" s="92">
        <f>VLOOKUP($A98,'Data Vlaue (Cr)'!$C:$FB,98)</f>
        <v>7.85E-2</v>
      </c>
      <c r="N98" s="91">
        <f>VLOOKUP($A98,'Data Vlaue (Cr)'!$C:$FB,79)</f>
        <v>857</v>
      </c>
      <c r="O98" s="92">
        <f>VLOOKUP($A98,'Data Vlaue (Cr)'!$C:$FB,82)</f>
        <v>-1E-3</v>
      </c>
    </row>
    <row r="99" spans="1:15" x14ac:dyDescent="0.25">
      <c r="A99" s="97" t="str">
        <f>'Data Vlaue (Cr)'!C94</f>
        <v>INDHOTEL</v>
      </c>
      <c r="B99" s="142">
        <f>VLOOKUP(A99,'Data Vlaue (Cr)'!C94:CW308,99,0)</f>
        <v>2005</v>
      </c>
      <c r="C99" s="90">
        <f>VLOOKUP(A99,'Data Vlaue (Cr)'!C94:CY308,101,0)</f>
        <v>31</v>
      </c>
      <c r="D99" s="139">
        <f>VLOOKUP(A99,'Data Vlaue (Cr)'!C94:CZ308,102,0)</f>
        <v>1.5900000000000001E-2</v>
      </c>
      <c r="E99" s="91">
        <f>VLOOKUP($A99,'Data Vlaue (Cr)'!$C:$FB,75)</f>
        <v>1418</v>
      </c>
      <c r="F99" s="91">
        <f>VLOOKUP($A99,'Data Vlaue (Cr)'!$C:$FB,77)</f>
        <v>-14</v>
      </c>
      <c r="G99" s="92">
        <f>VLOOKUP(A99,'Data Vlaue (Cr)'!C94:CB308,78,0)</f>
        <v>-9.5999999999999992E-3</v>
      </c>
      <c r="H99" s="91">
        <f>VLOOKUP($A99,'Data Vlaue (Cr)'!$C:$FB,91)</f>
        <v>263</v>
      </c>
      <c r="I99" s="91">
        <f>VLOOKUP($A99,'Data Vlaue (Cr)'!$C:$FB,93)</f>
        <v>28</v>
      </c>
      <c r="J99" s="92">
        <f>VLOOKUP($A99,'Data Vlaue (Cr)'!$C:$FB,94)</f>
        <v>0.12089999999999999</v>
      </c>
      <c r="K99" s="91">
        <f>VLOOKUP($A99,'Data Vlaue (Cr)'!$C:$FB,95)</f>
        <v>324</v>
      </c>
      <c r="L99" s="91">
        <f>VLOOKUP($A99,'Data Vlaue (Cr)'!$C:$FB,97)</f>
        <v>17</v>
      </c>
      <c r="M99" s="92">
        <f>VLOOKUP($A99,'Data Vlaue (Cr)'!$C:$FB,98)</f>
        <v>5.45E-2</v>
      </c>
      <c r="N99" s="91">
        <f>VLOOKUP($A99,'Data Vlaue (Cr)'!$C:$FB,79)</f>
        <v>1304</v>
      </c>
      <c r="O99" s="92">
        <f>VLOOKUP($A99,'Data Vlaue (Cr)'!$C:$FB,82)</f>
        <v>-1.2200000000000001E-2</v>
      </c>
    </row>
    <row r="100" spans="1:15" x14ac:dyDescent="0.25">
      <c r="A100" s="97" t="str">
        <f>'Data Vlaue (Cr)'!C95</f>
        <v>INDIANB</v>
      </c>
      <c r="B100" s="142">
        <f>VLOOKUP(A100,'Data Vlaue (Cr)'!C95:CW309,99,0)</f>
        <v>1953</v>
      </c>
      <c r="C100" s="90">
        <f>VLOOKUP(A100,'Data Vlaue (Cr)'!C95:CY309,101,0)</f>
        <v>128</v>
      </c>
      <c r="D100" s="139">
        <f>VLOOKUP(A100,'Data Vlaue (Cr)'!C95:CZ309,102,0)</f>
        <v>7.0400000000000004E-2</v>
      </c>
      <c r="E100" s="91">
        <f>VLOOKUP($A100,'Data Vlaue (Cr)'!$C:$FB,75)</f>
        <v>1087</v>
      </c>
      <c r="F100" s="91">
        <f>VLOOKUP($A100,'Data Vlaue (Cr)'!$C:$FB,77)</f>
        <v>32</v>
      </c>
      <c r="G100" s="92">
        <f>VLOOKUP(A100,'Data Vlaue (Cr)'!C95:CB309,78,0)</f>
        <v>3.0499999999999999E-2</v>
      </c>
      <c r="H100" s="91">
        <f>VLOOKUP($A100,'Data Vlaue (Cr)'!$C:$FB,91)</f>
        <v>565</v>
      </c>
      <c r="I100" s="91">
        <f>VLOOKUP($A100,'Data Vlaue (Cr)'!$C:$FB,93)</f>
        <v>79</v>
      </c>
      <c r="J100" s="92">
        <f>VLOOKUP($A100,'Data Vlaue (Cr)'!$C:$FB,94)</f>
        <v>0.16250000000000001</v>
      </c>
      <c r="K100" s="91">
        <f>VLOOKUP($A100,'Data Vlaue (Cr)'!$C:$FB,95)</f>
        <v>301</v>
      </c>
      <c r="L100" s="91">
        <f>VLOOKUP($A100,'Data Vlaue (Cr)'!$C:$FB,97)</f>
        <v>17</v>
      </c>
      <c r="M100" s="92">
        <f>VLOOKUP($A100,'Data Vlaue (Cr)'!$C:$FB,98)</f>
        <v>6.08E-2</v>
      </c>
      <c r="N100" s="91">
        <f>VLOOKUP($A100,'Data Vlaue (Cr)'!$C:$FB,79)</f>
        <v>1042</v>
      </c>
      <c r="O100" s="92">
        <f>VLOOKUP($A100,'Data Vlaue (Cr)'!$C:$FB,82)</f>
        <v>2.5999999999999999E-2</v>
      </c>
    </row>
    <row r="101" spans="1:15" x14ac:dyDescent="0.25">
      <c r="A101" s="97" t="str">
        <f>'Data Vlaue (Cr)'!C96</f>
        <v>INDIAVIX</v>
      </c>
      <c r="B101" s="142">
        <f>VLOOKUP(A101,'Data Vlaue (Cr)'!C96:CW310,99,0)</f>
        <v>0</v>
      </c>
      <c r="C101" s="90">
        <f>VLOOKUP(A101,'Data Vlaue (Cr)'!C96:CY310,101,0)</f>
        <v>0</v>
      </c>
      <c r="D101" s="139">
        <f>VLOOKUP(A101,'Data Vlaue (Cr)'!C96:CZ310,102,0)</f>
        <v>0</v>
      </c>
      <c r="E101" s="91">
        <f>VLOOKUP($A101,'Data Vlaue (Cr)'!$C:$FB,75)</f>
        <v>0</v>
      </c>
      <c r="F101" s="91">
        <f>VLOOKUP($A101,'Data Vlaue (Cr)'!$C:$FB,77)</f>
        <v>0</v>
      </c>
      <c r="G101" s="92">
        <f>VLOOKUP(A101,'Data Vlaue (Cr)'!C96:CB310,78,0)</f>
        <v>0</v>
      </c>
      <c r="H101" s="91">
        <f>VLOOKUP($A101,'Data Vlaue (Cr)'!$C:$FB,91)</f>
        <v>0</v>
      </c>
      <c r="I101" s="91">
        <f>VLOOKUP($A101,'Data Vlaue (Cr)'!$C:$FB,93)</f>
        <v>0</v>
      </c>
      <c r="J101" s="92">
        <f>VLOOKUP($A101,'Data Vlaue (Cr)'!$C:$FB,94)</f>
        <v>0</v>
      </c>
      <c r="K101" s="91">
        <f>VLOOKUP($A101,'Data Vlaue (Cr)'!$C:$FB,95)</f>
        <v>0</v>
      </c>
      <c r="L101" s="91">
        <f>VLOOKUP($A101,'Data Vlaue (Cr)'!$C:$FB,97)</f>
        <v>0</v>
      </c>
      <c r="M101" s="92">
        <f>VLOOKUP($A101,'Data Vlaue (Cr)'!$C:$FB,98)</f>
        <v>0</v>
      </c>
      <c r="N101" s="91">
        <f>VLOOKUP($A101,'Data Vlaue (Cr)'!$C:$FB,79)</f>
        <v>0</v>
      </c>
      <c r="O101" s="92">
        <f>VLOOKUP($A101,'Data Vlaue (Cr)'!$C:$FB,82)</f>
        <v>0</v>
      </c>
    </row>
    <row r="102" spans="1:15" x14ac:dyDescent="0.25">
      <c r="A102" s="97" t="str">
        <f>'Data Vlaue (Cr)'!C97</f>
        <v>INDIGO</v>
      </c>
      <c r="B102" s="142">
        <f>VLOOKUP(A102,'Data Vlaue (Cr)'!C97:CW311,99,0)</f>
        <v>5435</v>
      </c>
      <c r="C102" s="90">
        <f>VLOOKUP(A102,'Data Vlaue (Cr)'!C97:CY311,101,0)</f>
        <v>442</v>
      </c>
      <c r="D102" s="139">
        <f>VLOOKUP(A102,'Data Vlaue (Cr)'!C97:CZ311,102,0)</f>
        <v>8.8499999999999995E-2</v>
      </c>
      <c r="E102" s="91">
        <f>VLOOKUP($A102,'Data Vlaue (Cr)'!$C:$FB,75)</f>
        <v>3296</v>
      </c>
      <c r="F102" s="91">
        <f>VLOOKUP($A102,'Data Vlaue (Cr)'!$C:$FB,77)</f>
        <v>126</v>
      </c>
      <c r="G102" s="92">
        <f>VLOOKUP(A102,'Data Vlaue (Cr)'!C97:CB311,78,0)</f>
        <v>3.9600000000000003E-2</v>
      </c>
      <c r="H102" s="91">
        <f>VLOOKUP($A102,'Data Vlaue (Cr)'!$C:$FB,91)</f>
        <v>1309</v>
      </c>
      <c r="I102" s="91">
        <f>VLOOKUP($A102,'Data Vlaue (Cr)'!$C:$FB,93)</f>
        <v>295</v>
      </c>
      <c r="J102" s="92">
        <f>VLOOKUP($A102,'Data Vlaue (Cr)'!$C:$FB,94)</f>
        <v>0.29020000000000001</v>
      </c>
      <c r="K102" s="91">
        <f>VLOOKUP($A102,'Data Vlaue (Cr)'!$C:$FB,95)</f>
        <v>830</v>
      </c>
      <c r="L102" s="91">
        <f>VLOOKUP($A102,'Data Vlaue (Cr)'!$C:$FB,97)</f>
        <v>22</v>
      </c>
      <c r="M102" s="92">
        <f>VLOOKUP($A102,'Data Vlaue (Cr)'!$C:$FB,98)</f>
        <v>2.7099999999999999E-2</v>
      </c>
      <c r="N102" s="91">
        <f>VLOOKUP($A102,'Data Vlaue (Cr)'!$C:$FB,79)</f>
        <v>3189</v>
      </c>
      <c r="O102" s="92">
        <f>VLOOKUP($A102,'Data Vlaue (Cr)'!$C:$FB,82)</f>
        <v>3.61E-2</v>
      </c>
    </row>
    <row r="103" spans="1:15" x14ac:dyDescent="0.25">
      <c r="A103" s="97" t="str">
        <f>'Data Vlaue (Cr)'!C98</f>
        <v>INDUSINDBK</v>
      </c>
      <c r="B103" s="142">
        <f>VLOOKUP(A103,'Data Vlaue (Cr)'!C98:CW312,99,0)</f>
        <v>4312</v>
      </c>
      <c r="C103" s="90">
        <f>VLOOKUP(A103,'Data Vlaue (Cr)'!C98:CY312,101,0)</f>
        <v>27</v>
      </c>
      <c r="D103" s="139">
        <f>VLOOKUP(A103,'Data Vlaue (Cr)'!C98:CZ312,102,0)</f>
        <v>6.4000000000000003E-3</v>
      </c>
      <c r="E103" s="91">
        <f>VLOOKUP($A103,'Data Vlaue (Cr)'!$C:$FB,75)</f>
        <v>3283</v>
      </c>
      <c r="F103" s="91">
        <f>VLOOKUP($A103,'Data Vlaue (Cr)'!$C:$FB,77)</f>
        <v>-30</v>
      </c>
      <c r="G103" s="92">
        <f>VLOOKUP(A103,'Data Vlaue (Cr)'!C98:CB312,78,0)</f>
        <v>-9.1999999999999998E-3</v>
      </c>
      <c r="H103" s="91">
        <f>VLOOKUP($A103,'Data Vlaue (Cr)'!$C:$FB,91)</f>
        <v>530</v>
      </c>
      <c r="I103" s="91">
        <f>VLOOKUP($A103,'Data Vlaue (Cr)'!$C:$FB,93)</f>
        <v>53</v>
      </c>
      <c r="J103" s="92">
        <f>VLOOKUP($A103,'Data Vlaue (Cr)'!$C:$FB,94)</f>
        <v>0.11210000000000001</v>
      </c>
      <c r="K103" s="91">
        <f>VLOOKUP($A103,'Data Vlaue (Cr)'!$C:$FB,95)</f>
        <v>499</v>
      </c>
      <c r="L103" s="91">
        <f>VLOOKUP($A103,'Data Vlaue (Cr)'!$C:$FB,97)</f>
        <v>4</v>
      </c>
      <c r="M103" s="92">
        <f>VLOOKUP($A103,'Data Vlaue (Cr)'!$C:$FB,98)</f>
        <v>8.5000000000000006E-3</v>
      </c>
      <c r="N103" s="91">
        <f>VLOOKUP($A103,'Data Vlaue (Cr)'!$C:$FB,79)</f>
        <v>3145</v>
      </c>
      <c r="O103" s="92">
        <f>VLOOKUP($A103,'Data Vlaue (Cr)'!$C:$FB,82)</f>
        <v>-2.1499999999999998E-2</v>
      </c>
    </row>
    <row r="104" spans="1:15" x14ac:dyDescent="0.25">
      <c r="A104" s="97" t="str">
        <f>'Data Vlaue (Cr)'!C99</f>
        <v>INDUSTOWER</v>
      </c>
      <c r="B104" s="142">
        <f>VLOOKUP(A104,'Data Vlaue (Cr)'!C99:CW313,99,0)</f>
        <v>5281</v>
      </c>
      <c r="C104" s="90">
        <f>VLOOKUP(A104,'Data Vlaue (Cr)'!C99:CY313,101,0)</f>
        <v>564</v>
      </c>
      <c r="D104" s="139">
        <f>VLOOKUP(A104,'Data Vlaue (Cr)'!C99:CZ313,102,0)</f>
        <v>0.1196</v>
      </c>
      <c r="E104" s="91">
        <f>VLOOKUP($A104,'Data Vlaue (Cr)'!$C:$FB,75)</f>
        <v>3251</v>
      </c>
      <c r="F104" s="91">
        <f>VLOOKUP($A104,'Data Vlaue (Cr)'!$C:$FB,77)</f>
        <v>162</v>
      </c>
      <c r="G104" s="92">
        <f>VLOOKUP(A104,'Data Vlaue (Cr)'!C99:CB313,78,0)</f>
        <v>5.2600000000000001E-2</v>
      </c>
      <c r="H104" s="91">
        <f>VLOOKUP($A104,'Data Vlaue (Cr)'!$C:$FB,91)</f>
        <v>1173</v>
      </c>
      <c r="I104" s="91">
        <f>VLOOKUP($A104,'Data Vlaue (Cr)'!$C:$FB,93)</f>
        <v>258</v>
      </c>
      <c r="J104" s="92">
        <f>VLOOKUP($A104,'Data Vlaue (Cr)'!$C:$FB,94)</f>
        <v>0.28260000000000002</v>
      </c>
      <c r="K104" s="91">
        <f>VLOOKUP($A104,'Data Vlaue (Cr)'!$C:$FB,95)</f>
        <v>858</v>
      </c>
      <c r="L104" s="91">
        <f>VLOOKUP($A104,'Data Vlaue (Cr)'!$C:$FB,97)</f>
        <v>143</v>
      </c>
      <c r="M104" s="92">
        <f>VLOOKUP($A104,'Data Vlaue (Cr)'!$C:$FB,98)</f>
        <v>0.20069999999999999</v>
      </c>
      <c r="N104" s="91">
        <f>VLOOKUP($A104,'Data Vlaue (Cr)'!$C:$FB,79)</f>
        <v>3100</v>
      </c>
      <c r="O104" s="92">
        <f>VLOOKUP($A104,'Data Vlaue (Cr)'!$C:$FB,82)</f>
        <v>5.1700000000000003E-2</v>
      </c>
    </row>
    <row r="105" spans="1:15" x14ac:dyDescent="0.25">
      <c r="A105" s="97" t="str">
        <f>'Data Vlaue (Cr)'!C100</f>
        <v>INFY</v>
      </c>
      <c r="B105" s="142">
        <f>VLOOKUP(A105,'Data Vlaue (Cr)'!C100:CW314,99,0)</f>
        <v>16309</v>
      </c>
      <c r="C105" s="90">
        <f>VLOOKUP(A105,'Data Vlaue (Cr)'!C100:CY314,101,0)</f>
        <v>564</v>
      </c>
      <c r="D105" s="139">
        <f>VLOOKUP(A105,'Data Vlaue (Cr)'!C100:CZ314,102,0)</f>
        <v>3.5900000000000001E-2</v>
      </c>
      <c r="E105" s="91">
        <f>VLOOKUP($A105,'Data Vlaue (Cr)'!$C:$FB,75)</f>
        <v>9787</v>
      </c>
      <c r="F105" s="91">
        <f>VLOOKUP($A105,'Data Vlaue (Cr)'!$C:$FB,77)</f>
        <v>112</v>
      </c>
      <c r="G105" s="92">
        <f>VLOOKUP(A105,'Data Vlaue (Cr)'!C100:CB314,78,0)</f>
        <v>1.15E-2</v>
      </c>
      <c r="H105" s="91">
        <f>VLOOKUP($A105,'Data Vlaue (Cr)'!$C:$FB,91)</f>
        <v>4112</v>
      </c>
      <c r="I105" s="91">
        <f>VLOOKUP($A105,'Data Vlaue (Cr)'!$C:$FB,93)</f>
        <v>352</v>
      </c>
      <c r="J105" s="92">
        <f>VLOOKUP($A105,'Data Vlaue (Cr)'!$C:$FB,94)</f>
        <v>9.35E-2</v>
      </c>
      <c r="K105" s="91">
        <f>VLOOKUP($A105,'Data Vlaue (Cr)'!$C:$FB,95)</f>
        <v>2410</v>
      </c>
      <c r="L105" s="91">
        <f>VLOOKUP($A105,'Data Vlaue (Cr)'!$C:$FB,97)</f>
        <v>101</v>
      </c>
      <c r="M105" s="92">
        <f>VLOOKUP($A105,'Data Vlaue (Cr)'!$C:$FB,98)</f>
        <v>4.3900000000000002E-2</v>
      </c>
      <c r="N105" s="91">
        <f>VLOOKUP($A105,'Data Vlaue (Cr)'!$C:$FB,79)</f>
        <v>9163</v>
      </c>
      <c r="O105" s="92">
        <f>VLOOKUP($A105,'Data Vlaue (Cr)'!$C:$FB,82)</f>
        <v>5.8999999999999999E-3</v>
      </c>
    </row>
    <row r="106" spans="1:15" x14ac:dyDescent="0.25">
      <c r="A106" s="97" t="str">
        <f>'Data Vlaue (Cr)'!C101</f>
        <v>INOXWIND</v>
      </c>
      <c r="B106" s="142">
        <f>VLOOKUP(A106,'Data Vlaue (Cr)'!C101:CW315,99,0)</f>
        <v>1281</v>
      </c>
      <c r="C106" s="90">
        <f>VLOOKUP(A106,'Data Vlaue (Cr)'!C101:CY315,101,0)</f>
        <v>24</v>
      </c>
      <c r="D106" s="139">
        <f>VLOOKUP(A106,'Data Vlaue (Cr)'!C101:CZ315,102,0)</f>
        <v>1.95E-2</v>
      </c>
      <c r="E106" s="91">
        <f>VLOOKUP($A106,'Data Vlaue (Cr)'!$C:$FB,75)</f>
        <v>982</v>
      </c>
      <c r="F106" s="91">
        <f>VLOOKUP($A106,'Data Vlaue (Cr)'!$C:$FB,77)</f>
        <v>-9</v>
      </c>
      <c r="G106" s="92">
        <f>VLOOKUP(A106,'Data Vlaue (Cr)'!C101:CB315,78,0)</f>
        <v>-8.8000000000000005E-3</v>
      </c>
      <c r="H106" s="91">
        <f>VLOOKUP($A106,'Data Vlaue (Cr)'!$C:$FB,91)</f>
        <v>175</v>
      </c>
      <c r="I106" s="91">
        <f>VLOOKUP($A106,'Data Vlaue (Cr)'!$C:$FB,93)</f>
        <v>19</v>
      </c>
      <c r="J106" s="92">
        <f>VLOOKUP($A106,'Data Vlaue (Cr)'!$C:$FB,94)</f>
        <v>0.1187</v>
      </c>
      <c r="K106" s="91">
        <f>VLOOKUP($A106,'Data Vlaue (Cr)'!$C:$FB,95)</f>
        <v>124</v>
      </c>
      <c r="L106" s="91">
        <f>VLOOKUP($A106,'Data Vlaue (Cr)'!$C:$FB,97)</f>
        <v>15</v>
      </c>
      <c r="M106" s="92">
        <f>VLOOKUP($A106,'Data Vlaue (Cr)'!$C:$FB,98)</f>
        <v>0.13289999999999999</v>
      </c>
      <c r="N106" s="91">
        <f>VLOOKUP($A106,'Data Vlaue (Cr)'!$C:$FB,79)</f>
        <v>949</v>
      </c>
      <c r="O106" s="92">
        <f>VLOOKUP($A106,'Data Vlaue (Cr)'!$C:$FB,82)</f>
        <v>-1.15E-2</v>
      </c>
    </row>
    <row r="107" spans="1:15" x14ac:dyDescent="0.25">
      <c r="A107" s="97" t="str">
        <f>'Data Vlaue (Cr)'!C102</f>
        <v>IOC</v>
      </c>
      <c r="B107" s="142">
        <f>VLOOKUP(A107,'Data Vlaue (Cr)'!C102:CW316,99,0)</f>
        <v>2590</v>
      </c>
      <c r="C107" s="90">
        <f>VLOOKUP(A107,'Data Vlaue (Cr)'!C102:CY316,101,0)</f>
        <v>99</v>
      </c>
      <c r="D107" s="139">
        <f>VLOOKUP(A107,'Data Vlaue (Cr)'!C102:CZ316,102,0)</f>
        <v>3.9800000000000002E-2</v>
      </c>
      <c r="E107" s="91">
        <f>VLOOKUP($A107,'Data Vlaue (Cr)'!$C:$FB,75)</f>
        <v>1615</v>
      </c>
      <c r="F107" s="91">
        <f>VLOOKUP($A107,'Data Vlaue (Cr)'!$C:$FB,77)</f>
        <v>20</v>
      </c>
      <c r="G107" s="92">
        <f>VLOOKUP(A107,'Data Vlaue (Cr)'!C102:CB316,78,0)</f>
        <v>1.2800000000000001E-2</v>
      </c>
      <c r="H107" s="91">
        <f>VLOOKUP($A107,'Data Vlaue (Cr)'!$C:$FB,91)</f>
        <v>544</v>
      </c>
      <c r="I107" s="91">
        <f>VLOOKUP($A107,'Data Vlaue (Cr)'!$C:$FB,93)</f>
        <v>48</v>
      </c>
      <c r="J107" s="92">
        <f>VLOOKUP($A107,'Data Vlaue (Cr)'!$C:$FB,94)</f>
        <v>9.7699999999999995E-2</v>
      </c>
      <c r="K107" s="91">
        <f>VLOOKUP($A107,'Data Vlaue (Cr)'!$C:$FB,95)</f>
        <v>431</v>
      </c>
      <c r="L107" s="91">
        <f>VLOOKUP($A107,'Data Vlaue (Cr)'!$C:$FB,97)</f>
        <v>30</v>
      </c>
      <c r="M107" s="92">
        <f>VLOOKUP($A107,'Data Vlaue (Cr)'!$C:$FB,98)</f>
        <v>7.5600000000000001E-2</v>
      </c>
      <c r="N107" s="91">
        <f>VLOOKUP($A107,'Data Vlaue (Cr)'!$C:$FB,79)</f>
        <v>1494</v>
      </c>
      <c r="O107" s="92">
        <f>VLOOKUP($A107,'Data Vlaue (Cr)'!$C:$FB,82)</f>
        <v>1.14E-2</v>
      </c>
    </row>
    <row r="108" spans="1:15" x14ac:dyDescent="0.25">
      <c r="A108" s="97" t="str">
        <f>'Data Vlaue (Cr)'!C103</f>
        <v>IREDA</v>
      </c>
      <c r="B108" s="142">
        <f>VLOOKUP(A108,'Data Vlaue (Cr)'!C103:CW317,99,0)</f>
        <v>1015</v>
      </c>
      <c r="C108" s="90">
        <f>VLOOKUP(A108,'Data Vlaue (Cr)'!C103:CY317,101,0)</f>
        <v>24</v>
      </c>
      <c r="D108" s="139">
        <f>VLOOKUP(A108,'Data Vlaue (Cr)'!C103:CZ317,102,0)</f>
        <v>2.3900000000000001E-2</v>
      </c>
      <c r="E108" s="91">
        <f>VLOOKUP($A108,'Data Vlaue (Cr)'!$C:$FB,75)</f>
        <v>638</v>
      </c>
      <c r="F108" s="91">
        <f>VLOOKUP($A108,'Data Vlaue (Cr)'!$C:$FB,77)</f>
        <v>2</v>
      </c>
      <c r="G108" s="92">
        <f>VLOOKUP(A108,'Data Vlaue (Cr)'!C103:CB317,78,0)</f>
        <v>3.0000000000000001E-3</v>
      </c>
      <c r="H108" s="91">
        <f>VLOOKUP($A108,'Data Vlaue (Cr)'!$C:$FB,91)</f>
        <v>219</v>
      </c>
      <c r="I108" s="91">
        <f>VLOOKUP($A108,'Data Vlaue (Cr)'!$C:$FB,93)</f>
        <v>17</v>
      </c>
      <c r="J108" s="92">
        <f>VLOOKUP($A108,'Data Vlaue (Cr)'!$C:$FB,94)</f>
        <v>8.2000000000000003E-2</v>
      </c>
      <c r="K108" s="91">
        <f>VLOOKUP($A108,'Data Vlaue (Cr)'!$C:$FB,95)</f>
        <v>158</v>
      </c>
      <c r="L108" s="91">
        <f>VLOOKUP($A108,'Data Vlaue (Cr)'!$C:$FB,97)</f>
        <v>5</v>
      </c>
      <c r="M108" s="92">
        <f>VLOOKUP($A108,'Data Vlaue (Cr)'!$C:$FB,98)</f>
        <v>3.44E-2</v>
      </c>
      <c r="N108" s="91">
        <f>VLOOKUP($A108,'Data Vlaue (Cr)'!$C:$FB,79)</f>
        <v>553</v>
      </c>
      <c r="O108" s="92">
        <f>VLOOKUP($A108,'Data Vlaue (Cr)'!$C:$FB,82)</f>
        <v>-8.0000000000000004E-4</v>
      </c>
    </row>
    <row r="109" spans="1:15" x14ac:dyDescent="0.25">
      <c r="A109" s="97" t="str">
        <f>'Data Vlaue (Cr)'!C104</f>
        <v>IRFC</v>
      </c>
      <c r="B109" s="142">
        <f>VLOOKUP(A109,'Data Vlaue (Cr)'!C104:CW318,99,0)</f>
        <v>1047</v>
      </c>
      <c r="C109" s="90">
        <f>VLOOKUP(A109,'Data Vlaue (Cr)'!C104:CY318,101,0)</f>
        <v>27</v>
      </c>
      <c r="D109" s="139">
        <f>VLOOKUP(A109,'Data Vlaue (Cr)'!C104:CZ318,102,0)</f>
        <v>2.5999999999999999E-2</v>
      </c>
      <c r="E109" s="91">
        <f>VLOOKUP($A109,'Data Vlaue (Cr)'!$C:$FB,75)</f>
        <v>558</v>
      </c>
      <c r="F109" s="91">
        <f>VLOOKUP($A109,'Data Vlaue (Cr)'!$C:$FB,77)</f>
        <v>1</v>
      </c>
      <c r="G109" s="92">
        <f>VLOOKUP(A109,'Data Vlaue (Cr)'!C104:CB318,78,0)</f>
        <v>1.5E-3</v>
      </c>
      <c r="H109" s="91">
        <f>VLOOKUP($A109,'Data Vlaue (Cr)'!$C:$FB,91)</f>
        <v>271</v>
      </c>
      <c r="I109" s="91">
        <f>VLOOKUP($A109,'Data Vlaue (Cr)'!$C:$FB,93)</f>
        <v>12</v>
      </c>
      <c r="J109" s="92">
        <f>VLOOKUP($A109,'Data Vlaue (Cr)'!$C:$FB,94)</f>
        <v>4.5900000000000003E-2</v>
      </c>
      <c r="K109" s="91">
        <f>VLOOKUP($A109,'Data Vlaue (Cr)'!$C:$FB,95)</f>
        <v>218</v>
      </c>
      <c r="L109" s="91">
        <f>VLOOKUP($A109,'Data Vlaue (Cr)'!$C:$FB,97)</f>
        <v>14</v>
      </c>
      <c r="M109" s="92">
        <f>VLOOKUP($A109,'Data Vlaue (Cr)'!$C:$FB,98)</f>
        <v>6.7599999999999993E-2</v>
      </c>
      <c r="N109" s="91">
        <f>VLOOKUP($A109,'Data Vlaue (Cr)'!$C:$FB,79)</f>
        <v>499</v>
      </c>
      <c r="O109" s="92">
        <f>VLOOKUP($A109,'Data Vlaue (Cr)'!$C:$FB,82)</f>
        <v>-8.9999999999999998E-4</v>
      </c>
    </row>
    <row r="110" spans="1:15" x14ac:dyDescent="0.25">
      <c r="A110" s="97" t="str">
        <f>'Data Vlaue (Cr)'!C105</f>
        <v>ITC</v>
      </c>
      <c r="B110" s="142">
        <f>VLOOKUP(A110,'Data Vlaue (Cr)'!C105:CW319,99,0)</f>
        <v>9391</v>
      </c>
      <c r="C110" s="90">
        <f>VLOOKUP(A110,'Data Vlaue (Cr)'!C105:CY319,101,0)</f>
        <v>596</v>
      </c>
      <c r="D110" s="139">
        <f>VLOOKUP(A110,'Data Vlaue (Cr)'!C105:CZ319,102,0)</f>
        <v>6.7799999999999999E-2</v>
      </c>
      <c r="E110" s="91">
        <f>VLOOKUP($A110,'Data Vlaue (Cr)'!$C:$FB,75)</f>
        <v>5485</v>
      </c>
      <c r="F110" s="91">
        <f>VLOOKUP($A110,'Data Vlaue (Cr)'!$C:$FB,77)</f>
        <v>56</v>
      </c>
      <c r="G110" s="92">
        <f>VLOOKUP(A110,'Data Vlaue (Cr)'!C105:CB319,78,0)</f>
        <v>1.0200000000000001E-2</v>
      </c>
      <c r="H110" s="91">
        <f>VLOOKUP($A110,'Data Vlaue (Cr)'!$C:$FB,91)</f>
        <v>2738</v>
      </c>
      <c r="I110" s="91">
        <f>VLOOKUP($A110,'Data Vlaue (Cr)'!$C:$FB,93)</f>
        <v>584</v>
      </c>
      <c r="J110" s="92">
        <f>VLOOKUP($A110,'Data Vlaue (Cr)'!$C:$FB,94)</f>
        <v>0.2712</v>
      </c>
      <c r="K110" s="91">
        <f>VLOOKUP($A110,'Data Vlaue (Cr)'!$C:$FB,95)</f>
        <v>1169</v>
      </c>
      <c r="L110" s="91">
        <f>VLOOKUP($A110,'Data Vlaue (Cr)'!$C:$FB,97)</f>
        <v>-44</v>
      </c>
      <c r="M110" s="92">
        <f>VLOOKUP($A110,'Data Vlaue (Cr)'!$C:$FB,98)</f>
        <v>-3.5999999999999997E-2</v>
      </c>
      <c r="N110" s="91">
        <f>VLOOKUP($A110,'Data Vlaue (Cr)'!$C:$FB,79)</f>
        <v>4830</v>
      </c>
      <c r="O110" s="92">
        <f>VLOOKUP($A110,'Data Vlaue (Cr)'!$C:$FB,82)</f>
        <v>3.0000000000000001E-3</v>
      </c>
    </row>
    <row r="111" spans="1:15" x14ac:dyDescent="0.25">
      <c r="A111" s="97" t="str">
        <f>'Data Vlaue (Cr)'!C106</f>
        <v>JINDALSTEL</v>
      </c>
      <c r="B111" s="142">
        <f>VLOOKUP(A111,'Data Vlaue (Cr)'!C106:CW320,99,0)</f>
        <v>2305</v>
      </c>
      <c r="C111" s="90">
        <f>VLOOKUP(A111,'Data Vlaue (Cr)'!C106:CY320,101,0)</f>
        <v>77</v>
      </c>
      <c r="D111" s="139">
        <f>VLOOKUP(A111,'Data Vlaue (Cr)'!C106:CZ320,102,0)</f>
        <v>3.4599999999999999E-2</v>
      </c>
      <c r="E111" s="91">
        <f>VLOOKUP($A111,'Data Vlaue (Cr)'!$C:$FB,75)</f>
        <v>1632</v>
      </c>
      <c r="F111" s="91">
        <f>VLOOKUP($A111,'Data Vlaue (Cr)'!$C:$FB,77)</f>
        <v>-16</v>
      </c>
      <c r="G111" s="92">
        <f>VLOOKUP(A111,'Data Vlaue (Cr)'!C106:CB320,78,0)</f>
        <v>-9.9000000000000008E-3</v>
      </c>
      <c r="H111" s="91">
        <f>VLOOKUP($A111,'Data Vlaue (Cr)'!$C:$FB,91)</f>
        <v>369</v>
      </c>
      <c r="I111" s="91">
        <f>VLOOKUP($A111,'Data Vlaue (Cr)'!$C:$FB,93)</f>
        <v>73</v>
      </c>
      <c r="J111" s="92">
        <f>VLOOKUP($A111,'Data Vlaue (Cr)'!$C:$FB,94)</f>
        <v>0.2452</v>
      </c>
      <c r="K111" s="91">
        <f>VLOOKUP($A111,'Data Vlaue (Cr)'!$C:$FB,95)</f>
        <v>304</v>
      </c>
      <c r="L111" s="91">
        <f>VLOOKUP($A111,'Data Vlaue (Cr)'!$C:$FB,97)</f>
        <v>21</v>
      </c>
      <c r="M111" s="92">
        <f>VLOOKUP($A111,'Data Vlaue (Cr)'!$C:$FB,98)</f>
        <v>7.3499999999999996E-2</v>
      </c>
      <c r="N111" s="91">
        <f>VLOOKUP($A111,'Data Vlaue (Cr)'!$C:$FB,79)</f>
        <v>1621</v>
      </c>
      <c r="O111" s="92">
        <f>VLOOKUP($A111,'Data Vlaue (Cr)'!$C:$FB,82)</f>
        <v>-1.03E-2</v>
      </c>
    </row>
    <row r="112" spans="1:15" x14ac:dyDescent="0.25">
      <c r="A112" s="97" t="str">
        <f>'Data Vlaue (Cr)'!C107</f>
        <v>JIOFIN</v>
      </c>
      <c r="B112" s="142">
        <f>VLOOKUP(A112,'Data Vlaue (Cr)'!C107:CW321,99,0)</f>
        <v>7457</v>
      </c>
      <c r="C112" s="90">
        <f>VLOOKUP(A112,'Data Vlaue (Cr)'!C107:CY321,101,0)</f>
        <v>36</v>
      </c>
      <c r="D112" s="139">
        <f>VLOOKUP(A112,'Data Vlaue (Cr)'!C107:CZ321,102,0)</f>
        <v>4.7999999999999996E-3</v>
      </c>
      <c r="E112" s="91">
        <f>VLOOKUP($A112,'Data Vlaue (Cr)'!$C:$FB,75)</f>
        <v>5075</v>
      </c>
      <c r="F112" s="91">
        <f>VLOOKUP($A112,'Data Vlaue (Cr)'!$C:$FB,77)</f>
        <v>-28</v>
      </c>
      <c r="G112" s="92">
        <f>VLOOKUP(A112,'Data Vlaue (Cr)'!C107:CB321,78,0)</f>
        <v>-5.5999999999999999E-3</v>
      </c>
      <c r="H112" s="91">
        <f>VLOOKUP($A112,'Data Vlaue (Cr)'!$C:$FB,91)</f>
        <v>1419</v>
      </c>
      <c r="I112" s="91">
        <f>VLOOKUP($A112,'Data Vlaue (Cr)'!$C:$FB,93)</f>
        <v>25</v>
      </c>
      <c r="J112" s="92">
        <f>VLOOKUP($A112,'Data Vlaue (Cr)'!$C:$FB,94)</f>
        <v>1.8100000000000002E-2</v>
      </c>
      <c r="K112" s="91">
        <f>VLOOKUP($A112,'Data Vlaue (Cr)'!$C:$FB,95)</f>
        <v>962</v>
      </c>
      <c r="L112" s="91">
        <f>VLOOKUP($A112,'Data Vlaue (Cr)'!$C:$FB,97)</f>
        <v>39</v>
      </c>
      <c r="M112" s="92">
        <f>VLOOKUP($A112,'Data Vlaue (Cr)'!$C:$FB,98)</f>
        <v>4.2200000000000001E-2</v>
      </c>
      <c r="N112" s="91">
        <f>VLOOKUP($A112,'Data Vlaue (Cr)'!$C:$FB,79)</f>
        <v>4555</v>
      </c>
      <c r="O112" s="92">
        <f>VLOOKUP($A112,'Data Vlaue (Cr)'!$C:$FB,82)</f>
        <v>-1.2999999999999999E-2</v>
      </c>
    </row>
    <row r="113" spans="1:15" x14ac:dyDescent="0.25">
      <c r="A113" s="97" t="str">
        <f>'Data Vlaue (Cr)'!C108</f>
        <v>JSWENERGY</v>
      </c>
      <c r="B113" s="142">
        <f>VLOOKUP(A113,'Data Vlaue (Cr)'!C108:CW322,99,0)</f>
        <v>1891</v>
      </c>
      <c r="C113" s="90">
        <f>VLOOKUP(A113,'Data Vlaue (Cr)'!C108:CY322,101,0)</f>
        <v>16</v>
      </c>
      <c r="D113" s="139">
        <f>VLOOKUP(A113,'Data Vlaue (Cr)'!C108:CZ322,102,0)</f>
        <v>8.5000000000000006E-3</v>
      </c>
      <c r="E113" s="91">
        <f>VLOOKUP($A113,'Data Vlaue (Cr)'!$C:$FB,75)</f>
        <v>1379</v>
      </c>
      <c r="F113" s="91">
        <f>VLOOKUP($A113,'Data Vlaue (Cr)'!$C:$FB,77)</f>
        <v>-8</v>
      </c>
      <c r="G113" s="92">
        <f>VLOOKUP(A113,'Data Vlaue (Cr)'!C108:CB322,78,0)</f>
        <v>-5.5999999999999999E-3</v>
      </c>
      <c r="H113" s="91">
        <f>VLOOKUP($A113,'Data Vlaue (Cr)'!$C:$FB,91)</f>
        <v>302</v>
      </c>
      <c r="I113" s="91">
        <f>VLOOKUP($A113,'Data Vlaue (Cr)'!$C:$FB,93)</f>
        <v>12</v>
      </c>
      <c r="J113" s="92">
        <f>VLOOKUP($A113,'Data Vlaue (Cr)'!$C:$FB,94)</f>
        <v>4.2999999999999997E-2</v>
      </c>
      <c r="K113" s="91">
        <f>VLOOKUP($A113,'Data Vlaue (Cr)'!$C:$FB,95)</f>
        <v>211</v>
      </c>
      <c r="L113" s="91">
        <f>VLOOKUP($A113,'Data Vlaue (Cr)'!$C:$FB,97)</f>
        <v>11</v>
      </c>
      <c r="M113" s="92">
        <f>VLOOKUP($A113,'Data Vlaue (Cr)'!$C:$FB,98)</f>
        <v>5.6599999999999998E-2</v>
      </c>
      <c r="N113" s="91">
        <f>VLOOKUP($A113,'Data Vlaue (Cr)'!$C:$FB,79)</f>
        <v>1358</v>
      </c>
      <c r="O113" s="92">
        <f>VLOOKUP($A113,'Data Vlaue (Cr)'!$C:$FB,82)</f>
        <v>-5.7999999999999996E-3</v>
      </c>
    </row>
    <row r="114" spans="1:15" x14ac:dyDescent="0.25">
      <c r="A114" s="97" t="str">
        <f>'Data Vlaue (Cr)'!C109</f>
        <v>JSWSTEEL</v>
      </c>
      <c r="B114" s="142">
        <f>VLOOKUP(A114,'Data Vlaue (Cr)'!C109:CW323,99,0)</f>
        <v>7322</v>
      </c>
      <c r="C114" s="90">
        <f>VLOOKUP(A114,'Data Vlaue (Cr)'!C109:CY323,101,0)</f>
        <v>111</v>
      </c>
      <c r="D114" s="139">
        <f>VLOOKUP(A114,'Data Vlaue (Cr)'!C109:CZ323,102,0)</f>
        <v>1.54E-2</v>
      </c>
      <c r="E114" s="91">
        <f>VLOOKUP($A114,'Data Vlaue (Cr)'!$C:$FB,75)</f>
        <v>6305</v>
      </c>
      <c r="F114" s="91">
        <f>VLOOKUP($A114,'Data Vlaue (Cr)'!$C:$FB,77)</f>
        <v>22</v>
      </c>
      <c r="G114" s="92">
        <f>VLOOKUP(A114,'Data Vlaue (Cr)'!C109:CB323,78,0)</f>
        <v>3.5000000000000001E-3</v>
      </c>
      <c r="H114" s="91">
        <f>VLOOKUP($A114,'Data Vlaue (Cr)'!$C:$FB,91)</f>
        <v>576</v>
      </c>
      <c r="I114" s="91">
        <f>VLOOKUP($A114,'Data Vlaue (Cr)'!$C:$FB,93)</f>
        <v>83</v>
      </c>
      <c r="J114" s="92">
        <f>VLOOKUP($A114,'Data Vlaue (Cr)'!$C:$FB,94)</f>
        <v>0.1676</v>
      </c>
      <c r="K114" s="91">
        <f>VLOOKUP($A114,'Data Vlaue (Cr)'!$C:$FB,95)</f>
        <v>441</v>
      </c>
      <c r="L114" s="91">
        <f>VLOOKUP($A114,'Data Vlaue (Cr)'!$C:$FB,97)</f>
        <v>6</v>
      </c>
      <c r="M114" s="92">
        <f>VLOOKUP($A114,'Data Vlaue (Cr)'!$C:$FB,98)</f>
        <v>1.4200000000000001E-2</v>
      </c>
      <c r="N114" s="91">
        <f>VLOOKUP($A114,'Data Vlaue (Cr)'!$C:$FB,79)</f>
        <v>6172</v>
      </c>
      <c r="O114" s="92">
        <f>VLOOKUP($A114,'Data Vlaue (Cr)'!$C:$FB,82)</f>
        <v>2.3999999999999998E-3</v>
      </c>
    </row>
    <row r="115" spans="1:15" x14ac:dyDescent="0.25">
      <c r="A115" s="97" t="str">
        <f>'Data Vlaue (Cr)'!C110</f>
        <v>JUBLFOOD</v>
      </c>
      <c r="B115" s="142">
        <f>VLOOKUP(A115,'Data Vlaue (Cr)'!C110:CW324,99,0)</f>
        <v>2351</v>
      </c>
      <c r="C115" s="90">
        <f>VLOOKUP(A115,'Data Vlaue (Cr)'!C110:CY324,101,0)</f>
        <v>62</v>
      </c>
      <c r="D115" s="139">
        <f>VLOOKUP(A115,'Data Vlaue (Cr)'!C110:CZ324,102,0)</f>
        <v>2.69E-2</v>
      </c>
      <c r="E115" s="91">
        <f>VLOOKUP($A115,'Data Vlaue (Cr)'!$C:$FB,75)</f>
        <v>1887</v>
      </c>
      <c r="F115" s="91">
        <f>VLOOKUP($A115,'Data Vlaue (Cr)'!$C:$FB,77)</f>
        <v>25</v>
      </c>
      <c r="G115" s="92">
        <f>VLOOKUP(A115,'Data Vlaue (Cr)'!C110:CB324,78,0)</f>
        <v>1.3599999999999999E-2</v>
      </c>
      <c r="H115" s="91">
        <f>VLOOKUP($A115,'Data Vlaue (Cr)'!$C:$FB,91)</f>
        <v>267</v>
      </c>
      <c r="I115" s="91">
        <f>VLOOKUP($A115,'Data Vlaue (Cr)'!$C:$FB,93)</f>
        <v>27</v>
      </c>
      <c r="J115" s="92">
        <f>VLOOKUP($A115,'Data Vlaue (Cr)'!$C:$FB,94)</f>
        <v>0.1128</v>
      </c>
      <c r="K115" s="91">
        <f>VLOOKUP($A115,'Data Vlaue (Cr)'!$C:$FB,95)</f>
        <v>197</v>
      </c>
      <c r="L115" s="91">
        <f>VLOOKUP($A115,'Data Vlaue (Cr)'!$C:$FB,97)</f>
        <v>9</v>
      </c>
      <c r="M115" s="92">
        <f>VLOOKUP($A115,'Data Vlaue (Cr)'!$C:$FB,98)</f>
        <v>4.9799999999999997E-2</v>
      </c>
      <c r="N115" s="91">
        <f>VLOOKUP($A115,'Data Vlaue (Cr)'!$C:$FB,79)</f>
        <v>1810</v>
      </c>
      <c r="O115" s="92">
        <f>VLOOKUP($A115,'Data Vlaue (Cr)'!$C:$FB,82)</f>
        <v>9.4000000000000004E-3</v>
      </c>
    </row>
    <row r="116" spans="1:15" x14ac:dyDescent="0.25">
      <c r="A116" s="97" t="str">
        <f>'Data Vlaue (Cr)'!C111</f>
        <v>KALYANKJIL</v>
      </c>
      <c r="B116" s="142">
        <f>VLOOKUP(A116,'Data Vlaue (Cr)'!C111:CW325,99,0)</f>
        <v>1458</v>
      </c>
      <c r="C116" s="90">
        <f>VLOOKUP(A116,'Data Vlaue (Cr)'!C111:CY325,101,0)</f>
        <v>64</v>
      </c>
      <c r="D116" s="139">
        <f>VLOOKUP(A116,'Data Vlaue (Cr)'!C111:CZ325,102,0)</f>
        <v>4.5699999999999998E-2</v>
      </c>
      <c r="E116" s="91">
        <f>VLOOKUP($A116,'Data Vlaue (Cr)'!$C:$FB,75)</f>
        <v>1092</v>
      </c>
      <c r="F116" s="91">
        <f>VLOOKUP($A116,'Data Vlaue (Cr)'!$C:$FB,77)</f>
        <v>16</v>
      </c>
      <c r="G116" s="92">
        <f>VLOOKUP(A116,'Data Vlaue (Cr)'!C111:CB325,78,0)</f>
        <v>1.5100000000000001E-2</v>
      </c>
      <c r="H116" s="91">
        <f>VLOOKUP($A116,'Data Vlaue (Cr)'!$C:$FB,91)</f>
        <v>227</v>
      </c>
      <c r="I116" s="91">
        <f>VLOOKUP($A116,'Data Vlaue (Cr)'!$C:$FB,93)</f>
        <v>36</v>
      </c>
      <c r="J116" s="92">
        <f>VLOOKUP($A116,'Data Vlaue (Cr)'!$C:$FB,94)</f>
        <v>0.1883</v>
      </c>
      <c r="K116" s="91">
        <f>VLOOKUP($A116,'Data Vlaue (Cr)'!$C:$FB,95)</f>
        <v>139</v>
      </c>
      <c r="L116" s="91">
        <f>VLOOKUP($A116,'Data Vlaue (Cr)'!$C:$FB,97)</f>
        <v>12</v>
      </c>
      <c r="M116" s="92">
        <f>VLOOKUP($A116,'Data Vlaue (Cr)'!$C:$FB,98)</f>
        <v>9.0399999999999994E-2</v>
      </c>
      <c r="N116" s="91">
        <f>VLOOKUP($A116,'Data Vlaue (Cr)'!$C:$FB,79)</f>
        <v>1071</v>
      </c>
      <c r="O116" s="92">
        <f>VLOOKUP($A116,'Data Vlaue (Cr)'!$C:$FB,82)</f>
        <v>1.47E-2</v>
      </c>
    </row>
    <row r="117" spans="1:15" x14ac:dyDescent="0.25">
      <c r="A117" s="97" t="str">
        <f>'Data Vlaue (Cr)'!C112</f>
        <v>KAYNES</v>
      </c>
      <c r="B117" s="142">
        <f>VLOOKUP(A117,'Data Vlaue (Cr)'!C112:CW326,99,0)</f>
        <v>1802</v>
      </c>
      <c r="C117" s="90">
        <f>VLOOKUP(A117,'Data Vlaue (Cr)'!C112:CY326,101,0)</f>
        <v>61</v>
      </c>
      <c r="D117" s="139">
        <f>VLOOKUP(A117,'Data Vlaue (Cr)'!C112:CZ326,102,0)</f>
        <v>3.5000000000000003E-2</v>
      </c>
      <c r="E117" s="91">
        <f>VLOOKUP($A117,'Data Vlaue (Cr)'!$C:$FB,75)</f>
        <v>1127</v>
      </c>
      <c r="F117" s="91">
        <f>VLOOKUP($A117,'Data Vlaue (Cr)'!$C:$FB,77)</f>
        <v>8</v>
      </c>
      <c r="G117" s="92">
        <f>VLOOKUP(A117,'Data Vlaue (Cr)'!C112:CB326,78,0)</f>
        <v>7.6E-3</v>
      </c>
      <c r="H117" s="91">
        <f>VLOOKUP($A117,'Data Vlaue (Cr)'!$C:$FB,91)</f>
        <v>399</v>
      </c>
      <c r="I117" s="91">
        <f>VLOOKUP($A117,'Data Vlaue (Cr)'!$C:$FB,93)</f>
        <v>40</v>
      </c>
      <c r="J117" s="92">
        <f>VLOOKUP($A117,'Data Vlaue (Cr)'!$C:$FB,94)</f>
        <v>0.1113</v>
      </c>
      <c r="K117" s="91">
        <f>VLOOKUP($A117,'Data Vlaue (Cr)'!$C:$FB,95)</f>
        <v>276</v>
      </c>
      <c r="L117" s="91">
        <f>VLOOKUP($A117,'Data Vlaue (Cr)'!$C:$FB,97)</f>
        <v>12</v>
      </c>
      <c r="M117" s="92">
        <f>VLOOKUP($A117,'Data Vlaue (Cr)'!$C:$FB,98)</f>
        <v>4.7399999999999998E-2</v>
      </c>
      <c r="N117" s="91">
        <f>VLOOKUP($A117,'Data Vlaue (Cr)'!$C:$FB,79)</f>
        <v>1058</v>
      </c>
      <c r="O117" s="92">
        <f>VLOOKUP($A117,'Data Vlaue (Cr)'!$C:$FB,82)</f>
        <v>6.6E-3</v>
      </c>
    </row>
    <row r="118" spans="1:15" x14ac:dyDescent="0.25">
      <c r="A118" s="97" t="str">
        <f>'Data Vlaue (Cr)'!C113</f>
        <v>KEI</v>
      </c>
      <c r="B118" s="142">
        <f>VLOOKUP(A118,'Data Vlaue (Cr)'!C113:CW327,99,0)</f>
        <v>1352</v>
      </c>
      <c r="C118" s="90">
        <f>VLOOKUP(A118,'Data Vlaue (Cr)'!C113:CY327,101,0)</f>
        <v>224</v>
      </c>
      <c r="D118" s="139">
        <f>VLOOKUP(A118,'Data Vlaue (Cr)'!C113:CZ327,102,0)</f>
        <v>0.19839999999999999</v>
      </c>
      <c r="E118" s="91">
        <f>VLOOKUP($A118,'Data Vlaue (Cr)'!$C:$FB,75)</f>
        <v>855</v>
      </c>
      <c r="F118" s="91">
        <f>VLOOKUP($A118,'Data Vlaue (Cr)'!$C:$FB,77)</f>
        <v>21</v>
      </c>
      <c r="G118" s="92">
        <f>VLOOKUP(A118,'Data Vlaue (Cr)'!C113:CB327,78,0)</f>
        <v>2.5000000000000001E-2</v>
      </c>
      <c r="H118" s="91">
        <f>VLOOKUP($A118,'Data Vlaue (Cr)'!$C:$FB,91)</f>
        <v>279</v>
      </c>
      <c r="I118" s="91">
        <f>VLOOKUP($A118,'Data Vlaue (Cr)'!$C:$FB,93)</f>
        <v>118</v>
      </c>
      <c r="J118" s="92">
        <f>VLOOKUP($A118,'Data Vlaue (Cr)'!$C:$FB,94)</f>
        <v>0.72840000000000005</v>
      </c>
      <c r="K118" s="91">
        <f>VLOOKUP($A118,'Data Vlaue (Cr)'!$C:$FB,95)</f>
        <v>217</v>
      </c>
      <c r="L118" s="91">
        <f>VLOOKUP($A118,'Data Vlaue (Cr)'!$C:$FB,97)</f>
        <v>85</v>
      </c>
      <c r="M118" s="92">
        <f>VLOOKUP($A118,'Data Vlaue (Cr)'!$C:$FB,98)</f>
        <v>0.64559999999999995</v>
      </c>
      <c r="N118" s="91">
        <f>VLOOKUP($A118,'Data Vlaue (Cr)'!$C:$FB,79)</f>
        <v>844</v>
      </c>
      <c r="O118" s="92">
        <f>VLOOKUP($A118,'Data Vlaue (Cr)'!$C:$FB,82)</f>
        <v>2.23E-2</v>
      </c>
    </row>
    <row r="119" spans="1:15" x14ac:dyDescent="0.25">
      <c r="A119" s="97" t="str">
        <f>'Data Vlaue (Cr)'!C114</f>
        <v>KFINTECH</v>
      </c>
      <c r="B119" s="142">
        <f>VLOOKUP(A119,'Data Vlaue (Cr)'!C114:CW328,99,0)</f>
        <v>1156</v>
      </c>
      <c r="C119" s="90">
        <f>VLOOKUP(A119,'Data Vlaue (Cr)'!C114:CY328,101,0)</f>
        <v>140</v>
      </c>
      <c r="D119" s="139">
        <f>VLOOKUP(A119,'Data Vlaue (Cr)'!C114:CZ328,102,0)</f>
        <v>0.1381</v>
      </c>
      <c r="E119" s="91">
        <f>VLOOKUP($A119,'Data Vlaue (Cr)'!$C:$FB,75)</f>
        <v>493</v>
      </c>
      <c r="F119" s="91">
        <f>VLOOKUP($A119,'Data Vlaue (Cr)'!$C:$FB,77)</f>
        <v>30</v>
      </c>
      <c r="G119" s="92">
        <f>VLOOKUP(A119,'Data Vlaue (Cr)'!C114:CB328,78,0)</f>
        <v>6.4899999999999999E-2</v>
      </c>
      <c r="H119" s="91">
        <f>VLOOKUP($A119,'Data Vlaue (Cr)'!$C:$FB,91)</f>
        <v>452</v>
      </c>
      <c r="I119" s="91">
        <f>VLOOKUP($A119,'Data Vlaue (Cr)'!$C:$FB,93)</f>
        <v>87</v>
      </c>
      <c r="J119" s="92">
        <f>VLOOKUP($A119,'Data Vlaue (Cr)'!$C:$FB,94)</f>
        <v>0.23769999999999999</v>
      </c>
      <c r="K119" s="91">
        <f>VLOOKUP($A119,'Data Vlaue (Cr)'!$C:$FB,95)</f>
        <v>211</v>
      </c>
      <c r="L119" s="91">
        <f>VLOOKUP($A119,'Data Vlaue (Cr)'!$C:$FB,97)</f>
        <v>24</v>
      </c>
      <c r="M119" s="92">
        <f>VLOOKUP($A119,'Data Vlaue (Cr)'!$C:$FB,98)</f>
        <v>0.12509999999999999</v>
      </c>
      <c r="N119" s="91">
        <f>VLOOKUP($A119,'Data Vlaue (Cr)'!$C:$FB,79)</f>
        <v>444</v>
      </c>
      <c r="O119" s="92">
        <f>VLOOKUP($A119,'Data Vlaue (Cr)'!$C:$FB,82)</f>
        <v>3.5799999999999998E-2</v>
      </c>
    </row>
    <row r="120" spans="1:15" x14ac:dyDescent="0.25">
      <c r="A120" s="97" t="str">
        <f>'Data Vlaue (Cr)'!C115</f>
        <v>KOTAKBANK</v>
      </c>
      <c r="B120" s="142">
        <f>VLOOKUP(A120,'Data Vlaue (Cr)'!C115:CW329,99,0)</f>
        <v>11505</v>
      </c>
      <c r="C120" s="90">
        <f>VLOOKUP(A120,'Data Vlaue (Cr)'!C115:CY329,101,0)</f>
        <v>199</v>
      </c>
      <c r="D120" s="139">
        <f>VLOOKUP(A120,'Data Vlaue (Cr)'!C115:CZ329,102,0)</f>
        <v>1.7600000000000001E-2</v>
      </c>
      <c r="E120" s="91">
        <f>VLOOKUP($A120,'Data Vlaue (Cr)'!$C:$FB,75)</f>
        <v>8492</v>
      </c>
      <c r="F120" s="91">
        <f>VLOOKUP($A120,'Data Vlaue (Cr)'!$C:$FB,77)</f>
        <v>-527</v>
      </c>
      <c r="G120" s="92">
        <f>VLOOKUP(A120,'Data Vlaue (Cr)'!C115:CB329,78,0)</f>
        <v>-5.8400000000000001E-2</v>
      </c>
      <c r="H120" s="91">
        <f>VLOOKUP($A120,'Data Vlaue (Cr)'!$C:$FB,91)</f>
        <v>1825</v>
      </c>
      <c r="I120" s="91">
        <f>VLOOKUP($A120,'Data Vlaue (Cr)'!$C:$FB,93)</f>
        <v>671</v>
      </c>
      <c r="J120" s="92">
        <f>VLOOKUP($A120,'Data Vlaue (Cr)'!$C:$FB,94)</f>
        <v>0.58189999999999997</v>
      </c>
      <c r="K120" s="91">
        <f>VLOOKUP($A120,'Data Vlaue (Cr)'!$C:$FB,95)</f>
        <v>1188</v>
      </c>
      <c r="L120" s="91">
        <f>VLOOKUP($A120,'Data Vlaue (Cr)'!$C:$FB,97)</f>
        <v>55</v>
      </c>
      <c r="M120" s="92">
        <f>VLOOKUP($A120,'Data Vlaue (Cr)'!$C:$FB,98)</f>
        <v>4.8099999999999997E-2</v>
      </c>
      <c r="N120" s="91">
        <f>VLOOKUP($A120,'Data Vlaue (Cr)'!$C:$FB,79)</f>
        <v>6954</v>
      </c>
      <c r="O120" s="92">
        <f>VLOOKUP($A120,'Data Vlaue (Cr)'!$C:$FB,82)</f>
        <v>-8.3099999999999993E-2</v>
      </c>
    </row>
    <row r="121" spans="1:15" x14ac:dyDescent="0.25">
      <c r="A121" s="97" t="str">
        <f>'Data Vlaue (Cr)'!C116</f>
        <v>KPITTECH</v>
      </c>
      <c r="B121" s="142">
        <f>VLOOKUP(A121,'Data Vlaue (Cr)'!C116:CW330,99,0)</f>
        <v>785</v>
      </c>
      <c r="C121" s="90">
        <f>VLOOKUP(A121,'Data Vlaue (Cr)'!C116:CY330,101,0)</f>
        <v>68</v>
      </c>
      <c r="D121" s="139">
        <f>VLOOKUP(A121,'Data Vlaue (Cr)'!C116:CZ330,102,0)</f>
        <v>9.5100000000000004E-2</v>
      </c>
      <c r="E121" s="91">
        <f>VLOOKUP($A121,'Data Vlaue (Cr)'!$C:$FB,75)</f>
        <v>481</v>
      </c>
      <c r="F121" s="91">
        <f>VLOOKUP($A121,'Data Vlaue (Cr)'!$C:$FB,77)</f>
        <v>4</v>
      </c>
      <c r="G121" s="92">
        <f>VLOOKUP(A121,'Data Vlaue (Cr)'!C116:CB330,78,0)</f>
        <v>8.3000000000000001E-3</v>
      </c>
      <c r="H121" s="91">
        <f>VLOOKUP($A121,'Data Vlaue (Cr)'!$C:$FB,91)</f>
        <v>185</v>
      </c>
      <c r="I121" s="91">
        <f>VLOOKUP($A121,'Data Vlaue (Cr)'!$C:$FB,93)</f>
        <v>52</v>
      </c>
      <c r="J121" s="92">
        <f>VLOOKUP($A121,'Data Vlaue (Cr)'!$C:$FB,94)</f>
        <v>0.39560000000000001</v>
      </c>
      <c r="K121" s="91">
        <f>VLOOKUP($A121,'Data Vlaue (Cr)'!$C:$FB,95)</f>
        <v>119</v>
      </c>
      <c r="L121" s="91">
        <f>VLOOKUP($A121,'Data Vlaue (Cr)'!$C:$FB,97)</f>
        <v>12</v>
      </c>
      <c r="M121" s="92">
        <f>VLOOKUP($A121,'Data Vlaue (Cr)'!$C:$FB,98)</f>
        <v>0.1094</v>
      </c>
      <c r="N121" s="91">
        <f>VLOOKUP($A121,'Data Vlaue (Cr)'!$C:$FB,79)</f>
        <v>464</v>
      </c>
      <c r="O121" s="92">
        <f>VLOOKUP($A121,'Data Vlaue (Cr)'!$C:$FB,82)</f>
        <v>7.6E-3</v>
      </c>
    </row>
    <row r="122" spans="1:15" x14ac:dyDescent="0.25">
      <c r="A122" s="97" t="str">
        <f>'Data Vlaue (Cr)'!C117</f>
        <v>LAURUSLABS</v>
      </c>
      <c r="B122" s="142">
        <f>VLOOKUP(A122,'Data Vlaue (Cr)'!C117:CW331,99,0)</f>
        <v>3230</v>
      </c>
      <c r="C122" s="90">
        <f>VLOOKUP(A122,'Data Vlaue (Cr)'!C117:CY331,101,0)</f>
        <v>165</v>
      </c>
      <c r="D122" s="139">
        <f>VLOOKUP(A122,'Data Vlaue (Cr)'!C117:CZ331,102,0)</f>
        <v>5.3900000000000003E-2</v>
      </c>
      <c r="E122" s="91">
        <f>VLOOKUP($A122,'Data Vlaue (Cr)'!$C:$FB,75)</f>
        <v>2135</v>
      </c>
      <c r="F122" s="91">
        <f>VLOOKUP($A122,'Data Vlaue (Cr)'!$C:$FB,77)</f>
        <v>17</v>
      </c>
      <c r="G122" s="92">
        <f>VLOOKUP(A122,'Data Vlaue (Cr)'!C117:CB331,78,0)</f>
        <v>8.2000000000000007E-3</v>
      </c>
      <c r="H122" s="91">
        <f>VLOOKUP($A122,'Data Vlaue (Cr)'!$C:$FB,91)</f>
        <v>668</v>
      </c>
      <c r="I122" s="91">
        <f>VLOOKUP($A122,'Data Vlaue (Cr)'!$C:$FB,93)</f>
        <v>71</v>
      </c>
      <c r="J122" s="92">
        <f>VLOOKUP($A122,'Data Vlaue (Cr)'!$C:$FB,94)</f>
        <v>0.1187</v>
      </c>
      <c r="K122" s="91">
        <f>VLOOKUP($A122,'Data Vlaue (Cr)'!$C:$FB,95)</f>
        <v>427</v>
      </c>
      <c r="L122" s="91">
        <f>VLOOKUP($A122,'Data Vlaue (Cr)'!$C:$FB,97)</f>
        <v>77</v>
      </c>
      <c r="M122" s="92">
        <f>VLOOKUP($A122,'Data Vlaue (Cr)'!$C:$FB,98)</f>
        <v>0.2198</v>
      </c>
      <c r="N122" s="91">
        <f>VLOOKUP($A122,'Data Vlaue (Cr)'!$C:$FB,79)</f>
        <v>2110</v>
      </c>
      <c r="O122" s="92">
        <f>VLOOKUP($A122,'Data Vlaue (Cr)'!$C:$FB,82)</f>
        <v>6.4999999999999997E-3</v>
      </c>
    </row>
    <row r="123" spans="1:15" x14ac:dyDescent="0.25">
      <c r="A123" s="97" t="str">
        <f>'Data Vlaue (Cr)'!C118</f>
        <v>LICHSGFIN</v>
      </c>
      <c r="B123" s="142">
        <f>VLOOKUP(A123,'Data Vlaue (Cr)'!C118:CW332,99,0)</f>
        <v>2180</v>
      </c>
      <c r="C123" s="90">
        <f>VLOOKUP(A123,'Data Vlaue (Cr)'!C118:CY332,101,0)</f>
        <v>39</v>
      </c>
      <c r="D123" s="139">
        <f>VLOOKUP(A123,'Data Vlaue (Cr)'!C118:CZ332,102,0)</f>
        <v>1.8499999999999999E-2</v>
      </c>
      <c r="E123" s="91">
        <f>VLOOKUP($A123,'Data Vlaue (Cr)'!$C:$FB,75)</f>
        <v>1697</v>
      </c>
      <c r="F123" s="91">
        <f>VLOOKUP($A123,'Data Vlaue (Cr)'!$C:$FB,77)</f>
        <v>23</v>
      </c>
      <c r="G123" s="92">
        <f>VLOOKUP(A123,'Data Vlaue (Cr)'!C118:CB332,78,0)</f>
        <v>1.4E-2</v>
      </c>
      <c r="H123" s="91">
        <f>VLOOKUP($A123,'Data Vlaue (Cr)'!$C:$FB,91)</f>
        <v>292</v>
      </c>
      <c r="I123" s="91">
        <f>VLOOKUP($A123,'Data Vlaue (Cr)'!$C:$FB,93)</f>
        <v>12</v>
      </c>
      <c r="J123" s="92">
        <f>VLOOKUP($A123,'Data Vlaue (Cr)'!$C:$FB,94)</f>
        <v>4.4200000000000003E-2</v>
      </c>
      <c r="K123" s="91">
        <f>VLOOKUP($A123,'Data Vlaue (Cr)'!$C:$FB,95)</f>
        <v>190</v>
      </c>
      <c r="L123" s="91">
        <f>VLOOKUP($A123,'Data Vlaue (Cr)'!$C:$FB,97)</f>
        <v>4</v>
      </c>
      <c r="M123" s="92">
        <f>VLOOKUP($A123,'Data Vlaue (Cr)'!$C:$FB,98)</f>
        <v>1.9599999999999999E-2</v>
      </c>
      <c r="N123" s="91">
        <f>VLOOKUP($A123,'Data Vlaue (Cr)'!$C:$FB,79)</f>
        <v>1675</v>
      </c>
      <c r="O123" s="92">
        <f>VLOOKUP($A123,'Data Vlaue (Cr)'!$C:$FB,82)</f>
        <v>1.3599999999999999E-2</v>
      </c>
    </row>
    <row r="124" spans="1:15" x14ac:dyDescent="0.25">
      <c r="A124" s="97" t="str">
        <f>'Data Vlaue (Cr)'!C119</f>
        <v>LICI</v>
      </c>
      <c r="B124" s="142">
        <f>VLOOKUP(A124,'Data Vlaue (Cr)'!C119:CW333,99,0)</f>
        <v>1545</v>
      </c>
      <c r="C124" s="90">
        <f>VLOOKUP(A124,'Data Vlaue (Cr)'!C119:CY333,101,0)</f>
        <v>79</v>
      </c>
      <c r="D124" s="139">
        <f>VLOOKUP(A124,'Data Vlaue (Cr)'!C119:CZ333,102,0)</f>
        <v>5.4100000000000002E-2</v>
      </c>
      <c r="E124" s="91">
        <f>VLOOKUP($A124,'Data Vlaue (Cr)'!$C:$FB,75)</f>
        <v>792</v>
      </c>
      <c r="F124" s="91">
        <f>VLOOKUP($A124,'Data Vlaue (Cr)'!$C:$FB,77)</f>
        <v>4</v>
      </c>
      <c r="G124" s="92">
        <f>VLOOKUP(A124,'Data Vlaue (Cr)'!C119:CB333,78,0)</f>
        <v>4.5999999999999999E-3</v>
      </c>
      <c r="H124" s="91">
        <f>VLOOKUP($A124,'Data Vlaue (Cr)'!$C:$FB,91)</f>
        <v>467</v>
      </c>
      <c r="I124" s="91">
        <f>VLOOKUP($A124,'Data Vlaue (Cr)'!$C:$FB,93)</f>
        <v>57</v>
      </c>
      <c r="J124" s="92">
        <f>VLOOKUP($A124,'Data Vlaue (Cr)'!$C:$FB,94)</f>
        <v>0.13980000000000001</v>
      </c>
      <c r="K124" s="91">
        <f>VLOOKUP($A124,'Data Vlaue (Cr)'!$C:$FB,95)</f>
        <v>287</v>
      </c>
      <c r="L124" s="91">
        <f>VLOOKUP($A124,'Data Vlaue (Cr)'!$C:$FB,97)</f>
        <v>18</v>
      </c>
      <c r="M124" s="92">
        <f>VLOOKUP($A124,'Data Vlaue (Cr)'!$C:$FB,98)</f>
        <v>6.8400000000000002E-2</v>
      </c>
      <c r="N124" s="91">
        <f>VLOOKUP($A124,'Data Vlaue (Cr)'!$C:$FB,79)</f>
        <v>707</v>
      </c>
      <c r="O124" s="92">
        <f>VLOOKUP($A124,'Data Vlaue (Cr)'!$C:$FB,82)</f>
        <v>-6.4000000000000003E-3</v>
      </c>
    </row>
    <row r="125" spans="1:15" x14ac:dyDescent="0.25">
      <c r="A125" s="97" t="str">
        <f>'Data Vlaue (Cr)'!C120</f>
        <v>LODHA</v>
      </c>
      <c r="B125" s="142">
        <f>VLOOKUP(A125,'Data Vlaue (Cr)'!C120:CW334,99,0)</f>
        <v>1766</v>
      </c>
      <c r="C125" s="90">
        <f>VLOOKUP(A125,'Data Vlaue (Cr)'!C120:CY334,101,0)</f>
        <v>-27</v>
      </c>
      <c r="D125" s="139">
        <f>VLOOKUP(A125,'Data Vlaue (Cr)'!C120:CZ334,102,0)</f>
        <v>-1.4999999999999999E-2</v>
      </c>
      <c r="E125" s="91">
        <f>VLOOKUP($A125,'Data Vlaue (Cr)'!$C:$FB,75)</f>
        <v>1386</v>
      </c>
      <c r="F125" s="91">
        <f>VLOOKUP($A125,'Data Vlaue (Cr)'!$C:$FB,77)</f>
        <v>-24</v>
      </c>
      <c r="G125" s="92">
        <f>VLOOKUP(A125,'Data Vlaue (Cr)'!C120:CB334,78,0)</f>
        <v>-1.7100000000000001E-2</v>
      </c>
      <c r="H125" s="91">
        <f>VLOOKUP($A125,'Data Vlaue (Cr)'!$C:$FB,91)</f>
        <v>228</v>
      </c>
      <c r="I125" s="91">
        <f>VLOOKUP($A125,'Data Vlaue (Cr)'!$C:$FB,93)</f>
        <v>-12</v>
      </c>
      <c r="J125" s="92">
        <f>VLOOKUP($A125,'Data Vlaue (Cr)'!$C:$FB,94)</f>
        <v>-4.9700000000000001E-2</v>
      </c>
      <c r="K125" s="91">
        <f>VLOOKUP($A125,'Data Vlaue (Cr)'!$C:$FB,95)</f>
        <v>152</v>
      </c>
      <c r="L125" s="91">
        <f>VLOOKUP($A125,'Data Vlaue (Cr)'!$C:$FB,97)</f>
        <v>9</v>
      </c>
      <c r="M125" s="92">
        <f>VLOOKUP($A125,'Data Vlaue (Cr)'!$C:$FB,98)</f>
        <v>6.3600000000000004E-2</v>
      </c>
      <c r="N125" s="91">
        <f>VLOOKUP($A125,'Data Vlaue (Cr)'!$C:$FB,79)</f>
        <v>1266</v>
      </c>
      <c r="O125" s="92">
        <f>VLOOKUP($A125,'Data Vlaue (Cr)'!$C:$FB,82)</f>
        <v>-1.8499999999999999E-2</v>
      </c>
    </row>
    <row r="126" spans="1:15" x14ac:dyDescent="0.25">
      <c r="A126" s="97" t="str">
        <f>'Data Vlaue (Cr)'!C121</f>
        <v>LT</v>
      </c>
      <c r="B126" s="142">
        <f>VLOOKUP(A126,'Data Vlaue (Cr)'!C121:CW335,99,0)</f>
        <v>9580</v>
      </c>
      <c r="C126" s="90">
        <f>VLOOKUP(A126,'Data Vlaue (Cr)'!C121:CY335,101,0)</f>
        <v>550</v>
      </c>
      <c r="D126" s="139">
        <f>VLOOKUP(A126,'Data Vlaue (Cr)'!C121:CZ335,102,0)</f>
        <v>6.0900000000000003E-2</v>
      </c>
      <c r="E126" s="91">
        <f>VLOOKUP($A126,'Data Vlaue (Cr)'!$C:$FB,75)</f>
        <v>5843</v>
      </c>
      <c r="F126" s="91">
        <f>VLOOKUP($A126,'Data Vlaue (Cr)'!$C:$FB,77)</f>
        <v>-95</v>
      </c>
      <c r="G126" s="92">
        <f>VLOOKUP(A126,'Data Vlaue (Cr)'!C121:CB335,78,0)</f>
        <v>-1.6E-2</v>
      </c>
      <c r="H126" s="91">
        <f>VLOOKUP($A126,'Data Vlaue (Cr)'!$C:$FB,91)</f>
        <v>2042</v>
      </c>
      <c r="I126" s="91">
        <f>VLOOKUP($A126,'Data Vlaue (Cr)'!$C:$FB,93)</f>
        <v>478</v>
      </c>
      <c r="J126" s="92">
        <f>VLOOKUP($A126,'Data Vlaue (Cr)'!$C:$FB,94)</f>
        <v>0.3054</v>
      </c>
      <c r="K126" s="91">
        <f>VLOOKUP($A126,'Data Vlaue (Cr)'!$C:$FB,95)</f>
        <v>1696</v>
      </c>
      <c r="L126" s="91">
        <f>VLOOKUP($A126,'Data Vlaue (Cr)'!$C:$FB,97)</f>
        <v>167</v>
      </c>
      <c r="M126" s="92">
        <f>VLOOKUP($A126,'Data Vlaue (Cr)'!$C:$FB,98)</f>
        <v>0.1094</v>
      </c>
      <c r="N126" s="91">
        <f>VLOOKUP($A126,'Data Vlaue (Cr)'!$C:$FB,79)</f>
        <v>5566</v>
      </c>
      <c r="O126" s="92">
        <f>VLOOKUP($A126,'Data Vlaue (Cr)'!$C:$FB,82)</f>
        <v>-1.9400000000000001E-2</v>
      </c>
    </row>
    <row r="127" spans="1:15" x14ac:dyDescent="0.25">
      <c r="A127" s="97" t="str">
        <f>'Data Vlaue (Cr)'!C122</f>
        <v>LTF</v>
      </c>
      <c r="B127" s="142">
        <f>VLOOKUP(A127,'Data Vlaue (Cr)'!C122:CW336,99,0)</f>
        <v>1976</v>
      </c>
      <c r="C127" s="90">
        <f>VLOOKUP(A127,'Data Vlaue (Cr)'!C122:CY336,101,0)</f>
        <v>81</v>
      </c>
      <c r="D127" s="139">
        <f>VLOOKUP(A127,'Data Vlaue (Cr)'!C122:CZ336,102,0)</f>
        <v>4.2500000000000003E-2</v>
      </c>
      <c r="E127" s="91">
        <f>VLOOKUP($A127,'Data Vlaue (Cr)'!$C:$FB,75)</f>
        <v>1268</v>
      </c>
      <c r="F127" s="91">
        <f>VLOOKUP($A127,'Data Vlaue (Cr)'!$C:$FB,77)</f>
        <v>15</v>
      </c>
      <c r="G127" s="92">
        <f>VLOOKUP(A127,'Data Vlaue (Cr)'!C122:CB336,78,0)</f>
        <v>1.21E-2</v>
      </c>
      <c r="H127" s="91">
        <f>VLOOKUP($A127,'Data Vlaue (Cr)'!$C:$FB,91)</f>
        <v>403</v>
      </c>
      <c r="I127" s="91">
        <f>VLOOKUP($A127,'Data Vlaue (Cr)'!$C:$FB,93)</f>
        <v>51</v>
      </c>
      <c r="J127" s="92">
        <f>VLOOKUP($A127,'Data Vlaue (Cr)'!$C:$FB,94)</f>
        <v>0.14549999999999999</v>
      </c>
      <c r="K127" s="91">
        <f>VLOOKUP($A127,'Data Vlaue (Cr)'!$C:$FB,95)</f>
        <v>304</v>
      </c>
      <c r="L127" s="91">
        <f>VLOOKUP($A127,'Data Vlaue (Cr)'!$C:$FB,97)</f>
        <v>14</v>
      </c>
      <c r="M127" s="92">
        <f>VLOOKUP($A127,'Data Vlaue (Cr)'!$C:$FB,98)</f>
        <v>4.8800000000000003E-2</v>
      </c>
      <c r="N127" s="91">
        <f>VLOOKUP($A127,'Data Vlaue (Cr)'!$C:$FB,79)</f>
        <v>1242</v>
      </c>
      <c r="O127" s="92">
        <f>VLOOKUP($A127,'Data Vlaue (Cr)'!$C:$FB,82)</f>
        <v>7.1999999999999998E-3</v>
      </c>
    </row>
    <row r="128" spans="1:15" x14ac:dyDescent="0.25">
      <c r="A128" s="97" t="str">
        <f>'Data Vlaue (Cr)'!C123</f>
        <v>LTM</v>
      </c>
      <c r="B128" s="142">
        <f>VLOOKUP(A128,'Data Vlaue (Cr)'!C123:CW337,99,0)</f>
        <v>2013</v>
      </c>
      <c r="C128" s="90">
        <f>VLOOKUP(A128,'Data Vlaue (Cr)'!C123:CY337,101,0)</f>
        <v>70</v>
      </c>
      <c r="D128" s="139">
        <f>VLOOKUP(A128,'Data Vlaue (Cr)'!C123:CZ337,102,0)</f>
        <v>3.5900000000000001E-2</v>
      </c>
      <c r="E128" s="91">
        <f>VLOOKUP($A128,'Data Vlaue (Cr)'!$C:$FB,75)</f>
        <v>1369</v>
      </c>
      <c r="F128" s="91">
        <f>VLOOKUP($A128,'Data Vlaue (Cr)'!$C:$FB,77)</f>
        <v>4</v>
      </c>
      <c r="G128" s="92">
        <f>VLOOKUP(A128,'Data Vlaue (Cr)'!C123:CB337,78,0)</f>
        <v>2.5999999999999999E-3</v>
      </c>
      <c r="H128" s="91">
        <f>VLOOKUP($A128,'Data Vlaue (Cr)'!$C:$FB,91)</f>
        <v>385</v>
      </c>
      <c r="I128" s="91">
        <f>VLOOKUP($A128,'Data Vlaue (Cr)'!$C:$FB,93)</f>
        <v>44</v>
      </c>
      <c r="J128" s="92">
        <f>VLOOKUP($A128,'Data Vlaue (Cr)'!$C:$FB,94)</f>
        <v>0.12820000000000001</v>
      </c>
      <c r="K128" s="91">
        <f>VLOOKUP($A128,'Data Vlaue (Cr)'!$C:$FB,95)</f>
        <v>259</v>
      </c>
      <c r="L128" s="91">
        <f>VLOOKUP($A128,'Data Vlaue (Cr)'!$C:$FB,97)</f>
        <v>22</v>
      </c>
      <c r="M128" s="92">
        <f>VLOOKUP($A128,'Data Vlaue (Cr)'!$C:$FB,98)</f>
        <v>9.4200000000000006E-2</v>
      </c>
      <c r="N128" s="91">
        <f>VLOOKUP($A128,'Data Vlaue (Cr)'!$C:$FB,79)</f>
        <v>1312</v>
      </c>
      <c r="O128" s="92">
        <f>VLOOKUP($A128,'Data Vlaue (Cr)'!$C:$FB,82)</f>
        <v>-4.7000000000000002E-3</v>
      </c>
    </row>
    <row r="129" spans="1:15" x14ac:dyDescent="0.25">
      <c r="A129" s="97" t="str">
        <f>'Data Vlaue (Cr)'!C124</f>
        <v>LUPIN</v>
      </c>
      <c r="B129" s="142">
        <f>VLOOKUP(A129,'Data Vlaue (Cr)'!C124:CW338,99,0)</f>
        <v>2779</v>
      </c>
      <c r="C129" s="90">
        <f>VLOOKUP(A129,'Data Vlaue (Cr)'!C124:CY338,101,0)</f>
        <v>361</v>
      </c>
      <c r="D129" s="139">
        <f>VLOOKUP(A129,'Data Vlaue (Cr)'!C124:CZ338,102,0)</f>
        <v>0.14949999999999999</v>
      </c>
      <c r="E129" s="91">
        <f>VLOOKUP($A129,'Data Vlaue (Cr)'!$C:$FB,75)</f>
        <v>1677</v>
      </c>
      <c r="F129" s="91">
        <f>VLOOKUP($A129,'Data Vlaue (Cr)'!$C:$FB,77)</f>
        <v>34</v>
      </c>
      <c r="G129" s="92">
        <f>VLOOKUP(A129,'Data Vlaue (Cr)'!C124:CB338,78,0)</f>
        <v>2.0400000000000001E-2</v>
      </c>
      <c r="H129" s="91">
        <f>VLOOKUP($A129,'Data Vlaue (Cr)'!$C:$FB,91)</f>
        <v>675</v>
      </c>
      <c r="I129" s="91">
        <f>VLOOKUP($A129,'Data Vlaue (Cr)'!$C:$FB,93)</f>
        <v>246</v>
      </c>
      <c r="J129" s="92">
        <f>VLOOKUP($A129,'Data Vlaue (Cr)'!$C:$FB,94)</f>
        <v>0.57189999999999996</v>
      </c>
      <c r="K129" s="91">
        <f>VLOOKUP($A129,'Data Vlaue (Cr)'!$C:$FB,95)</f>
        <v>426</v>
      </c>
      <c r="L129" s="91">
        <f>VLOOKUP($A129,'Data Vlaue (Cr)'!$C:$FB,97)</f>
        <v>82</v>
      </c>
      <c r="M129" s="92">
        <f>VLOOKUP($A129,'Data Vlaue (Cr)'!$C:$FB,98)</f>
        <v>0.2387</v>
      </c>
      <c r="N129" s="91">
        <f>VLOOKUP($A129,'Data Vlaue (Cr)'!$C:$FB,79)</f>
        <v>1583</v>
      </c>
      <c r="O129" s="92">
        <f>VLOOKUP($A129,'Data Vlaue (Cr)'!$C:$FB,82)</f>
        <v>1.8599999999999998E-2</v>
      </c>
    </row>
    <row r="130" spans="1:15" x14ac:dyDescent="0.25">
      <c r="A130" s="97" t="str">
        <f>'Data Vlaue (Cr)'!C125</f>
        <v>M&amp;M</v>
      </c>
      <c r="B130" s="142">
        <f>VLOOKUP(A130,'Data Vlaue (Cr)'!C125:CW339,99,0)</f>
        <v>8960</v>
      </c>
      <c r="C130" s="90">
        <f>VLOOKUP(A130,'Data Vlaue (Cr)'!C125:CY339,101,0)</f>
        <v>639</v>
      </c>
      <c r="D130" s="139">
        <f>VLOOKUP(A130,'Data Vlaue (Cr)'!C125:CZ339,102,0)</f>
        <v>7.6799999999999993E-2</v>
      </c>
      <c r="E130" s="91">
        <f>VLOOKUP($A130,'Data Vlaue (Cr)'!$C:$FB,75)</f>
        <v>6372</v>
      </c>
      <c r="F130" s="91">
        <f>VLOOKUP($A130,'Data Vlaue (Cr)'!$C:$FB,77)</f>
        <v>149</v>
      </c>
      <c r="G130" s="92">
        <f>VLOOKUP(A130,'Data Vlaue (Cr)'!C125:CB339,78,0)</f>
        <v>2.4E-2</v>
      </c>
      <c r="H130" s="91">
        <f>VLOOKUP($A130,'Data Vlaue (Cr)'!$C:$FB,91)</f>
        <v>1434</v>
      </c>
      <c r="I130" s="91">
        <f>VLOOKUP($A130,'Data Vlaue (Cr)'!$C:$FB,93)</f>
        <v>324</v>
      </c>
      <c r="J130" s="92">
        <f>VLOOKUP($A130,'Data Vlaue (Cr)'!$C:$FB,94)</f>
        <v>0.29189999999999999</v>
      </c>
      <c r="K130" s="91">
        <f>VLOOKUP($A130,'Data Vlaue (Cr)'!$C:$FB,95)</f>
        <v>1154</v>
      </c>
      <c r="L130" s="91">
        <f>VLOOKUP($A130,'Data Vlaue (Cr)'!$C:$FB,97)</f>
        <v>165</v>
      </c>
      <c r="M130" s="92">
        <f>VLOOKUP($A130,'Data Vlaue (Cr)'!$C:$FB,98)</f>
        <v>0.16739999999999999</v>
      </c>
      <c r="N130" s="91">
        <f>VLOOKUP($A130,'Data Vlaue (Cr)'!$C:$FB,79)</f>
        <v>5477</v>
      </c>
      <c r="O130" s="92">
        <f>VLOOKUP($A130,'Data Vlaue (Cr)'!$C:$FB,82)</f>
        <v>2.1999999999999999E-2</v>
      </c>
    </row>
    <row r="131" spans="1:15" x14ac:dyDescent="0.25">
      <c r="A131" s="97" t="str">
        <f>'Data Vlaue (Cr)'!C126</f>
        <v>MANAPPURAM</v>
      </c>
      <c r="B131" s="142">
        <f>VLOOKUP(A131,'Data Vlaue (Cr)'!C126:CW340,99,0)</f>
        <v>2277</v>
      </c>
      <c r="C131" s="90">
        <f>VLOOKUP(A131,'Data Vlaue (Cr)'!C126:CY340,101,0)</f>
        <v>205</v>
      </c>
      <c r="D131" s="139">
        <f>VLOOKUP(A131,'Data Vlaue (Cr)'!C126:CZ340,102,0)</f>
        <v>9.9099999999999994E-2</v>
      </c>
      <c r="E131" s="91">
        <f>VLOOKUP($A131,'Data Vlaue (Cr)'!$C:$FB,75)</f>
        <v>1621</v>
      </c>
      <c r="F131" s="91">
        <f>VLOOKUP($A131,'Data Vlaue (Cr)'!$C:$FB,77)</f>
        <v>26</v>
      </c>
      <c r="G131" s="92">
        <f>VLOOKUP(A131,'Data Vlaue (Cr)'!C126:CB340,78,0)</f>
        <v>1.66E-2</v>
      </c>
      <c r="H131" s="91">
        <f>VLOOKUP($A131,'Data Vlaue (Cr)'!$C:$FB,91)</f>
        <v>397</v>
      </c>
      <c r="I131" s="91">
        <f>VLOOKUP($A131,'Data Vlaue (Cr)'!$C:$FB,93)</f>
        <v>86</v>
      </c>
      <c r="J131" s="92">
        <f>VLOOKUP($A131,'Data Vlaue (Cr)'!$C:$FB,94)</f>
        <v>0.2777</v>
      </c>
      <c r="K131" s="91">
        <f>VLOOKUP($A131,'Data Vlaue (Cr)'!$C:$FB,95)</f>
        <v>259</v>
      </c>
      <c r="L131" s="91">
        <f>VLOOKUP($A131,'Data Vlaue (Cr)'!$C:$FB,97)</f>
        <v>93</v>
      </c>
      <c r="M131" s="92">
        <f>VLOOKUP($A131,'Data Vlaue (Cr)'!$C:$FB,98)</f>
        <v>0.55600000000000005</v>
      </c>
      <c r="N131" s="91">
        <f>VLOOKUP($A131,'Data Vlaue (Cr)'!$C:$FB,79)</f>
        <v>1611</v>
      </c>
      <c r="O131" s="92">
        <f>VLOOKUP($A131,'Data Vlaue (Cr)'!$C:$FB,82)</f>
        <v>1.5900000000000001E-2</v>
      </c>
    </row>
    <row r="132" spans="1:15" x14ac:dyDescent="0.25">
      <c r="A132" s="97" t="str">
        <f>'Data Vlaue (Cr)'!C127</f>
        <v>MANKIND</v>
      </c>
      <c r="B132" s="142">
        <f>VLOOKUP(A132,'Data Vlaue (Cr)'!C127:CW341,99,0)</f>
        <v>1002</v>
      </c>
      <c r="C132" s="90">
        <f>VLOOKUP(A132,'Data Vlaue (Cr)'!C127:CY341,101,0)</f>
        <v>46</v>
      </c>
      <c r="D132" s="139">
        <f>VLOOKUP(A132,'Data Vlaue (Cr)'!C127:CZ341,102,0)</f>
        <v>4.8399999999999999E-2</v>
      </c>
      <c r="E132" s="91">
        <f>VLOOKUP($A132,'Data Vlaue (Cr)'!$C:$FB,75)</f>
        <v>797</v>
      </c>
      <c r="F132" s="91">
        <f>VLOOKUP($A132,'Data Vlaue (Cr)'!$C:$FB,77)</f>
        <v>7</v>
      </c>
      <c r="G132" s="92">
        <f>VLOOKUP(A132,'Data Vlaue (Cr)'!C127:CB341,78,0)</f>
        <v>8.6999999999999994E-3</v>
      </c>
      <c r="H132" s="91">
        <f>VLOOKUP($A132,'Data Vlaue (Cr)'!$C:$FB,91)</f>
        <v>112</v>
      </c>
      <c r="I132" s="91">
        <f>VLOOKUP($A132,'Data Vlaue (Cr)'!$C:$FB,93)</f>
        <v>35</v>
      </c>
      <c r="J132" s="92">
        <f>VLOOKUP($A132,'Data Vlaue (Cr)'!$C:$FB,94)</f>
        <v>0.44929999999999998</v>
      </c>
      <c r="K132" s="91">
        <f>VLOOKUP($A132,'Data Vlaue (Cr)'!$C:$FB,95)</f>
        <v>92</v>
      </c>
      <c r="L132" s="91">
        <f>VLOOKUP($A132,'Data Vlaue (Cr)'!$C:$FB,97)</f>
        <v>5</v>
      </c>
      <c r="M132" s="92">
        <f>VLOOKUP($A132,'Data Vlaue (Cr)'!$C:$FB,98)</f>
        <v>5.21E-2</v>
      </c>
      <c r="N132" s="91">
        <f>VLOOKUP($A132,'Data Vlaue (Cr)'!$C:$FB,79)</f>
        <v>792</v>
      </c>
      <c r="O132" s="92">
        <f>VLOOKUP($A132,'Data Vlaue (Cr)'!$C:$FB,82)</f>
        <v>8.5000000000000006E-3</v>
      </c>
    </row>
    <row r="133" spans="1:15" x14ac:dyDescent="0.25">
      <c r="A133" s="97" t="str">
        <f>'Data Vlaue (Cr)'!C128</f>
        <v>MARICO</v>
      </c>
      <c r="B133" s="142">
        <f>VLOOKUP(A133,'Data Vlaue (Cr)'!C128:CW342,99,0)</f>
        <v>2203</v>
      </c>
      <c r="C133" s="90">
        <f>VLOOKUP(A133,'Data Vlaue (Cr)'!C128:CY342,101,0)</f>
        <v>107</v>
      </c>
      <c r="D133" s="139">
        <f>VLOOKUP(A133,'Data Vlaue (Cr)'!C128:CZ342,102,0)</f>
        <v>5.0799999999999998E-2</v>
      </c>
      <c r="E133" s="91">
        <f>VLOOKUP($A133,'Data Vlaue (Cr)'!$C:$FB,75)</f>
        <v>1746</v>
      </c>
      <c r="F133" s="91">
        <f>VLOOKUP($A133,'Data Vlaue (Cr)'!$C:$FB,77)</f>
        <v>12</v>
      </c>
      <c r="G133" s="92">
        <f>VLOOKUP(A133,'Data Vlaue (Cr)'!C128:CB342,78,0)</f>
        <v>6.7000000000000002E-3</v>
      </c>
      <c r="H133" s="91">
        <f>VLOOKUP($A133,'Data Vlaue (Cr)'!$C:$FB,91)</f>
        <v>253</v>
      </c>
      <c r="I133" s="91">
        <f>VLOOKUP($A133,'Data Vlaue (Cr)'!$C:$FB,93)</f>
        <v>51</v>
      </c>
      <c r="J133" s="92">
        <f>VLOOKUP($A133,'Data Vlaue (Cr)'!$C:$FB,94)</f>
        <v>0.25</v>
      </c>
      <c r="K133" s="91">
        <f>VLOOKUP($A133,'Data Vlaue (Cr)'!$C:$FB,95)</f>
        <v>203</v>
      </c>
      <c r="L133" s="91">
        <f>VLOOKUP($A133,'Data Vlaue (Cr)'!$C:$FB,97)</f>
        <v>44</v>
      </c>
      <c r="M133" s="92">
        <f>VLOOKUP($A133,'Data Vlaue (Cr)'!$C:$FB,98)</f>
        <v>0.27839999999999998</v>
      </c>
      <c r="N133" s="91">
        <f>VLOOKUP($A133,'Data Vlaue (Cr)'!$C:$FB,79)</f>
        <v>1647</v>
      </c>
      <c r="O133" s="92">
        <f>VLOOKUP($A133,'Data Vlaue (Cr)'!$C:$FB,82)</f>
        <v>6.7999999999999996E-3</v>
      </c>
    </row>
    <row r="134" spans="1:15" x14ac:dyDescent="0.25">
      <c r="A134" s="97" t="str">
        <f>'Data Vlaue (Cr)'!C129</f>
        <v>MARUTI</v>
      </c>
      <c r="B134" s="142">
        <f>VLOOKUP(A134,'Data Vlaue (Cr)'!C129:CW343,99,0)</f>
        <v>8122</v>
      </c>
      <c r="C134" s="90">
        <f>VLOOKUP(A134,'Data Vlaue (Cr)'!C129:CY343,101,0)</f>
        <v>661</v>
      </c>
      <c r="D134" s="139">
        <f>VLOOKUP(A134,'Data Vlaue (Cr)'!C129:CZ343,102,0)</f>
        <v>8.8599999999999998E-2</v>
      </c>
      <c r="E134" s="91">
        <f>VLOOKUP($A134,'Data Vlaue (Cr)'!$C:$FB,75)</f>
        <v>4238</v>
      </c>
      <c r="F134" s="91">
        <f>VLOOKUP($A134,'Data Vlaue (Cr)'!$C:$FB,77)</f>
        <v>34</v>
      </c>
      <c r="G134" s="92">
        <f>VLOOKUP(A134,'Data Vlaue (Cr)'!C129:CB343,78,0)</f>
        <v>8.0999999999999996E-3</v>
      </c>
      <c r="H134" s="91">
        <f>VLOOKUP($A134,'Data Vlaue (Cr)'!$C:$FB,91)</f>
        <v>2598</v>
      </c>
      <c r="I134" s="91">
        <f>VLOOKUP($A134,'Data Vlaue (Cr)'!$C:$FB,93)</f>
        <v>385</v>
      </c>
      <c r="J134" s="92">
        <f>VLOOKUP($A134,'Data Vlaue (Cr)'!$C:$FB,94)</f>
        <v>0.1741</v>
      </c>
      <c r="K134" s="91">
        <f>VLOOKUP($A134,'Data Vlaue (Cr)'!$C:$FB,95)</f>
        <v>1287</v>
      </c>
      <c r="L134" s="91">
        <f>VLOOKUP($A134,'Data Vlaue (Cr)'!$C:$FB,97)</f>
        <v>242</v>
      </c>
      <c r="M134" s="92">
        <f>VLOOKUP($A134,'Data Vlaue (Cr)'!$C:$FB,98)</f>
        <v>0.23130000000000001</v>
      </c>
      <c r="N134" s="91">
        <f>VLOOKUP($A134,'Data Vlaue (Cr)'!$C:$FB,79)</f>
        <v>3406</v>
      </c>
      <c r="O134" s="92">
        <f>VLOOKUP($A134,'Data Vlaue (Cr)'!$C:$FB,82)</f>
        <v>-5.3E-3</v>
      </c>
    </row>
    <row r="135" spans="1:15" x14ac:dyDescent="0.25">
      <c r="A135" s="97" t="str">
        <f>'Data Vlaue (Cr)'!C130</f>
        <v>MAXHEALTH</v>
      </c>
      <c r="B135" s="142">
        <f>VLOOKUP(A135,'Data Vlaue (Cr)'!C130:CW344,99,0)</f>
        <v>1694</v>
      </c>
      <c r="C135" s="90">
        <f>VLOOKUP(A135,'Data Vlaue (Cr)'!C130:CY344,101,0)</f>
        <v>79</v>
      </c>
      <c r="D135" s="139">
        <f>VLOOKUP(A135,'Data Vlaue (Cr)'!C130:CZ344,102,0)</f>
        <v>4.87E-2</v>
      </c>
      <c r="E135" s="91">
        <f>VLOOKUP($A135,'Data Vlaue (Cr)'!$C:$FB,75)</f>
        <v>1346</v>
      </c>
      <c r="F135" s="91">
        <f>VLOOKUP($A135,'Data Vlaue (Cr)'!$C:$FB,77)</f>
        <v>27</v>
      </c>
      <c r="G135" s="92">
        <f>VLOOKUP(A135,'Data Vlaue (Cr)'!C130:CB344,78,0)</f>
        <v>2.07E-2</v>
      </c>
      <c r="H135" s="91">
        <f>VLOOKUP($A135,'Data Vlaue (Cr)'!$C:$FB,91)</f>
        <v>212</v>
      </c>
      <c r="I135" s="91">
        <f>VLOOKUP($A135,'Data Vlaue (Cr)'!$C:$FB,93)</f>
        <v>22</v>
      </c>
      <c r="J135" s="92">
        <f>VLOOKUP($A135,'Data Vlaue (Cr)'!$C:$FB,94)</f>
        <v>0.11310000000000001</v>
      </c>
      <c r="K135" s="91">
        <f>VLOOKUP($A135,'Data Vlaue (Cr)'!$C:$FB,95)</f>
        <v>136</v>
      </c>
      <c r="L135" s="91">
        <f>VLOOKUP($A135,'Data Vlaue (Cr)'!$C:$FB,97)</f>
        <v>30</v>
      </c>
      <c r="M135" s="92">
        <f>VLOOKUP($A135,'Data Vlaue (Cr)'!$C:$FB,98)</f>
        <v>0.28110000000000002</v>
      </c>
      <c r="N135" s="91">
        <f>VLOOKUP($A135,'Data Vlaue (Cr)'!$C:$FB,79)</f>
        <v>1225</v>
      </c>
      <c r="O135" s="92">
        <f>VLOOKUP($A135,'Data Vlaue (Cr)'!$C:$FB,82)</f>
        <v>1.4500000000000001E-2</v>
      </c>
    </row>
    <row r="136" spans="1:15" x14ac:dyDescent="0.25">
      <c r="A136" s="97" t="str">
        <f>'Data Vlaue (Cr)'!C131</f>
        <v>MAZDOCK</v>
      </c>
      <c r="B136" s="142">
        <f>VLOOKUP(A136,'Data Vlaue (Cr)'!C131:CW345,99,0)</f>
        <v>2933</v>
      </c>
      <c r="C136" s="90">
        <f>VLOOKUP(A136,'Data Vlaue (Cr)'!C131:CY345,101,0)</f>
        <v>753</v>
      </c>
      <c r="D136" s="139">
        <f>VLOOKUP(A136,'Data Vlaue (Cr)'!C131:CZ345,102,0)</f>
        <v>0.34549999999999997</v>
      </c>
      <c r="E136" s="91">
        <f>VLOOKUP($A136,'Data Vlaue (Cr)'!$C:$FB,75)</f>
        <v>1278</v>
      </c>
      <c r="F136" s="91">
        <f>VLOOKUP($A136,'Data Vlaue (Cr)'!$C:$FB,77)</f>
        <v>172</v>
      </c>
      <c r="G136" s="92">
        <f>VLOOKUP(A136,'Data Vlaue (Cr)'!C131:CB345,78,0)</f>
        <v>0.1552</v>
      </c>
      <c r="H136" s="91">
        <f>VLOOKUP($A136,'Data Vlaue (Cr)'!$C:$FB,91)</f>
        <v>1193</v>
      </c>
      <c r="I136" s="91">
        <f>VLOOKUP($A136,'Data Vlaue (Cr)'!$C:$FB,93)</f>
        <v>475</v>
      </c>
      <c r="J136" s="92">
        <f>VLOOKUP($A136,'Data Vlaue (Cr)'!$C:$FB,94)</f>
        <v>0.66090000000000004</v>
      </c>
      <c r="K136" s="91">
        <f>VLOOKUP($A136,'Data Vlaue (Cr)'!$C:$FB,95)</f>
        <v>462</v>
      </c>
      <c r="L136" s="91">
        <f>VLOOKUP($A136,'Data Vlaue (Cr)'!$C:$FB,97)</f>
        <v>107</v>
      </c>
      <c r="M136" s="92">
        <f>VLOOKUP($A136,'Data Vlaue (Cr)'!$C:$FB,98)</f>
        <v>0.29980000000000001</v>
      </c>
      <c r="N136" s="91">
        <f>VLOOKUP($A136,'Data Vlaue (Cr)'!$C:$FB,79)</f>
        <v>1216</v>
      </c>
      <c r="O136" s="92">
        <f>VLOOKUP($A136,'Data Vlaue (Cr)'!$C:$FB,82)</f>
        <v>0.13600000000000001</v>
      </c>
    </row>
    <row r="137" spans="1:15" x14ac:dyDescent="0.25">
      <c r="A137" s="97" t="str">
        <f>'Data Vlaue (Cr)'!C132</f>
        <v>MCX</v>
      </c>
      <c r="B137" s="142">
        <f>VLOOKUP(A137,'Data Vlaue (Cr)'!C132:CW346,99,0)</f>
        <v>6073</v>
      </c>
      <c r="C137" s="90">
        <f>VLOOKUP(A137,'Data Vlaue (Cr)'!C132:CY346,101,0)</f>
        <v>324</v>
      </c>
      <c r="D137" s="139">
        <f>VLOOKUP(A137,'Data Vlaue (Cr)'!C132:CZ346,102,0)</f>
        <v>5.6399999999999999E-2</v>
      </c>
      <c r="E137" s="91">
        <f>VLOOKUP($A137,'Data Vlaue (Cr)'!$C:$FB,75)</f>
        <v>3795</v>
      </c>
      <c r="F137" s="91">
        <f>VLOOKUP($A137,'Data Vlaue (Cr)'!$C:$FB,77)</f>
        <v>112</v>
      </c>
      <c r="G137" s="92">
        <f>VLOOKUP(A137,'Data Vlaue (Cr)'!C132:CB346,78,0)</f>
        <v>3.04E-2</v>
      </c>
      <c r="H137" s="91">
        <f>VLOOKUP($A137,'Data Vlaue (Cr)'!$C:$FB,91)</f>
        <v>1322</v>
      </c>
      <c r="I137" s="91">
        <f>VLOOKUP($A137,'Data Vlaue (Cr)'!$C:$FB,93)</f>
        <v>147</v>
      </c>
      <c r="J137" s="92">
        <f>VLOOKUP($A137,'Data Vlaue (Cr)'!$C:$FB,94)</f>
        <v>0.12479999999999999</v>
      </c>
      <c r="K137" s="91">
        <f>VLOOKUP($A137,'Data Vlaue (Cr)'!$C:$FB,95)</f>
        <v>957</v>
      </c>
      <c r="L137" s="91">
        <f>VLOOKUP($A137,'Data Vlaue (Cr)'!$C:$FB,97)</f>
        <v>66</v>
      </c>
      <c r="M137" s="92">
        <f>VLOOKUP($A137,'Data Vlaue (Cr)'!$C:$FB,98)</f>
        <v>7.3999999999999996E-2</v>
      </c>
      <c r="N137" s="91">
        <f>VLOOKUP($A137,'Data Vlaue (Cr)'!$C:$FB,79)</f>
        <v>3662</v>
      </c>
      <c r="O137" s="92">
        <f>VLOOKUP($A137,'Data Vlaue (Cr)'!$C:$FB,82)</f>
        <v>2.63E-2</v>
      </c>
    </row>
    <row r="138" spans="1:15" x14ac:dyDescent="0.25">
      <c r="A138" s="97" t="str">
        <f>'Data Vlaue (Cr)'!C133</f>
        <v>MFSL</v>
      </c>
      <c r="B138" s="142">
        <f>VLOOKUP(A138,'Data Vlaue (Cr)'!C133:CW347,99,0)</f>
        <v>1591</v>
      </c>
      <c r="C138" s="90">
        <f>VLOOKUP(A138,'Data Vlaue (Cr)'!C133:CY347,101,0)</f>
        <v>30</v>
      </c>
      <c r="D138" s="139">
        <f>VLOOKUP(A138,'Data Vlaue (Cr)'!C133:CZ347,102,0)</f>
        <v>1.89E-2</v>
      </c>
      <c r="E138" s="91">
        <f>VLOOKUP($A138,'Data Vlaue (Cr)'!$C:$FB,75)</f>
        <v>1484</v>
      </c>
      <c r="F138" s="91">
        <f>VLOOKUP($A138,'Data Vlaue (Cr)'!$C:$FB,77)</f>
        <v>1</v>
      </c>
      <c r="G138" s="92">
        <f>VLOOKUP(A138,'Data Vlaue (Cr)'!C133:CB347,78,0)</f>
        <v>8.9999999999999998E-4</v>
      </c>
      <c r="H138" s="91">
        <f>VLOOKUP($A138,'Data Vlaue (Cr)'!$C:$FB,91)</f>
        <v>58</v>
      </c>
      <c r="I138" s="91">
        <f>VLOOKUP($A138,'Data Vlaue (Cr)'!$C:$FB,93)</f>
        <v>22</v>
      </c>
      <c r="J138" s="92">
        <f>VLOOKUP($A138,'Data Vlaue (Cr)'!$C:$FB,94)</f>
        <v>0.60289999999999999</v>
      </c>
      <c r="K138" s="91">
        <f>VLOOKUP($A138,'Data Vlaue (Cr)'!$C:$FB,95)</f>
        <v>49</v>
      </c>
      <c r="L138" s="91">
        <f>VLOOKUP($A138,'Data Vlaue (Cr)'!$C:$FB,97)</f>
        <v>6</v>
      </c>
      <c r="M138" s="92">
        <f>VLOOKUP($A138,'Data Vlaue (Cr)'!$C:$FB,98)</f>
        <v>0.1489</v>
      </c>
      <c r="N138" s="91">
        <f>VLOOKUP($A138,'Data Vlaue (Cr)'!$C:$FB,79)</f>
        <v>1479</v>
      </c>
      <c r="O138" s="92">
        <f>VLOOKUP($A138,'Data Vlaue (Cr)'!$C:$FB,82)</f>
        <v>8.9999999999999998E-4</v>
      </c>
    </row>
    <row r="139" spans="1:15" x14ac:dyDescent="0.25">
      <c r="A139" s="97" t="str">
        <f>'Data Vlaue (Cr)'!C134</f>
        <v>MIDCPNIFTY</v>
      </c>
      <c r="B139" s="142">
        <f>VLOOKUP(A139,'Data Vlaue (Cr)'!C134:CW348,99,0)</f>
        <v>13336</v>
      </c>
      <c r="C139" s="90">
        <f>VLOOKUP(A139,'Data Vlaue (Cr)'!C134:CY348,101,0)</f>
        <v>1627</v>
      </c>
      <c r="D139" s="139">
        <f>VLOOKUP(A139,'Data Vlaue (Cr)'!C134:CZ348,102,0)</f>
        <v>0.1389</v>
      </c>
      <c r="E139" s="91">
        <f>VLOOKUP($A139,'Data Vlaue (Cr)'!$C:$FB,75)</f>
        <v>3152</v>
      </c>
      <c r="F139" s="91">
        <f>VLOOKUP($A139,'Data Vlaue (Cr)'!$C:$FB,77)</f>
        <v>22</v>
      </c>
      <c r="G139" s="92">
        <f>VLOOKUP(A139,'Data Vlaue (Cr)'!C134:CB348,78,0)</f>
        <v>7.0000000000000001E-3</v>
      </c>
      <c r="H139" s="91">
        <f>VLOOKUP($A139,'Data Vlaue (Cr)'!$C:$FB,91)</f>
        <v>4770</v>
      </c>
      <c r="I139" s="91">
        <f>VLOOKUP($A139,'Data Vlaue (Cr)'!$C:$FB,93)</f>
        <v>535</v>
      </c>
      <c r="J139" s="92">
        <f>VLOOKUP($A139,'Data Vlaue (Cr)'!$C:$FB,94)</f>
        <v>0.12620000000000001</v>
      </c>
      <c r="K139" s="91">
        <f>VLOOKUP($A139,'Data Vlaue (Cr)'!$C:$FB,95)</f>
        <v>5414</v>
      </c>
      <c r="L139" s="91">
        <f>VLOOKUP($A139,'Data Vlaue (Cr)'!$C:$FB,97)</f>
        <v>1070</v>
      </c>
      <c r="M139" s="92">
        <f>VLOOKUP($A139,'Data Vlaue (Cr)'!$C:$FB,98)</f>
        <v>0.2465</v>
      </c>
      <c r="N139" s="91">
        <f>VLOOKUP($A139,'Data Vlaue (Cr)'!$C:$FB,79)</f>
        <v>3084</v>
      </c>
      <c r="O139" s="92">
        <f>VLOOKUP($A139,'Data Vlaue (Cr)'!$C:$FB,82)</f>
        <v>6.3E-3</v>
      </c>
    </row>
    <row r="140" spans="1:15" x14ac:dyDescent="0.25">
      <c r="A140" s="97" t="str">
        <f>'Data Vlaue (Cr)'!C135</f>
        <v>MOTHERSON</v>
      </c>
      <c r="B140" s="142">
        <f>VLOOKUP(A140,'Data Vlaue (Cr)'!C135:CW349,99,0)</f>
        <v>2160</v>
      </c>
      <c r="C140" s="90">
        <f>VLOOKUP(A140,'Data Vlaue (Cr)'!C135:CY349,101,0)</f>
        <v>54</v>
      </c>
      <c r="D140" s="139">
        <f>VLOOKUP(A140,'Data Vlaue (Cr)'!C135:CZ349,102,0)</f>
        <v>2.5499999999999998E-2</v>
      </c>
      <c r="E140" s="91">
        <f>VLOOKUP($A140,'Data Vlaue (Cr)'!$C:$FB,75)</f>
        <v>1615</v>
      </c>
      <c r="F140" s="91">
        <f>VLOOKUP($A140,'Data Vlaue (Cr)'!$C:$FB,77)</f>
        <v>7</v>
      </c>
      <c r="G140" s="92">
        <f>VLOOKUP(A140,'Data Vlaue (Cr)'!C135:CB349,78,0)</f>
        <v>4.1000000000000003E-3</v>
      </c>
      <c r="H140" s="91">
        <f>VLOOKUP($A140,'Data Vlaue (Cr)'!$C:$FB,91)</f>
        <v>330</v>
      </c>
      <c r="I140" s="91">
        <f>VLOOKUP($A140,'Data Vlaue (Cr)'!$C:$FB,93)</f>
        <v>39</v>
      </c>
      <c r="J140" s="92">
        <f>VLOOKUP($A140,'Data Vlaue (Cr)'!$C:$FB,94)</f>
        <v>0.1341</v>
      </c>
      <c r="K140" s="91">
        <f>VLOOKUP($A140,'Data Vlaue (Cr)'!$C:$FB,95)</f>
        <v>216</v>
      </c>
      <c r="L140" s="91">
        <f>VLOOKUP($A140,'Data Vlaue (Cr)'!$C:$FB,97)</f>
        <v>8</v>
      </c>
      <c r="M140" s="92">
        <f>VLOOKUP($A140,'Data Vlaue (Cr)'!$C:$FB,98)</f>
        <v>3.9300000000000002E-2</v>
      </c>
      <c r="N140" s="91">
        <f>VLOOKUP($A140,'Data Vlaue (Cr)'!$C:$FB,79)</f>
        <v>1490</v>
      </c>
      <c r="O140" s="92">
        <f>VLOOKUP($A140,'Data Vlaue (Cr)'!$C:$FB,82)</f>
        <v>4.0000000000000001E-3</v>
      </c>
    </row>
    <row r="141" spans="1:15" x14ac:dyDescent="0.25">
      <c r="A141" s="97" t="str">
        <f>'Data Vlaue (Cr)'!C136</f>
        <v>MOTILALOFS</v>
      </c>
      <c r="B141" s="142">
        <f>VLOOKUP(A141,'Data Vlaue (Cr)'!C136:CW350,99,0)</f>
        <v>525</v>
      </c>
      <c r="C141" s="90">
        <f>VLOOKUP(A141,'Data Vlaue (Cr)'!C136:CY350,101,0)</f>
        <v>24</v>
      </c>
      <c r="D141" s="139">
        <f>VLOOKUP(A141,'Data Vlaue (Cr)'!C136:CZ350,102,0)</f>
        <v>4.8800000000000003E-2</v>
      </c>
      <c r="E141" s="91">
        <f>VLOOKUP($A141,'Data Vlaue (Cr)'!$C:$FB,75)</f>
        <v>240</v>
      </c>
      <c r="F141" s="91">
        <f>VLOOKUP($A141,'Data Vlaue (Cr)'!$C:$FB,77)</f>
        <v>11</v>
      </c>
      <c r="G141" s="92">
        <f>VLOOKUP(A141,'Data Vlaue (Cr)'!C136:CB350,78,0)</f>
        <v>4.6600000000000003E-2</v>
      </c>
      <c r="H141" s="91">
        <f>VLOOKUP($A141,'Data Vlaue (Cr)'!$C:$FB,91)</f>
        <v>170</v>
      </c>
      <c r="I141" s="91">
        <f>VLOOKUP($A141,'Data Vlaue (Cr)'!$C:$FB,93)</f>
        <v>14</v>
      </c>
      <c r="J141" s="92">
        <f>VLOOKUP($A141,'Data Vlaue (Cr)'!$C:$FB,94)</f>
        <v>9.06E-2</v>
      </c>
      <c r="K141" s="91">
        <f>VLOOKUP($A141,'Data Vlaue (Cr)'!$C:$FB,95)</f>
        <v>115</v>
      </c>
      <c r="L141" s="91">
        <f>VLOOKUP($A141,'Data Vlaue (Cr)'!$C:$FB,97)</f>
        <v>0</v>
      </c>
      <c r="M141" s="92">
        <f>VLOOKUP($A141,'Data Vlaue (Cr)'!$C:$FB,98)</f>
        <v>-3.3999999999999998E-3</v>
      </c>
      <c r="N141" s="91">
        <f>VLOOKUP($A141,'Data Vlaue (Cr)'!$C:$FB,79)</f>
        <v>236</v>
      </c>
      <c r="O141" s="92">
        <f>VLOOKUP($A141,'Data Vlaue (Cr)'!$C:$FB,82)</f>
        <v>4.4400000000000002E-2</v>
      </c>
    </row>
    <row r="142" spans="1:15" x14ac:dyDescent="0.25">
      <c r="A142" s="97" t="str">
        <f>'Data Vlaue (Cr)'!C137</f>
        <v>MPHASIS</v>
      </c>
      <c r="B142" s="142">
        <f>VLOOKUP(A142,'Data Vlaue (Cr)'!C137:CW351,99,0)</f>
        <v>1634</v>
      </c>
      <c r="C142" s="90">
        <f>VLOOKUP(A142,'Data Vlaue (Cr)'!C137:CY351,101,0)</f>
        <v>-45</v>
      </c>
      <c r="D142" s="139">
        <f>VLOOKUP(A142,'Data Vlaue (Cr)'!C137:CZ351,102,0)</f>
        <v>-2.6599999999999999E-2</v>
      </c>
      <c r="E142" s="91">
        <f>VLOOKUP($A142,'Data Vlaue (Cr)'!$C:$FB,75)</f>
        <v>1091</v>
      </c>
      <c r="F142" s="91">
        <f>VLOOKUP($A142,'Data Vlaue (Cr)'!$C:$FB,77)</f>
        <v>-8</v>
      </c>
      <c r="G142" s="92">
        <f>VLOOKUP(A142,'Data Vlaue (Cr)'!C137:CB351,78,0)</f>
        <v>-7.0000000000000001E-3</v>
      </c>
      <c r="H142" s="91">
        <f>VLOOKUP($A142,'Data Vlaue (Cr)'!$C:$FB,91)</f>
        <v>322</v>
      </c>
      <c r="I142" s="91">
        <f>VLOOKUP($A142,'Data Vlaue (Cr)'!$C:$FB,93)</f>
        <v>-23</v>
      </c>
      <c r="J142" s="92">
        <f>VLOOKUP($A142,'Data Vlaue (Cr)'!$C:$FB,94)</f>
        <v>-6.6000000000000003E-2</v>
      </c>
      <c r="K142" s="91">
        <f>VLOOKUP($A142,'Data Vlaue (Cr)'!$C:$FB,95)</f>
        <v>220</v>
      </c>
      <c r="L142" s="91">
        <f>VLOOKUP($A142,'Data Vlaue (Cr)'!$C:$FB,97)</f>
        <v>-14</v>
      </c>
      <c r="M142" s="92">
        <f>VLOOKUP($A142,'Data Vlaue (Cr)'!$C:$FB,98)</f>
        <v>-6.0499999999999998E-2</v>
      </c>
      <c r="N142" s="91">
        <f>VLOOKUP($A142,'Data Vlaue (Cr)'!$C:$FB,79)</f>
        <v>1083</v>
      </c>
      <c r="O142" s="92">
        <f>VLOOKUP($A142,'Data Vlaue (Cr)'!$C:$FB,82)</f>
        <v>-7.1999999999999998E-3</v>
      </c>
    </row>
    <row r="143" spans="1:15" x14ac:dyDescent="0.25">
      <c r="A143" s="97" t="str">
        <f>'Data Vlaue (Cr)'!C138</f>
        <v>MUTHOOTFIN</v>
      </c>
      <c r="B143" s="142">
        <f>VLOOKUP(A143,'Data Vlaue (Cr)'!C138:CW352,99,0)</f>
        <v>1891</v>
      </c>
      <c r="C143" s="90">
        <f>VLOOKUP(A143,'Data Vlaue (Cr)'!C138:CY352,101,0)</f>
        <v>99</v>
      </c>
      <c r="D143" s="139">
        <f>VLOOKUP(A143,'Data Vlaue (Cr)'!C138:CZ352,102,0)</f>
        <v>5.5199999999999999E-2</v>
      </c>
      <c r="E143" s="91">
        <f>VLOOKUP($A143,'Data Vlaue (Cr)'!$C:$FB,75)</f>
        <v>1306</v>
      </c>
      <c r="F143" s="91">
        <f>VLOOKUP($A143,'Data Vlaue (Cr)'!$C:$FB,77)</f>
        <v>-8</v>
      </c>
      <c r="G143" s="92">
        <f>VLOOKUP(A143,'Data Vlaue (Cr)'!C138:CB352,78,0)</f>
        <v>-6.1000000000000004E-3</v>
      </c>
      <c r="H143" s="91">
        <f>VLOOKUP($A143,'Data Vlaue (Cr)'!$C:$FB,91)</f>
        <v>348</v>
      </c>
      <c r="I143" s="91">
        <f>VLOOKUP($A143,'Data Vlaue (Cr)'!$C:$FB,93)</f>
        <v>78</v>
      </c>
      <c r="J143" s="92">
        <f>VLOOKUP($A143,'Data Vlaue (Cr)'!$C:$FB,94)</f>
        <v>0.28920000000000001</v>
      </c>
      <c r="K143" s="91">
        <f>VLOOKUP($A143,'Data Vlaue (Cr)'!$C:$FB,95)</f>
        <v>236</v>
      </c>
      <c r="L143" s="91">
        <f>VLOOKUP($A143,'Data Vlaue (Cr)'!$C:$FB,97)</f>
        <v>29</v>
      </c>
      <c r="M143" s="92">
        <f>VLOOKUP($A143,'Data Vlaue (Cr)'!$C:$FB,98)</f>
        <v>0.13830000000000001</v>
      </c>
      <c r="N143" s="91">
        <f>VLOOKUP($A143,'Data Vlaue (Cr)'!$C:$FB,79)</f>
        <v>1285</v>
      </c>
      <c r="O143" s="92">
        <f>VLOOKUP($A143,'Data Vlaue (Cr)'!$C:$FB,82)</f>
        <v>-6.7999999999999996E-3</v>
      </c>
    </row>
    <row r="144" spans="1:15" x14ac:dyDescent="0.25">
      <c r="A144" s="97" t="str">
        <f>'Data Vlaue (Cr)'!C139</f>
        <v>NAM-INDIA</v>
      </c>
      <c r="B144" s="142">
        <f>VLOOKUP(A144,'Data Vlaue (Cr)'!C139:CW353,99,0)</f>
        <v>522</v>
      </c>
      <c r="C144" s="90">
        <f>VLOOKUP(A144,'Data Vlaue (Cr)'!C139:CY353,101,0)</f>
        <v>11</v>
      </c>
      <c r="D144" s="139">
        <f>VLOOKUP(A144,'Data Vlaue (Cr)'!C139:CZ353,102,0)</f>
        <v>2.1700000000000001E-2</v>
      </c>
      <c r="E144" s="91">
        <f>VLOOKUP($A144,'Data Vlaue (Cr)'!$C:$FB,75)</f>
        <v>341</v>
      </c>
      <c r="F144" s="91">
        <f>VLOOKUP($A144,'Data Vlaue (Cr)'!$C:$FB,77)</f>
        <v>-13</v>
      </c>
      <c r="G144" s="92">
        <f>VLOOKUP(A144,'Data Vlaue (Cr)'!C139:CB353,78,0)</f>
        <v>-3.6700000000000003E-2</v>
      </c>
      <c r="H144" s="91">
        <f>VLOOKUP($A144,'Data Vlaue (Cr)'!$C:$FB,91)</f>
        <v>124</v>
      </c>
      <c r="I144" s="91">
        <f>VLOOKUP($A144,'Data Vlaue (Cr)'!$C:$FB,93)</f>
        <v>23</v>
      </c>
      <c r="J144" s="92">
        <f>VLOOKUP($A144,'Data Vlaue (Cr)'!$C:$FB,94)</f>
        <v>0.2278</v>
      </c>
      <c r="K144" s="91">
        <f>VLOOKUP($A144,'Data Vlaue (Cr)'!$C:$FB,95)</f>
        <v>56</v>
      </c>
      <c r="L144" s="91">
        <f>VLOOKUP($A144,'Data Vlaue (Cr)'!$C:$FB,97)</f>
        <v>1</v>
      </c>
      <c r="M144" s="92">
        <f>VLOOKUP($A144,'Data Vlaue (Cr)'!$C:$FB,98)</f>
        <v>1.9699999999999999E-2</v>
      </c>
      <c r="N144" s="91">
        <f>VLOOKUP($A144,'Data Vlaue (Cr)'!$C:$FB,79)</f>
        <v>337</v>
      </c>
      <c r="O144" s="92">
        <f>VLOOKUP($A144,'Data Vlaue (Cr)'!$C:$FB,82)</f>
        <v>-3.73E-2</v>
      </c>
    </row>
    <row r="145" spans="1:15" x14ac:dyDescent="0.25">
      <c r="A145" s="97" t="str">
        <f>'Data Vlaue (Cr)'!C140</f>
        <v>NATIONALUM</v>
      </c>
      <c r="B145" s="142">
        <f>VLOOKUP(A145,'Data Vlaue (Cr)'!C140:CW354,99,0)</f>
        <v>3911</v>
      </c>
      <c r="C145" s="90">
        <f>VLOOKUP(A145,'Data Vlaue (Cr)'!C140:CY354,101,0)</f>
        <v>176</v>
      </c>
      <c r="D145" s="139">
        <f>VLOOKUP(A145,'Data Vlaue (Cr)'!C140:CZ354,102,0)</f>
        <v>4.7E-2</v>
      </c>
      <c r="E145" s="91">
        <f>VLOOKUP($A145,'Data Vlaue (Cr)'!$C:$FB,75)</f>
        <v>2097</v>
      </c>
      <c r="F145" s="91">
        <f>VLOOKUP($A145,'Data Vlaue (Cr)'!$C:$FB,77)</f>
        <v>45</v>
      </c>
      <c r="G145" s="92">
        <f>VLOOKUP(A145,'Data Vlaue (Cr)'!C140:CB354,78,0)</f>
        <v>2.2100000000000002E-2</v>
      </c>
      <c r="H145" s="91">
        <f>VLOOKUP($A145,'Data Vlaue (Cr)'!$C:$FB,91)</f>
        <v>1165</v>
      </c>
      <c r="I145" s="91">
        <f>VLOOKUP($A145,'Data Vlaue (Cr)'!$C:$FB,93)</f>
        <v>98</v>
      </c>
      <c r="J145" s="92">
        <f>VLOOKUP($A145,'Data Vlaue (Cr)'!$C:$FB,94)</f>
        <v>9.1600000000000001E-2</v>
      </c>
      <c r="K145" s="91">
        <f>VLOOKUP($A145,'Data Vlaue (Cr)'!$C:$FB,95)</f>
        <v>648</v>
      </c>
      <c r="L145" s="91">
        <f>VLOOKUP($A145,'Data Vlaue (Cr)'!$C:$FB,97)</f>
        <v>32</v>
      </c>
      <c r="M145" s="92">
        <f>VLOOKUP($A145,'Data Vlaue (Cr)'!$C:$FB,98)</f>
        <v>5.2699999999999997E-2</v>
      </c>
      <c r="N145" s="91">
        <f>VLOOKUP($A145,'Data Vlaue (Cr)'!$C:$FB,79)</f>
        <v>2047</v>
      </c>
      <c r="O145" s="92">
        <f>VLOOKUP($A145,'Data Vlaue (Cr)'!$C:$FB,82)</f>
        <v>2.1499999999999998E-2</v>
      </c>
    </row>
    <row r="146" spans="1:15" x14ac:dyDescent="0.25">
      <c r="A146" s="97" t="str">
        <f>'Data Vlaue (Cr)'!C141</f>
        <v>NAUKRI</v>
      </c>
      <c r="B146" s="142">
        <f>VLOOKUP(A146,'Data Vlaue (Cr)'!C141:CW355,99,0)</f>
        <v>1326</v>
      </c>
      <c r="C146" s="90">
        <f>VLOOKUP(A146,'Data Vlaue (Cr)'!C141:CY355,101,0)</f>
        <v>11</v>
      </c>
      <c r="D146" s="139">
        <f>VLOOKUP(A146,'Data Vlaue (Cr)'!C141:CZ355,102,0)</f>
        <v>8.2000000000000007E-3</v>
      </c>
      <c r="E146" s="91">
        <f>VLOOKUP($A146,'Data Vlaue (Cr)'!$C:$FB,75)</f>
        <v>1017</v>
      </c>
      <c r="F146" s="91">
        <f>VLOOKUP($A146,'Data Vlaue (Cr)'!$C:$FB,77)</f>
        <v>5</v>
      </c>
      <c r="G146" s="92">
        <f>VLOOKUP(A146,'Data Vlaue (Cr)'!C141:CB355,78,0)</f>
        <v>5.3E-3</v>
      </c>
      <c r="H146" s="91">
        <f>VLOOKUP($A146,'Data Vlaue (Cr)'!$C:$FB,91)</f>
        <v>215</v>
      </c>
      <c r="I146" s="91">
        <f>VLOOKUP($A146,'Data Vlaue (Cr)'!$C:$FB,93)</f>
        <v>8</v>
      </c>
      <c r="J146" s="92">
        <f>VLOOKUP($A146,'Data Vlaue (Cr)'!$C:$FB,94)</f>
        <v>3.6400000000000002E-2</v>
      </c>
      <c r="K146" s="91">
        <f>VLOOKUP($A146,'Data Vlaue (Cr)'!$C:$FB,95)</f>
        <v>94</v>
      </c>
      <c r="L146" s="91">
        <f>VLOOKUP($A146,'Data Vlaue (Cr)'!$C:$FB,97)</f>
        <v>-2</v>
      </c>
      <c r="M146" s="92">
        <f>VLOOKUP($A146,'Data Vlaue (Cr)'!$C:$FB,98)</f>
        <v>-2.18E-2</v>
      </c>
      <c r="N146" s="91">
        <f>VLOOKUP($A146,'Data Vlaue (Cr)'!$C:$FB,79)</f>
        <v>1005</v>
      </c>
      <c r="O146" s="92">
        <f>VLOOKUP($A146,'Data Vlaue (Cr)'!$C:$FB,82)</f>
        <v>5.1999999999999998E-3</v>
      </c>
    </row>
    <row r="147" spans="1:15" x14ac:dyDescent="0.25">
      <c r="A147" s="97" t="str">
        <f>'Data Vlaue (Cr)'!C142</f>
        <v>NBCC</v>
      </c>
      <c r="B147" s="142">
        <f>VLOOKUP(A147,'Data Vlaue (Cr)'!C142:CW356,99,0)</f>
        <v>933</v>
      </c>
      <c r="C147" s="90">
        <f>VLOOKUP(A147,'Data Vlaue (Cr)'!C142:CY356,101,0)</f>
        <v>41</v>
      </c>
      <c r="D147" s="139">
        <f>VLOOKUP(A147,'Data Vlaue (Cr)'!C142:CZ356,102,0)</f>
        <v>4.5699999999999998E-2</v>
      </c>
      <c r="E147" s="91">
        <f>VLOOKUP($A147,'Data Vlaue (Cr)'!$C:$FB,75)</f>
        <v>688</v>
      </c>
      <c r="F147" s="91">
        <f>VLOOKUP($A147,'Data Vlaue (Cr)'!$C:$FB,77)</f>
        <v>4</v>
      </c>
      <c r="G147" s="92">
        <f>VLOOKUP(A147,'Data Vlaue (Cr)'!C142:CB356,78,0)</f>
        <v>6.6E-3</v>
      </c>
      <c r="H147" s="91">
        <f>VLOOKUP($A147,'Data Vlaue (Cr)'!$C:$FB,91)</f>
        <v>136</v>
      </c>
      <c r="I147" s="91">
        <f>VLOOKUP($A147,'Data Vlaue (Cr)'!$C:$FB,93)</f>
        <v>19</v>
      </c>
      <c r="J147" s="92">
        <f>VLOOKUP($A147,'Data Vlaue (Cr)'!$C:$FB,94)</f>
        <v>0.16520000000000001</v>
      </c>
      <c r="K147" s="91">
        <f>VLOOKUP($A147,'Data Vlaue (Cr)'!$C:$FB,95)</f>
        <v>109</v>
      </c>
      <c r="L147" s="91">
        <f>VLOOKUP($A147,'Data Vlaue (Cr)'!$C:$FB,97)</f>
        <v>17</v>
      </c>
      <c r="M147" s="92">
        <f>VLOOKUP($A147,'Data Vlaue (Cr)'!$C:$FB,98)</f>
        <v>0.1847</v>
      </c>
      <c r="N147" s="91">
        <f>VLOOKUP($A147,'Data Vlaue (Cr)'!$C:$FB,79)</f>
        <v>672</v>
      </c>
      <c r="O147" s="92">
        <f>VLOOKUP($A147,'Data Vlaue (Cr)'!$C:$FB,82)</f>
        <v>6.3E-3</v>
      </c>
    </row>
    <row r="148" spans="1:15" x14ac:dyDescent="0.25">
      <c r="A148" s="97" t="str">
        <f>'Data Vlaue (Cr)'!C143</f>
        <v>NESTLEIND</v>
      </c>
      <c r="B148" s="142">
        <f>VLOOKUP(A148,'Data Vlaue (Cr)'!C143:CW357,99,0)</f>
        <v>3128</v>
      </c>
      <c r="C148" s="90">
        <f>VLOOKUP(A148,'Data Vlaue (Cr)'!C143:CY357,101,0)</f>
        <v>18</v>
      </c>
      <c r="D148" s="139">
        <f>VLOOKUP(A148,'Data Vlaue (Cr)'!C143:CZ357,102,0)</f>
        <v>5.7999999999999996E-3</v>
      </c>
      <c r="E148" s="91">
        <f>VLOOKUP($A148,'Data Vlaue (Cr)'!$C:$FB,75)</f>
        <v>2133</v>
      </c>
      <c r="F148" s="91">
        <f>VLOOKUP($A148,'Data Vlaue (Cr)'!$C:$FB,77)</f>
        <v>-30</v>
      </c>
      <c r="G148" s="92">
        <f>VLOOKUP(A148,'Data Vlaue (Cr)'!C143:CB357,78,0)</f>
        <v>-1.37E-2</v>
      </c>
      <c r="H148" s="91">
        <f>VLOOKUP($A148,'Data Vlaue (Cr)'!$C:$FB,91)</f>
        <v>532</v>
      </c>
      <c r="I148" s="91">
        <f>VLOOKUP($A148,'Data Vlaue (Cr)'!$C:$FB,93)</f>
        <v>34</v>
      </c>
      <c r="J148" s="92">
        <f>VLOOKUP($A148,'Data Vlaue (Cr)'!$C:$FB,94)</f>
        <v>6.8400000000000002E-2</v>
      </c>
      <c r="K148" s="91">
        <f>VLOOKUP($A148,'Data Vlaue (Cr)'!$C:$FB,95)</f>
        <v>463</v>
      </c>
      <c r="L148" s="91">
        <f>VLOOKUP($A148,'Data Vlaue (Cr)'!$C:$FB,97)</f>
        <v>14</v>
      </c>
      <c r="M148" s="92">
        <f>VLOOKUP($A148,'Data Vlaue (Cr)'!$C:$FB,98)</f>
        <v>3.0700000000000002E-2</v>
      </c>
      <c r="N148" s="91">
        <f>VLOOKUP($A148,'Data Vlaue (Cr)'!$C:$FB,79)</f>
        <v>1977</v>
      </c>
      <c r="O148" s="92">
        <f>VLOOKUP($A148,'Data Vlaue (Cr)'!$C:$FB,82)</f>
        <v>-1.6199999999999999E-2</v>
      </c>
    </row>
    <row r="149" spans="1:15" x14ac:dyDescent="0.25">
      <c r="A149" s="97" t="str">
        <f>'Data Vlaue (Cr)'!C144</f>
        <v>NHPC</v>
      </c>
      <c r="B149" s="142">
        <f>VLOOKUP(A149,'Data Vlaue (Cr)'!C144:CW358,99,0)</f>
        <v>1306</v>
      </c>
      <c r="C149" s="90">
        <f>VLOOKUP(A149,'Data Vlaue (Cr)'!C144:CY358,101,0)</f>
        <v>59</v>
      </c>
      <c r="D149" s="139">
        <f>VLOOKUP(A149,'Data Vlaue (Cr)'!C144:CZ358,102,0)</f>
        <v>4.6899999999999997E-2</v>
      </c>
      <c r="E149" s="91">
        <f>VLOOKUP($A149,'Data Vlaue (Cr)'!$C:$FB,75)</f>
        <v>820</v>
      </c>
      <c r="F149" s="91">
        <f>VLOOKUP($A149,'Data Vlaue (Cr)'!$C:$FB,77)</f>
        <v>9</v>
      </c>
      <c r="G149" s="92">
        <f>VLOOKUP(A149,'Data Vlaue (Cr)'!C144:CB358,78,0)</f>
        <v>1.0500000000000001E-2</v>
      </c>
      <c r="H149" s="91">
        <f>VLOOKUP($A149,'Data Vlaue (Cr)'!$C:$FB,91)</f>
        <v>312</v>
      </c>
      <c r="I149" s="91">
        <f>VLOOKUP($A149,'Data Vlaue (Cr)'!$C:$FB,93)</f>
        <v>34</v>
      </c>
      <c r="J149" s="92">
        <f>VLOOKUP($A149,'Data Vlaue (Cr)'!$C:$FB,94)</f>
        <v>0.12130000000000001</v>
      </c>
      <c r="K149" s="91">
        <f>VLOOKUP($A149,'Data Vlaue (Cr)'!$C:$FB,95)</f>
        <v>174</v>
      </c>
      <c r="L149" s="91">
        <f>VLOOKUP($A149,'Data Vlaue (Cr)'!$C:$FB,97)</f>
        <v>16</v>
      </c>
      <c r="M149" s="92">
        <f>VLOOKUP($A149,'Data Vlaue (Cr)'!$C:$FB,98)</f>
        <v>0.1032</v>
      </c>
      <c r="N149" s="91">
        <f>VLOOKUP($A149,'Data Vlaue (Cr)'!$C:$FB,79)</f>
        <v>789</v>
      </c>
      <c r="O149" s="92">
        <f>VLOOKUP($A149,'Data Vlaue (Cr)'!$C:$FB,82)</f>
        <v>8.6999999999999994E-3</v>
      </c>
    </row>
    <row r="150" spans="1:15" x14ac:dyDescent="0.25">
      <c r="A150" s="97" t="str">
        <f>'Data Vlaue (Cr)'!C145</f>
        <v>NIFTY</v>
      </c>
      <c r="B150" s="142">
        <f>VLOOKUP(A150,'Data Vlaue (Cr)'!C145:CW359,99,0)</f>
        <v>1356178</v>
      </c>
      <c r="C150" s="90">
        <f>VLOOKUP(A150,'Data Vlaue (Cr)'!C145:CY359,101,0)</f>
        <v>342329</v>
      </c>
      <c r="D150" s="139">
        <f>VLOOKUP(A150,'Data Vlaue (Cr)'!C145:CZ359,102,0)</f>
        <v>0.3377</v>
      </c>
      <c r="E150" s="91">
        <f>VLOOKUP($A150,'Data Vlaue (Cr)'!$C:$FB,75)</f>
        <v>41976</v>
      </c>
      <c r="F150" s="91">
        <f>VLOOKUP($A150,'Data Vlaue (Cr)'!$C:$FB,77)</f>
        <v>1534</v>
      </c>
      <c r="G150" s="92">
        <f>VLOOKUP(A150,'Data Vlaue (Cr)'!C145:CB359,78,0)</f>
        <v>3.7900000000000003E-2</v>
      </c>
      <c r="H150" s="91">
        <f>VLOOKUP($A150,'Data Vlaue (Cr)'!$C:$FB,91)</f>
        <v>729654</v>
      </c>
      <c r="I150" s="91">
        <f>VLOOKUP($A150,'Data Vlaue (Cr)'!$C:$FB,93)</f>
        <v>238775</v>
      </c>
      <c r="J150" s="92">
        <f>VLOOKUP($A150,'Data Vlaue (Cr)'!$C:$FB,94)</f>
        <v>0.4864</v>
      </c>
      <c r="K150" s="91">
        <f>VLOOKUP($A150,'Data Vlaue (Cr)'!$C:$FB,95)</f>
        <v>584548</v>
      </c>
      <c r="L150" s="91">
        <f>VLOOKUP($A150,'Data Vlaue (Cr)'!$C:$FB,97)</f>
        <v>102021</v>
      </c>
      <c r="M150" s="92">
        <f>VLOOKUP($A150,'Data Vlaue (Cr)'!$C:$FB,98)</f>
        <v>0.2114</v>
      </c>
      <c r="N150" s="91">
        <f>VLOOKUP($A150,'Data Vlaue (Cr)'!$C:$FB,79)</f>
        <v>37983</v>
      </c>
      <c r="O150" s="92">
        <f>VLOOKUP($A150,'Data Vlaue (Cr)'!$C:$FB,82)</f>
        <v>3.0300000000000001E-2</v>
      </c>
    </row>
    <row r="151" spans="1:15" x14ac:dyDescent="0.25">
      <c r="A151" s="97" t="str">
        <f>'Data Vlaue (Cr)'!C146</f>
        <v>NIFTYNXT50</v>
      </c>
      <c r="B151" s="142">
        <f>VLOOKUP(A151,'Data Vlaue (Cr)'!C146:CW360,99,0)</f>
        <v>143</v>
      </c>
      <c r="C151" s="90">
        <f>VLOOKUP(A151,'Data Vlaue (Cr)'!C146:CY360,101,0)</f>
        <v>7</v>
      </c>
      <c r="D151" s="139">
        <f>VLOOKUP(A151,'Data Vlaue (Cr)'!C146:CZ360,102,0)</f>
        <v>5.4800000000000001E-2</v>
      </c>
      <c r="E151" s="91">
        <f>VLOOKUP($A151,'Data Vlaue (Cr)'!$C:$FB,75)</f>
        <v>136</v>
      </c>
      <c r="F151" s="91">
        <f>VLOOKUP($A151,'Data Vlaue (Cr)'!$C:$FB,77)</f>
        <v>4</v>
      </c>
      <c r="G151" s="92">
        <f>VLOOKUP(A151,'Data Vlaue (Cr)'!C146:CB360,78,0)</f>
        <v>2.6599999999999999E-2</v>
      </c>
      <c r="H151" s="91">
        <f>VLOOKUP($A151,'Data Vlaue (Cr)'!$C:$FB,91)</f>
        <v>6</v>
      </c>
      <c r="I151" s="91">
        <f>VLOOKUP($A151,'Data Vlaue (Cr)'!$C:$FB,93)</f>
        <v>4</v>
      </c>
      <c r="J151" s="92">
        <f>VLOOKUP($A151,'Data Vlaue (Cr)'!$C:$FB,94)</f>
        <v>1.5385</v>
      </c>
      <c r="K151" s="91">
        <f>VLOOKUP($A151,'Data Vlaue (Cr)'!$C:$FB,95)</f>
        <v>1</v>
      </c>
      <c r="L151" s="91">
        <f>VLOOKUP($A151,'Data Vlaue (Cr)'!$C:$FB,97)</f>
        <v>0</v>
      </c>
      <c r="M151" s="92">
        <f>VLOOKUP($A151,'Data Vlaue (Cr)'!$C:$FB,98)</f>
        <v>0.66669999999999996</v>
      </c>
      <c r="N151" s="91">
        <f>VLOOKUP($A151,'Data Vlaue (Cr)'!$C:$FB,79)</f>
        <v>131</v>
      </c>
      <c r="O151" s="92">
        <f>VLOOKUP($A151,'Data Vlaue (Cr)'!$C:$FB,82)</f>
        <v>2.35E-2</v>
      </c>
    </row>
    <row r="152" spans="1:15" x14ac:dyDescent="0.25">
      <c r="A152" s="97" t="str">
        <f>'Data Vlaue (Cr)'!C147</f>
        <v>NMDC</v>
      </c>
      <c r="B152" s="142">
        <f>VLOOKUP(A152,'Data Vlaue (Cr)'!C147:CW361,99,0)</f>
        <v>3762</v>
      </c>
      <c r="C152" s="90">
        <f>VLOOKUP(A152,'Data Vlaue (Cr)'!C147:CY361,101,0)</f>
        <v>89</v>
      </c>
      <c r="D152" s="139">
        <f>VLOOKUP(A152,'Data Vlaue (Cr)'!C147:CZ361,102,0)</f>
        <v>2.4199999999999999E-2</v>
      </c>
      <c r="E152" s="91">
        <f>VLOOKUP($A152,'Data Vlaue (Cr)'!$C:$FB,75)</f>
        <v>2877</v>
      </c>
      <c r="F152" s="91">
        <f>VLOOKUP($A152,'Data Vlaue (Cr)'!$C:$FB,77)</f>
        <v>16</v>
      </c>
      <c r="G152" s="92">
        <f>VLOOKUP(A152,'Data Vlaue (Cr)'!C147:CB361,78,0)</f>
        <v>5.5999999999999999E-3</v>
      </c>
      <c r="H152" s="91">
        <f>VLOOKUP($A152,'Data Vlaue (Cr)'!$C:$FB,91)</f>
        <v>593</v>
      </c>
      <c r="I152" s="91">
        <f>VLOOKUP($A152,'Data Vlaue (Cr)'!$C:$FB,93)</f>
        <v>57</v>
      </c>
      <c r="J152" s="92">
        <f>VLOOKUP($A152,'Data Vlaue (Cr)'!$C:$FB,94)</f>
        <v>0.10589999999999999</v>
      </c>
      <c r="K152" s="91">
        <f>VLOOKUP($A152,'Data Vlaue (Cr)'!$C:$FB,95)</f>
        <v>292</v>
      </c>
      <c r="L152" s="91">
        <f>VLOOKUP($A152,'Data Vlaue (Cr)'!$C:$FB,97)</f>
        <v>16</v>
      </c>
      <c r="M152" s="92">
        <f>VLOOKUP($A152,'Data Vlaue (Cr)'!$C:$FB,98)</f>
        <v>5.8900000000000001E-2</v>
      </c>
      <c r="N152" s="91">
        <f>VLOOKUP($A152,'Data Vlaue (Cr)'!$C:$FB,79)</f>
        <v>2803</v>
      </c>
      <c r="O152" s="92">
        <f>VLOOKUP($A152,'Data Vlaue (Cr)'!$C:$FB,82)</f>
        <v>5.3E-3</v>
      </c>
    </row>
    <row r="153" spans="1:15" x14ac:dyDescent="0.25">
      <c r="A153" s="97" t="str">
        <f>'Data Vlaue (Cr)'!C148</f>
        <v>NTPC</v>
      </c>
      <c r="B153" s="142">
        <f>VLOOKUP(A153,'Data Vlaue (Cr)'!C148:CW362,99,0)</f>
        <v>6316</v>
      </c>
      <c r="C153" s="90">
        <f>VLOOKUP(A153,'Data Vlaue (Cr)'!C148:CY362,101,0)</f>
        <v>144</v>
      </c>
      <c r="D153" s="139">
        <f>VLOOKUP(A153,'Data Vlaue (Cr)'!C148:CZ362,102,0)</f>
        <v>2.3300000000000001E-2</v>
      </c>
      <c r="E153" s="91">
        <f>VLOOKUP($A153,'Data Vlaue (Cr)'!$C:$FB,75)</f>
        <v>4492</v>
      </c>
      <c r="F153" s="91">
        <f>VLOOKUP($A153,'Data Vlaue (Cr)'!$C:$FB,77)</f>
        <v>40</v>
      </c>
      <c r="G153" s="92">
        <f>VLOOKUP(A153,'Data Vlaue (Cr)'!C148:CB362,78,0)</f>
        <v>8.9999999999999993E-3</v>
      </c>
      <c r="H153" s="91">
        <f>VLOOKUP($A153,'Data Vlaue (Cr)'!$C:$FB,91)</f>
        <v>1278</v>
      </c>
      <c r="I153" s="91">
        <f>VLOOKUP($A153,'Data Vlaue (Cr)'!$C:$FB,93)</f>
        <v>80</v>
      </c>
      <c r="J153" s="92">
        <f>VLOOKUP($A153,'Data Vlaue (Cr)'!$C:$FB,94)</f>
        <v>6.6500000000000004E-2</v>
      </c>
      <c r="K153" s="91">
        <f>VLOOKUP($A153,'Data Vlaue (Cr)'!$C:$FB,95)</f>
        <v>546</v>
      </c>
      <c r="L153" s="91">
        <f>VLOOKUP($A153,'Data Vlaue (Cr)'!$C:$FB,97)</f>
        <v>24</v>
      </c>
      <c r="M153" s="92">
        <f>VLOOKUP($A153,'Data Vlaue (Cr)'!$C:$FB,98)</f>
        <v>4.6199999999999998E-2</v>
      </c>
      <c r="N153" s="91">
        <f>VLOOKUP($A153,'Data Vlaue (Cr)'!$C:$FB,79)</f>
        <v>4086</v>
      </c>
      <c r="O153" s="92">
        <f>VLOOKUP($A153,'Data Vlaue (Cr)'!$C:$FB,82)</f>
        <v>3.7000000000000002E-3</v>
      </c>
    </row>
    <row r="154" spans="1:15" x14ac:dyDescent="0.25">
      <c r="A154" s="97" t="str">
        <f>'Data Vlaue (Cr)'!C149</f>
        <v>NUVAMA</v>
      </c>
      <c r="B154" s="142">
        <f>VLOOKUP(A154,'Data Vlaue (Cr)'!C149:CW363,99,0)</f>
        <v>282</v>
      </c>
      <c r="C154" s="90">
        <f>VLOOKUP(A154,'Data Vlaue (Cr)'!C149:CY363,101,0)</f>
        <v>13</v>
      </c>
      <c r="D154" s="139">
        <f>VLOOKUP(A154,'Data Vlaue (Cr)'!C149:CZ363,102,0)</f>
        <v>4.7E-2</v>
      </c>
      <c r="E154" s="91">
        <f>VLOOKUP($A154,'Data Vlaue (Cr)'!$C:$FB,75)</f>
        <v>170</v>
      </c>
      <c r="F154" s="91">
        <f>VLOOKUP($A154,'Data Vlaue (Cr)'!$C:$FB,77)</f>
        <v>-6</v>
      </c>
      <c r="G154" s="92">
        <f>VLOOKUP(A154,'Data Vlaue (Cr)'!C149:CB363,78,0)</f>
        <v>-3.6700000000000003E-2</v>
      </c>
      <c r="H154" s="91">
        <f>VLOOKUP($A154,'Data Vlaue (Cr)'!$C:$FB,91)</f>
        <v>73</v>
      </c>
      <c r="I154" s="91">
        <f>VLOOKUP($A154,'Data Vlaue (Cr)'!$C:$FB,93)</f>
        <v>15</v>
      </c>
      <c r="J154" s="92">
        <f>VLOOKUP($A154,'Data Vlaue (Cr)'!$C:$FB,94)</f>
        <v>0.25540000000000002</v>
      </c>
      <c r="K154" s="91">
        <f>VLOOKUP($A154,'Data Vlaue (Cr)'!$C:$FB,95)</f>
        <v>38</v>
      </c>
      <c r="L154" s="91">
        <f>VLOOKUP($A154,'Data Vlaue (Cr)'!$C:$FB,97)</f>
        <v>4</v>
      </c>
      <c r="M154" s="92">
        <f>VLOOKUP($A154,'Data Vlaue (Cr)'!$C:$FB,98)</f>
        <v>0.12520000000000001</v>
      </c>
      <c r="N154" s="91">
        <f>VLOOKUP($A154,'Data Vlaue (Cr)'!$C:$FB,79)</f>
        <v>162</v>
      </c>
      <c r="O154" s="92">
        <f>VLOOKUP($A154,'Data Vlaue (Cr)'!$C:$FB,82)</f>
        <v>-4.2700000000000002E-2</v>
      </c>
    </row>
    <row r="155" spans="1:15" x14ac:dyDescent="0.25">
      <c r="A155" s="97" t="str">
        <f>'Data Vlaue (Cr)'!C150</f>
        <v>NYKAA</v>
      </c>
      <c r="B155" s="142">
        <f>VLOOKUP(A155,'Data Vlaue (Cr)'!C150:CW364,99,0)</f>
        <v>1471</v>
      </c>
      <c r="C155" s="90">
        <f>VLOOKUP(A155,'Data Vlaue (Cr)'!C150:CY364,101,0)</f>
        <v>43</v>
      </c>
      <c r="D155" s="139">
        <f>VLOOKUP(A155,'Data Vlaue (Cr)'!C150:CZ364,102,0)</f>
        <v>3.0099999999999998E-2</v>
      </c>
      <c r="E155" s="91">
        <f>VLOOKUP($A155,'Data Vlaue (Cr)'!$C:$FB,75)</f>
        <v>1258</v>
      </c>
      <c r="F155" s="91">
        <f>VLOOKUP($A155,'Data Vlaue (Cr)'!$C:$FB,77)</f>
        <v>24</v>
      </c>
      <c r="G155" s="92">
        <f>VLOOKUP(A155,'Data Vlaue (Cr)'!C150:CB364,78,0)</f>
        <v>1.9400000000000001E-2</v>
      </c>
      <c r="H155" s="91">
        <f>VLOOKUP($A155,'Data Vlaue (Cr)'!$C:$FB,91)</f>
        <v>127</v>
      </c>
      <c r="I155" s="91">
        <f>VLOOKUP($A155,'Data Vlaue (Cr)'!$C:$FB,93)</f>
        <v>20</v>
      </c>
      <c r="J155" s="92">
        <f>VLOOKUP($A155,'Data Vlaue (Cr)'!$C:$FB,94)</f>
        <v>0.19139999999999999</v>
      </c>
      <c r="K155" s="91">
        <f>VLOOKUP($A155,'Data Vlaue (Cr)'!$C:$FB,95)</f>
        <v>86</v>
      </c>
      <c r="L155" s="91">
        <f>VLOOKUP($A155,'Data Vlaue (Cr)'!$C:$FB,97)</f>
        <v>-1</v>
      </c>
      <c r="M155" s="92">
        <f>VLOOKUP($A155,'Data Vlaue (Cr)'!$C:$FB,98)</f>
        <v>-1.43E-2</v>
      </c>
      <c r="N155" s="91">
        <f>VLOOKUP($A155,'Data Vlaue (Cr)'!$C:$FB,79)</f>
        <v>1253</v>
      </c>
      <c r="O155" s="92">
        <f>VLOOKUP($A155,'Data Vlaue (Cr)'!$C:$FB,82)</f>
        <v>1.9E-2</v>
      </c>
    </row>
    <row r="156" spans="1:15" x14ac:dyDescent="0.25">
      <c r="A156" s="97" t="str">
        <f>'Data Vlaue (Cr)'!C151</f>
        <v>OBEROIRLTY</v>
      </c>
      <c r="B156" s="142">
        <f>VLOOKUP(A156,'Data Vlaue (Cr)'!C151:CW365,99,0)</f>
        <v>1417</v>
      </c>
      <c r="C156" s="90">
        <f>VLOOKUP(A156,'Data Vlaue (Cr)'!C151:CY365,101,0)</f>
        <v>22</v>
      </c>
      <c r="D156" s="139">
        <f>VLOOKUP(A156,'Data Vlaue (Cr)'!C151:CZ365,102,0)</f>
        <v>1.5900000000000001E-2</v>
      </c>
      <c r="E156" s="91">
        <f>VLOOKUP($A156,'Data Vlaue (Cr)'!$C:$FB,75)</f>
        <v>1189</v>
      </c>
      <c r="F156" s="91">
        <f>VLOOKUP($A156,'Data Vlaue (Cr)'!$C:$FB,77)</f>
        <v>-1</v>
      </c>
      <c r="G156" s="92">
        <f>VLOOKUP(A156,'Data Vlaue (Cr)'!C151:CB365,78,0)</f>
        <v>-1.2999999999999999E-3</v>
      </c>
      <c r="H156" s="91">
        <f>VLOOKUP($A156,'Data Vlaue (Cr)'!$C:$FB,91)</f>
        <v>168</v>
      </c>
      <c r="I156" s="91">
        <f>VLOOKUP($A156,'Data Vlaue (Cr)'!$C:$FB,93)</f>
        <v>17</v>
      </c>
      <c r="J156" s="92">
        <f>VLOOKUP($A156,'Data Vlaue (Cr)'!$C:$FB,94)</f>
        <v>0.11260000000000001</v>
      </c>
      <c r="K156" s="91">
        <f>VLOOKUP($A156,'Data Vlaue (Cr)'!$C:$FB,95)</f>
        <v>59</v>
      </c>
      <c r="L156" s="91">
        <f>VLOOKUP($A156,'Data Vlaue (Cr)'!$C:$FB,97)</f>
        <v>7</v>
      </c>
      <c r="M156" s="92">
        <f>VLOOKUP($A156,'Data Vlaue (Cr)'!$C:$FB,98)</f>
        <v>0.1273</v>
      </c>
      <c r="N156" s="91">
        <f>VLOOKUP($A156,'Data Vlaue (Cr)'!$C:$FB,79)</f>
        <v>1178</v>
      </c>
      <c r="O156" s="92">
        <f>VLOOKUP($A156,'Data Vlaue (Cr)'!$C:$FB,82)</f>
        <v>-2.7000000000000001E-3</v>
      </c>
    </row>
    <row r="157" spans="1:15" x14ac:dyDescent="0.25">
      <c r="A157" s="97" t="str">
        <f>'Data Vlaue (Cr)'!C152</f>
        <v>OFSS</v>
      </c>
      <c r="B157" s="142">
        <f>VLOOKUP(A157,'Data Vlaue (Cr)'!C152:CW366,99,0)</f>
        <v>2450</v>
      </c>
      <c r="C157" s="90">
        <f>VLOOKUP(A157,'Data Vlaue (Cr)'!C152:CY366,101,0)</f>
        <v>46</v>
      </c>
      <c r="D157" s="139">
        <f>VLOOKUP(A157,'Data Vlaue (Cr)'!C152:CZ366,102,0)</f>
        <v>1.9199999999999998E-2</v>
      </c>
      <c r="E157" s="91">
        <f>VLOOKUP($A157,'Data Vlaue (Cr)'!$C:$FB,75)</f>
        <v>1257</v>
      </c>
      <c r="F157" s="91">
        <f>VLOOKUP($A157,'Data Vlaue (Cr)'!$C:$FB,77)</f>
        <v>8</v>
      </c>
      <c r="G157" s="92">
        <f>VLOOKUP(A157,'Data Vlaue (Cr)'!C152:CB366,78,0)</f>
        <v>6.0000000000000001E-3</v>
      </c>
      <c r="H157" s="91">
        <f>VLOOKUP($A157,'Data Vlaue (Cr)'!$C:$FB,91)</f>
        <v>597</v>
      </c>
      <c r="I157" s="91">
        <f>VLOOKUP($A157,'Data Vlaue (Cr)'!$C:$FB,93)</f>
        <v>10</v>
      </c>
      <c r="J157" s="92">
        <f>VLOOKUP($A157,'Data Vlaue (Cr)'!$C:$FB,94)</f>
        <v>1.77E-2</v>
      </c>
      <c r="K157" s="91">
        <f>VLOOKUP($A157,'Data Vlaue (Cr)'!$C:$FB,95)</f>
        <v>597</v>
      </c>
      <c r="L157" s="91">
        <f>VLOOKUP($A157,'Data Vlaue (Cr)'!$C:$FB,97)</f>
        <v>28</v>
      </c>
      <c r="M157" s="92">
        <f>VLOOKUP($A157,'Data Vlaue (Cr)'!$C:$FB,98)</f>
        <v>4.9799999999999997E-2</v>
      </c>
      <c r="N157" s="91">
        <f>VLOOKUP($A157,'Data Vlaue (Cr)'!$C:$FB,79)</f>
        <v>1236</v>
      </c>
      <c r="O157" s="92">
        <f>VLOOKUP($A157,'Data Vlaue (Cr)'!$C:$FB,82)</f>
        <v>4.1000000000000003E-3</v>
      </c>
    </row>
    <row r="158" spans="1:15" x14ac:dyDescent="0.25">
      <c r="A158" s="97" t="str">
        <f>'Data Vlaue (Cr)'!C153</f>
        <v>OIL</v>
      </c>
      <c r="B158" s="142">
        <f>VLOOKUP(A158,'Data Vlaue (Cr)'!C153:CW367,99,0)</f>
        <v>1540</v>
      </c>
      <c r="C158" s="90">
        <f>VLOOKUP(A158,'Data Vlaue (Cr)'!C153:CY367,101,0)</f>
        <v>16</v>
      </c>
      <c r="D158" s="139">
        <f>VLOOKUP(A158,'Data Vlaue (Cr)'!C153:CZ367,102,0)</f>
        <v>1.06E-2</v>
      </c>
      <c r="E158" s="91">
        <f>VLOOKUP($A158,'Data Vlaue (Cr)'!$C:$FB,75)</f>
        <v>923</v>
      </c>
      <c r="F158" s="91">
        <f>VLOOKUP($A158,'Data Vlaue (Cr)'!$C:$FB,77)</f>
        <v>-24</v>
      </c>
      <c r="G158" s="92">
        <f>VLOOKUP(A158,'Data Vlaue (Cr)'!C153:CB367,78,0)</f>
        <v>-2.53E-2</v>
      </c>
      <c r="H158" s="91">
        <f>VLOOKUP($A158,'Data Vlaue (Cr)'!$C:$FB,91)</f>
        <v>407</v>
      </c>
      <c r="I158" s="91">
        <f>VLOOKUP($A158,'Data Vlaue (Cr)'!$C:$FB,93)</f>
        <v>28</v>
      </c>
      <c r="J158" s="92">
        <f>VLOOKUP($A158,'Data Vlaue (Cr)'!$C:$FB,94)</f>
        <v>7.46E-2</v>
      </c>
      <c r="K158" s="91">
        <f>VLOOKUP($A158,'Data Vlaue (Cr)'!$C:$FB,95)</f>
        <v>210</v>
      </c>
      <c r="L158" s="91">
        <f>VLOOKUP($A158,'Data Vlaue (Cr)'!$C:$FB,97)</f>
        <v>12</v>
      </c>
      <c r="M158" s="92">
        <f>VLOOKUP($A158,'Data Vlaue (Cr)'!$C:$FB,98)</f>
        <v>5.9700000000000003E-2</v>
      </c>
      <c r="N158" s="91">
        <f>VLOOKUP($A158,'Data Vlaue (Cr)'!$C:$FB,79)</f>
        <v>894</v>
      </c>
      <c r="O158" s="92">
        <f>VLOOKUP($A158,'Data Vlaue (Cr)'!$C:$FB,82)</f>
        <v>-3.04E-2</v>
      </c>
    </row>
    <row r="159" spans="1:15" x14ac:dyDescent="0.25">
      <c r="A159" s="97" t="str">
        <f>'Data Vlaue (Cr)'!C154</f>
        <v>ONGC</v>
      </c>
      <c r="B159" s="142">
        <f>VLOOKUP(A159,'Data Vlaue (Cr)'!C154:CW368,99,0)</f>
        <v>4800</v>
      </c>
      <c r="C159" s="90">
        <f>VLOOKUP(A159,'Data Vlaue (Cr)'!C154:CY368,101,0)</f>
        <v>137</v>
      </c>
      <c r="D159" s="139">
        <f>VLOOKUP(A159,'Data Vlaue (Cr)'!C154:CZ368,102,0)</f>
        <v>2.93E-2</v>
      </c>
      <c r="E159" s="91">
        <f>VLOOKUP($A159,'Data Vlaue (Cr)'!$C:$FB,75)</f>
        <v>3006</v>
      </c>
      <c r="F159" s="91">
        <f>VLOOKUP($A159,'Data Vlaue (Cr)'!$C:$FB,77)</f>
        <v>8</v>
      </c>
      <c r="G159" s="92">
        <f>VLOOKUP(A159,'Data Vlaue (Cr)'!C154:CB368,78,0)</f>
        <v>2.5999999999999999E-3</v>
      </c>
      <c r="H159" s="91">
        <f>VLOOKUP($A159,'Data Vlaue (Cr)'!$C:$FB,91)</f>
        <v>1276</v>
      </c>
      <c r="I159" s="91">
        <f>VLOOKUP($A159,'Data Vlaue (Cr)'!$C:$FB,93)</f>
        <v>178</v>
      </c>
      <c r="J159" s="92">
        <f>VLOOKUP($A159,'Data Vlaue (Cr)'!$C:$FB,94)</f>
        <v>0.16189999999999999</v>
      </c>
      <c r="K159" s="91">
        <f>VLOOKUP($A159,'Data Vlaue (Cr)'!$C:$FB,95)</f>
        <v>519</v>
      </c>
      <c r="L159" s="91">
        <f>VLOOKUP($A159,'Data Vlaue (Cr)'!$C:$FB,97)</f>
        <v>-49</v>
      </c>
      <c r="M159" s="92">
        <f>VLOOKUP($A159,'Data Vlaue (Cr)'!$C:$FB,98)</f>
        <v>-8.5999999999999993E-2</v>
      </c>
      <c r="N159" s="91">
        <f>VLOOKUP($A159,'Data Vlaue (Cr)'!$C:$FB,79)</f>
        <v>2461</v>
      </c>
      <c r="O159" s="92">
        <f>VLOOKUP($A159,'Data Vlaue (Cr)'!$C:$FB,82)</f>
        <v>-1.2999999999999999E-3</v>
      </c>
    </row>
    <row r="160" spans="1:15" x14ac:dyDescent="0.25">
      <c r="A160" s="97" t="str">
        <f>'Data Vlaue (Cr)'!C155</f>
        <v>PAGEIND</v>
      </c>
      <c r="B160" s="142">
        <f>VLOOKUP(A160,'Data Vlaue (Cr)'!C155:CW369,99,0)</f>
        <v>1246</v>
      </c>
      <c r="C160" s="90">
        <f>VLOOKUP(A160,'Data Vlaue (Cr)'!C155:CY369,101,0)</f>
        <v>4</v>
      </c>
      <c r="D160" s="139">
        <f>VLOOKUP(A160,'Data Vlaue (Cr)'!C155:CZ369,102,0)</f>
        <v>3.3999999999999998E-3</v>
      </c>
      <c r="E160" s="91">
        <f>VLOOKUP($A160,'Data Vlaue (Cr)'!$C:$FB,75)</f>
        <v>1119</v>
      </c>
      <c r="F160" s="91">
        <f>VLOOKUP($A160,'Data Vlaue (Cr)'!$C:$FB,77)</f>
        <v>-4</v>
      </c>
      <c r="G160" s="92">
        <f>VLOOKUP(A160,'Data Vlaue (Cr)'!C155:CB369,78,0)</f>
        <v>-3.2000000000000002E-3</v>
      </c>
      <c r="H160" s="91">
        <f>VLOOKUP($A160,'Data Vlaue (Cr)'!$C:$FB,91)</f>
        <v>77</v>
      </c>
      <c r="I160" s="91">
        <f>VLOOKUP($A160,'Data Vlaue (Cr)'!$C:$FB,93)</f>
        <v>1</v>
      </c>
      <c r="J160" s="92">
        <f>VLOOKUP($A160,'Data Vlaue (Cr)'!$C:$FB,94)</f>
        <v>8.8000000000000005E-3</v>
      </c>
      <c r="K160" s="91">
        <f>VLOOKUP($A160,'Data Vlaue (Cr)'!$C:$FB,95)</f>
        <v>50</v>
      </c>
      <c r="L160" s="91">
        <f>VLOOKUP($A160,'Data Vlaue (Cr)'!$C:$FB,97)</f>
        <v>7</v>
      </c>
      <c r="M160" s="92">
        <f>VLOOKUP($A160,'Data Vlaue (Cr)'!$C:$FB,98)</f>
        <v>0.1678</v>
      </c>
      <c r="N160" s="91">
        <f>VLOOKUP($A160,'Data Vlaue (Cr)'!$C:$FB,79)</f>
        <v>1106</v>
      </c>
      <c r="O160" s="92">
        <f>VLOOKUP($A160,'Data Vlaue (Cr)'!$C:$FB,82)</f>
        <v>-3.5000000000000001E-3</v>
      </c>
    </row>
    <row r="161" spans="1:15" x14ac:dyDescent="0.25">
      <c r="A161" s="97" t="str">
        <f>'Data Vlaue (Cr)'!C156</f>
        <v>PATANJALI</v>
      </c>
      <c r="B161" s="142">
        <f>VLOOKUP(A161,'Data Vlaue (Cr)'!C156:CW370,99,0)</f>
        <v>1902</v>
      </c>
      <c r="C161" s="90">
        <f>VLOOKUP(A161,'Data Vlaue (Cr)'!C156:CY370,101,0)</f>
        <v>43</v>
      </c>
      <c r="D161" s="139">
        <f>VLOOKUP(A161,'Data Vlaue (Cr)'!C156:CZ370,102,0)</f>
        <v>2.29E-2</v>
      </c>
      <c r="E161" s="91">
        <f>VLOOKUP($A161,'Data Vlaue (Cr)'!$C:$FB,75)</f>
        <v>1574</v>
      </c>
      <c r="F161" s="91">
        <f>VLOOKUP($A161,'Data Vlaue (Cr)'!$C:$FB,77)</f>
        <v>9</v>
      </c>
      <c r="G161" s="92">
        <f>VLOOKUP(A161,'Data Vlaue (Cr)'!C156:CB370,78,0)</f>
        <v>6.0000000000000001E-3</v>
      </c>
      <c r="H161" s="91">
        <f>VLOOKUP($A161,'Data Vlaue (Cr)'!$C:$FB,91)</f>
        <v>191</v>
      </c>
      <c r="I161" s="91">
        <f>VLOOKUP($A161,'Data Vlaue (Cr)'!$C:$FB,93)</f>
        <v>28</v>
      </c>
      <c r="J161" s="92">
        <f>VLOOKUP($A161,'Data Vlaue (Cr)'!$C:$FB,94)</f>
        <v>0.1719</v>
      </c>
      <c r="K161" s="91">
        <f>VLOOKUP($A161,'Data Vlaue (Cr)'!$C:$FB,95)</f>
        <v>136</v>
      </c>
      <c r="L161" s="91">
        <f>VLOOKUP($A161,'Data Vlaue (Cr)'!$C:$FB,97)</f>
        <v>5</v>
      </c>
      <c r="M161" s="92">
        <f>VLOOKUP($A161,'Data Vlaue (Cr)'!$C:$FB,98)</f>
        <v>3.8699999999999998E-2</v>
      </c>
      <c r="N161" s="91">
        <f>VLOOKUP($A161,'Data Vlaue (Cr)'!$C:$FB,79)</f>
        <v>1562</v>
      </c>
      <c r="O161" s="92">
        <f>VLOOKUP($A161,'Data Vlaue (Cr)'!$C:$FB,82)</f>
        <v>2.8E-3</v>
      </c>
    </row>
    <row r="162" spans="1:15" x14ac:dyDescent="0.25">
      <c r="A162" s="97" t="str">
        <f>'Data Vlaue (Cr)'!C157</f>
        <v>PAYTM</v>
      </c>
      <c r="B162" s="142">
        <f>VLOOKUP(A162,'Data Vlaue (Cr)'!C157:CW371,99,0)</f>
        <v>2744</v>
      </c>
      <c r="C162" s="90">
        <f>VLOOKUP(A162,'Data Vlaue (Cr)'!C157:CY371,101,0)</f>
        <v>69</v>
      </c>
      <c r="D162" s="139">
        <f>VLOOKUP(A162,'Data Vlaue (Cr)'!C157:CZ371,102,0)</f>
        <v>2.5899999999999999E-2</v>
      </c>
      <c r="E162" s="91">
        <f>VLOOKUP($A162,'Data Vlaue (Cr)'!$C:$FB,75)</f>
        <v>1572</v>
      </c>
      <c r="F162" s="91">
        <f>VLOOKUP($A162,'Data Vlaue (Cr)'!$C:$FB,77)</f>
        <v>-13</v>
      </c>
      <c r="G162" s="92">
        <f>VLOOKUP(A162,'Data Vlaue (Cr)'!C157:CB371,78,0)</f>
        <v>-8.0999999999999996E-3</v>
      </c>
      <c r="H162" s="91">
        <f>VLOOKUP($A162,'Data Vlaue (Cr)'!$C:$FB,91)</f>
        <v>583</v>
      </c>
      <c r="I162" s="91">
        <f>VLOOKUP($A162,'Data Vlaue (Cr)'!$C:$FB,93)</f>
        <v>65</v>
      </c>
      <c r="J162" s="92">
        <f>VLOOKUP($A162,'Data Vlaue (Cr)'!$C:$FB,94)</f>
        <v>0.1249</v>
      </c>
      <c r="K162" s="91">
        <f>VLOOKUP($A162,'Data Vlaue (Cr)'!$C:$FB,95)</f>
        <v>590</v>
      </c>
      <c r="L162" s="91">
        <f>VLOOKUP($A162,'Data Vlaue (Cr)'!$C:$FB,97)</f>
        <v>17</v>
      </c>
      <c r="M162" s="92">
        <f>VLOOKUP($A162,'Data Vlaue (Cr)'!$C:$FB,98)</f>
        <v>3.0300000000000001E-2</v>
      </c>
      <c r="N162" s="91">
        <f>VLOOKUP($A162,'Data Vlaue (Cr)'!$C:$FB,79)</f>
        <v>1540</v>
      </c>
      <c r="O162" s="92">
        <f>VLOOKUP($A162,'Data Vlaue (Cr)'!$C:$FB,82)</f>
        <v>-8.3999999999999995E-3</v>
      </c>
    </row>
    <row r="163" spans="1:15" x14ac:dyDescent="0.25">
      <c r="A163" s="97" t="str">
        <f>'Data Vlaue (Cr)'!C158</f>
        <v>PERSISTENT</v>
      </c>
      <c r="B163" s="142">
        <f>VLOOKUP(A163,'Data Vlaue (Cr)'!C158:CW372,99,0)</f>
        <v>3165</v>
      </c>
      <c r="C163" s="90">
        <f>VLOOKUP(A163,'Data Vlaue (Cr)'!C158:CY372,101,0)</f>
        <v>37</v>
      </c>
      <c r="D163" s="139">
        <f>VLOOKUP(A163,'Data Vlaue (Cr)'!C158:CZ372,102,0)</f>
        <v>1.17E-2</v>
      </c>
      <c r="E163" s="91">
        <f>VLOOKUP($A163,'Data Vlaue (Cr)'!$C:$FB,75)</f>
        <v>2002</v>
      </c>
      <c r="F163" s="91">
        <f>VLOOKUP($A163,'Data Vlaue (Cr)'!$C:$FB,77)</f>
        <v>-32</v>
      </c>
      <c r="G163" s="92">
        <f>VLOOKUP(A163,'Data Vlaue (Cr)'!C158:CB372,78,0)</f>
        <v>-1.5800000000000002E-2</v>
      </c>
      <c r="H163" s="91">
        <f>VLOOKUP($A163,'Data Vlaue (Cr)'!$C:$FB,91)</f>
        <v>727</v>
      </c>
      <c r="I163" s="91">
        <f>VLOOKUP($A163,'Data Vlaue (Cr)'!$C:$FB,93)</f>
        <v>50</v>
      </c>
      <c r="J163" s="92">
        <f>VLOOKUP($A163,'Data Vlaue (Cr)'!$C:$FB,94)</f>
        <v>7.3400000000000007E-2</v>
      </c>
      <c r="K163" s="91">
        <f>VLOOKUP($A163,'Data Vlaue (Cr)'!$C:$FB,95)</f>
        <v>436</v>
      </c>
      <c r="L163" s="91">
        <f>VLOOKUP($A163,'Data Vlaue (Cr)'!$C:$FB,97)</f>
        <v>19</v>
      </c>
      <c r="M163" s="92">
        <f>VLOOKUP($A163,'Data Vlaue (Cr)'!$C:$FB,98)</f>
        <v>4.5999999999999999E-2</v>
      </c>
      <c r="N163" s="91">
        <f>VLOOKUP($A163,'Data Vlaue (Cr)'!$C:$FB,79)</f>
        <v>1947</v>
      </c>
      <c r="O163" s="92">
        <f>VLOOKUP($A163,'Data Vlaue (Cr)'!$C:$FB,82)</f>
        <v>-1.7399999999999999E-2</v>
      </c>
    </row>
    <row r="164" spans="1:15" x14ac:dyDescent="0.25">
      <c r="A164" s="97" t="str">
        <f>'Data Vlaue (Cr)'!C159</f>
        <v>PETRONET</v>
      </c>
      <c r="B164" s="142">
        <f>VLOOKUP(A164,'Data Vlaue (Cr)'!C159:CW373,99,0)</f>
        <v>1404</v>
      </c>
      <c r="C164" s="90">
        <f>VLOOKUP(A164,'Data Vlaue (Cr)'!C159:CY373,101,0)</f>
        <v>128</v>
      </c>
      <c r="D164" s="139">
        <f>VLOOKUP(A164,'Data Vlaue (Cr)'!C159:CZ373,102,0)</f>
        <v>0.1</v>
      </c>
      <c r="E164" s="91">
        <f>VLOOKUP($A164,'Data Vlaue (Cr)'!$C:$FB,75)</f>
        <v>926</v>
      </c>
      <c r="F164" s="91">
        <f>VLOOKUP($A164,'Data Vlaue (Cr)'!$C:$FB,77)</f>
        <v>15</v>
      </c>
      <c r="G164" s="92">
        <f>VLOOKUP(A164,'Data Vlaue (Cr)'!C159:CB373,78,0)</f>
        <v>1.6799999999999999E-2</v>
      </c>
      <c r="H164" s="91">
        <f>VLOOKUP($A164,'Data Vlaue (Cr)'!$C:$FB,91)</f>
        <v>220</v>
      </c>
      <c r="I164" s="91">
        <f>VLOOKUP($A164,'Data Vlaue (Cr)'!$C:$FB,93)</f>
        <v>51</v>
      </c>
      <c r="J164" s="92">
        <f>VLOOKUP($A164,'Data Vlaue (Cr)'!$C:$FB,94)</f>
        <v>0.30030000000000001</v>
      </c>
      <c r="K164" s="91">
        <f>VLOOKUP($A164,'Data Vlaue (Cr)'!$C:$FB,95)</f>
        <v>258</v>
      </c>
      <c r="L164" s="91">
        <f>VLOOKUP($A164,'Data Vlaue (Cr)'!$C:$FB,97)</f>
        <v>62</v>
      </c>
      <c r="M164" s="92">
        <f>VLOOKUP($A164,'Data Vlaue (Cr)'!$C:$FB,98)</f>
        <v>0.31390000000000001</v>
      </c>
      <c r="N164" s="91">
        <f>VLOOKUP($A164,'Data Vlaue (Cr)'!$C:$FB,79)</f>
        <v>916</v>
      </c>
      <c r="O164" s="92">
        <f>VLOOKUP($A164,'Data Vlaue (Cr)'!$C:$FB,82)</f>
        <v>1.5900000000000001E-2</v>
      </c>
    </row>
    <row r="165" spans="1:15" x14ac:dyDescent="0.25">
      <c r="A165" s="97" t="str">
        <f>'Data Vlaue (Cr)'!C160</f>
        <v>PFC</v>
      </c>
      <c r="B165" s="142">
        <f>VLOOKUP(A165,'Data Vlaue (Cr)'!C160:CW374,99,0)</f>
        <v>3912</v>
      </c>
      <c r="C165" s="90">
        <f>VLOOKUP(A165,'Data Vlaue (Cr)'!C160:CY374,101,0)</f>
        <v>80</v>
      </c>
      <c r="D165" s="139">
        <f>VLOOKUP(A165,'Data Vlaue (Cr)'!C160:CZ374,102,0)</f>
        <v>2.1000000000000001E-2</v>
      </c>
      <c r="E165" s="91">
        <f>VLOOKUP($A165,'Data Vlaue (Cr)'!$C:$FB,75)</f>
        <v>2558</v>
      </c>
      <c r="F165" s="91">
        <f>VLOOKUP($A165,'Data Vlaue (Cr)'!$C:$FB,77)</f>
        <v>-18</v>
      </c>
      <c r="G165" s="92">
        <f>VLOOKUP(A165,'Data Vlaue (Cr)'!C160:CB374,78,0)</f>
        <v>-7.1000000000000004E-3</v>
      </c>
      <c r="H165" s="91">
        <f>VLOOKUP($A165,'Data Vlaue (Cr)'!$C:$FB,91)</f>
        <v>870</v>
      </c>
      <c r="I165" s="91">
        <f>VLOOKUP($A165,'Data Vlaue (Cr)'!$C:$FB,93)</f>
        <v>67</v>
      </c>
      <c r="J165" s="92">
        <f>VLOOKUP($A165,'Data Vlaue (Cr)'!$C:$FB,94)</f>
        <v>8.4000000000000005E-2</v>
      </c>
      <c r="K165" s="91">
        <f>VLOOKUP($A165,'Data Vlaue (Cr)'!$C:$FB,95)</f>
        <v>483</v>
      </c>
      <c r="L165" s="91">
        <f>VLOOKUP($A165,'Data Vlaue (Cr)'!$C:$FB,97)</f>
        <v>31</v>
      </c>
      <c r="M165" s="92">
        <f>VLOOKUP($A165,'Data Vlaue (Cr)'!$C:$FB,98)</f>
        <v>6.93E-2</v>
      </c>
      <c r="N165" s="91">
        <f>VLOOKUP($A165,'Data Vlaue (Cr)'!$C:$FB,79)</f>
        <v>2490</v>
      </c>
      <c r="O165" s="92">
        <f>VLOOKUP($A165,'Data Vlaue (Cr)'!$C:$FB,82)</f>
        <v>-8.5000000000000006E-3</v>
      </c>
    </row>
    <row r="166" spans="1:15" x14ac:dyDescent="0.25">
      <c r="A166" s="97" t="str">
        <f>'Data Vlaue (Cr)'!C161</f>
        <v>PGEL</v>
      </c>
      <c r="B166" s="142">
        <f>VLOOKUP(A166,'Data Vlaue (Cr)'!C161:CW375,99,0)</f>
        <v>986</v>
      </c>
      <c r="C166" s="90">
        <f>VLOOKUP(A166,'Data Vlaue (Cr)'!C161:CY375,101,0)</f>
        <v>22</v>
      </c>
      <c r="D166" s="139">
        <f>VLOOKUP(A166,'Data Vlaue (Cr)'!C161:CZ375,102,0)</f>
        <v>2.2800000000000001E-2</v>
      </c>
      <c r="E166" s="91">
        <f>VLOOKUP($A166,'Data Vlaue (Cr)'!$C:$FB,75)</f>
        <v>601</v>
      </c>
      <c r="F166" s="91">
        <f>VLOOKUP($A166,'Data Vlaue (Cr)'!$C:$FB,77)</f>
        <v>-9</v>
      </c>
      <c r="G166" s="92">
        <f>VLOOKUP(A166,'Data Vlaue (Cr)'!C161:CB375,78,0)</f>
        <v>-1.47E-2</v>
      </c>
      <c r="H166" s="91">
        <f>VLOOKUP($A166,'Data Vlaue (Cr)'!$C:$FB,91)</f>
        <v>197</v>
      </c>
      <c r="I166" s="91">
        <f>VLOOKUP($A166,'Data Vlaue (Cr)'!$C:$FB,93)</f>
        <v>18</v>
      </c>
      <c r="J166" s="92">
        <f>VLOOKUP($A166,'Data Vlaue (Cr)'!$C:$FB,94)</f>
        <v>9.7900000000000001E-2</v>
      </c>
      <c r="K166" s="91">
        <f>VLOOKUP($A166,'Data Vlaue (Cr)'!$C:$FB,95)</f>
        <v>188</v>
      </c>
      <c r="L166" s="91">
        <f>VLOOKUP($A166,'Data Vlaue (Cr)'!$C:$FB,97)</f>
        <v>13</v>
      </c>
      <c r="M166" s="92">
        <f>VLOOKUP($A166,'Data Vlaue (Cr)'!$C:$FB,98)</f>
        <v>7.6799999999999993E-2</v>
      </c>
      <c r="N166" s="91">
        <f>VLOOKUP($A166,'Data Vlaue (Cr)'!$C:$FB,79)</f>
        <v>552</v>
      </c>
      <c r="O166" s="92">
        <f>VLOOKUP($A166,'Data Vlaue (Cr)'!$C:$FB,82)</f>
        <v>-1.7999999999999999E-2</v>
      </c>
    </row>
    <row r="167" spans="1:15" x14ac:dyDescent="0.25">
      <c r="A167" s="97" t="str">
        <f>'Data Vlaue (Cr)'!C162</f>
        <v>PHOENIXLTD</v>
      </c>
      <c r="B167" s="142">
        <f>VLOOKUP(A167,'Data Vlaue (Cr)'!C162:CW376,99,0)</f>
        <v>1012</v>
      </c>
      <c r="C167" s="90">
        <f>VLOOKUP(A167,'Data Vlaue (Cr)'!C162:CY376,101,0)</f>
        <v>11</v>
      </c>
      <c r="D167" s="139">
        <f>VLOOKUP(A167,'Data Vlaue (Cr)'!C162:CZ376,102,0)</f>
        <v>1.12E-2</v>
      </c>
      <c r="E167" s="91">
        <f>VLOOKUP($A167,'Data Vlaue (Cr)'!$C:$FB,75)</f>
        <v>725</v>
      </c>
      <c r="F167" s="91">
        <f>VLOOKUP($A167,'Data Vlaue (Cr)'!$C:$FB,77)</f>
        <v>10</v>
      </c>
      <c r="G167" s="92">
        <f>VLOOKUP(A167,'Data Vlaue (Cr)'!C162:CB376,78,0)</f>
        <v>1.44E-2</v>
      </c>
      <c r="H167" s="91">
        <f>VLOOKUP($A167,'Data Vlaue (Cr)'!$C:$FB,91)</f>
        <v>164</v>
      </c>
      <c r="I167" s="91">
        <f>VLOOKUP($A167,'Data Vlaue (Cr)'!$C:$FB,93)</f>
        <v>-1</v>
      </c>
      <c r="J167" s="92">
        <f>VLOOKUP($A167,'Data Vlaue (Cr)'!$C:$FB,94)</f>
        <v>-4.8999999999999998E-3</v>
      </c>
      <c r="K167" s="91">
        <f>VLOOKUP($A167,'Data Vlaue (Cr)'!$C:$FB,95)</f>
        <v>123</v>
      </c>
      <c r="L167" s="91">
        <f>VLOOKUP($A167,'Data Vlaue (Cr)'!$C:$FB,97)</f>
        <v>2</v>
      </c>
      <c r="M167" s="92">
        <f>VLOOKUP($A167,'Data Vlaue (Cr)'!$C:$FB,98)</f>
        <v>1.4E-2</v>
      </c>
      <c r="N167" s="91">
        <f>VLOOKUP($A167,'Data Vlaue (Cr)'!$C:$FB,79)</f>
        <v>659</v>
      </c>
      <c r="O167" s="92">
        <f>VLOOKUP($A167,'Data Vlaue (Cr)'!$C:$FB,82)</f>
        <v>1.5699999999999999E-2</v>
      </c>
    </row>
    <row r="168" spans="1:15" x14ac:dyDescent="0.25">
      <c r="A168" s="97" t="str">
        <f>'Data Vlaue (Cr)'!C163</f>
        <v>PIDILITIND</v>
      </c>
      <c r="B168" s="142">
        <f>VLOOKUP(A168,'Data Vlaue (Cr)'!C163:CW377,99,0)</f>
        <v>1215</v>
      </c>
      <c r="C168" s="90">
        <f>VLOOKUP(A168,'Data Vlaue (Cr)'!C163:CY377,101,0)</f>
        <v>68</v>
      </c>
      <c r="D168" s="139">
        <f>VLOOKUP(A168,'Data Vlaue (Cr)'!C163:CZ377,102,0)</f>
        <v>5.9400000000000001E-2</v>
      </c>
      <c r="E168" s="91">
        <f>VLOOKUP($A168,'Data Vlaue (Cr)'!$C:$FB,75)</f>
        <v>988</v>
      </c>
      <c r="F168" s="91">
        <f>VLOOKUP($A168,'Data Vlaue (Cr)'!$C:$FB,77)</f>
        <v>12</v>
      </c>
      <c r="G168" s="92">
        <f>VLOOKUP(A168,'Data Vlaue (Cr)'!C163:CB377,78,0)</f>
        <v>1.1900000000000001E-2</v>
      </c>
      <c r="H168" s="91">
        <f>VLOOKUP($A168,'Data Vlaue (Cr)'!$C:$FB,91)</f>
        <v>138</v>
      </c>
      <c r="I168" s="91">
        <f>VLOOKUP($A168,'Data Vlaue (Cr)'!$C:$FB,93)</f>
        <v>37</v>
      </c>
      <c r="J168" s="92">
        <f>VLOOKUP($A168,'Data Vlaue (Cr)'!$C:$FB,94)</f>
        <v>0.36330000000000001</v>
      </c>
      <c r="K168" s="91">
        <f>VLOOKUP($A168,'Data Vlaue (Cr)'!$C:$FB,95)</f>
        <v>90</v>
      </c>
      <c r="L168" s="91">
        <f>VLOOKUP($A168,'Data Vlaue (Cr)'!$C:$FB,97)</f>
        <v>20</v>
      </c>
      <c r="M168" s="92">
        <f>VLOOKUP($A168,'Data Vlaue (Cr)'!$C:$FB,98)</f>
        <v>0.2838</v>
      </c>
      <c r="N168" s="91">
        <f>VLOOKUP($A168,'Data Vlaue (Cr)'!$C:$FB,79)</f>
        <v>978</v>
      </c>
      <c r="O168" s="92">
        <f>VLOOKUP($A168,'Data Vlaue (Cr)'!$C:$FB,82)</f>
        <v>1.09E-2</v>
      </c>
    </row>
    <row r="169" spans="1:15" x14ac:dyDescent="0.25">
      <c r="A169" s="97" t="str">
        <f>'Data Vlaue (Cr)'!C164</f>
        <v>PIIND</v>
      </c>
      <c r="B169" s="142">
        <f>VLOOKUP(A169,'Data Vlaue (Cr)'!C164:CW378,99,0)</f>
        <v>1264</v>
      </c>
      <c r="C169" s="90">
        <f>VLOOKUP(A169,'Data Vlaue (Cr)'!C164:CY378,101,0)</f>
        <v>37</v>
      </c>
      <c r="D169" s="139">
        <f>VLOOKUP(A169,'Data Vlaue (Cr)'!C164:CZ378,102,0)</f>
        <v>3.0300000000000001E-2</v>
      </c>
      <c r="E169" s="91">
        <f>VLOOKUP($A169,'Data Vlaue (Cr)'!$C:$FB,75)</f>
        <v>836</v>
      </c>
      <c r="F169" s="91">
        <f>VLOOKUP($A169,'Data Vlaue (Cr)'!$C:$FB,77)</f>
        <v>4</v>
      </c>
      <c r="G169" s="92">
        <f>VLOOKUP(A169,'Data Vlaue (Cr)'!C164:CB378,78,0)</f>
        <v>4.7000000000000002E-3</v>
      </c>
      <c r="H169" s="91">
        <f>VLOOKUP($A169,'Data Vlaue (Cr)'!$C:$FB,91)</f>
        <v>271</v>
      </c>
      <c r="I169" s="91">
        <f>VLOOKUP($A169,'Data Vlaue (Cr)'!$C:$FB,93)</f>
        <v>18</v>
      </c>
      <c r="J169" s="92">
        <f>VLOOKUP($A169,'Data Vlaue (Cr)'!$C:$FB,94)</f>
        <v>6.9400000000000003E-2</v>
      </c>
      <c r="K169" s="91">
        <f>VLOOKUP($A169,'Data Vlaue (Cr)'!$C:$FB,95)</f>
        <v>157</v>
      </c>
      <c r="L169" s="91">
        <f>VLOOKUP($A169,'Data Vlaue (Cr)'!$C:$FB,97)</f>
        <v>16</v>
      </c>
      <c r="M169" s="92">
        <f>VLOOKUP($A169,'Data Vlaue (Cr)'!$C:$FB,98)</f>
        <v>0.1108</v>
      </c>
      <c r="N169" s="91">
        <f>VLOOKUP($A169,'Data Vlaue (Cr)'!$C:$FB,79)</f>
        <v>819</v>
      </c>
      <c r="O169" s="92">
        <f>VLOOKUP($A169,'Data Vlaue (Cr)'!$C:$FB,82)</f>
        <v>3.3999999999999998E-3</v>
      </c>
    </row>
    <row r="170" spans="1:15" x14ac:dyDescent="0.25">
      <c r="A170" s="97" t="str">
        <f>'Data Vlaue (Cr)'!C165</f>
        <v>PNB</v>
      </c>
      <c r="B170" s="142">
        <f>VLOOKUP(A170,'Data Vlaue (Cr)'!C165:CW379,99,0)</f>
        <v>4412</v>
      </c>
      <c r="C170" s="90">
        <f>VLOOKUP(A170,'Data Vlaue (Cr)'!C165:CY379,101,0)</f>
        <v>190</v>
      </c>
      <c r="D170" s="139">
        <f>VLOOKUP(A170,'Data Vlaue (Cr)'!C165:CZ379,102,0)</f>
        <v>4.4999999999999998E-2</v>
      </c>
      <c r="E170" s="91">
        <f>VLOOKUP($A170,'Data Vlaue (Cr)'!$C:$FB,75)</f>
        <v>3012</v>
      </c>
      <c r="F170" s="91">
        <f>VLOOKUP($A170,'Data Vlaue (Cr)'!$C:$FB,77)</f>
        <v>47</v>
      </c>
      <c r="G170" s="92">
        <f>VLOOKUP(A170,'Data Vlaue (Cr)'!C165:CB379,78,0)</f>
        <v>1.6E-2</v>
      </c>
      <c r="H170" s="91">
        <f>VLOOKUP($A170,'Data Vlaue (Cr)'!$C:$FB,91)</f>
        <v>771</v>
      </c>
      <c r="I170" s="91">
        <f>VLOOKUP($A170,'Data Vlaue (Cr)'!$C:$FB,93)</f>
        <v>84</v>
      </c>
      <c r="J170" s="92">
        <f>VLOOKUP($A170,'Data Vlaue (Cr)'!$C:$FB,94)</f>
        <v>0.12280000000000001</v>
      </c>
      <c r="K170" s="91">
        <f>VLOOKUP($A170,'Data Vlaue (Cr)'!$C:$FB,95)</f>
        <v>629</v>
      </c>
      <c r="L170" s="91">
        <f>VLOOKUP($A170,'Data Vlaue (Cr)'!$C:$FB,97)</f>
        <v>58</v>
      </c>
      <c r="M170" s="92">
        <f>VLOOKUP($A170,'Data Vlaue (Cr)'!$C:$FB,98)</f>
        <v>0.1023</v>
      </c>
      <c r="N170" s="91">
        <f>VLOOKUP($A170,'Data Vlaue (Cr)'!$C:$FB,79)</f>
        <v>2789</v>
      </c>
      <c r="O170" s="92">
        <f>VLOOKUP($A170,'Data Vlaue (Cr)'!$C:$FB,82)</f>
        <v>9.7000000000000003E-3</v>
      </c>
    </row>
    <row r="171" spans="1:15" x14ac:dyDescent="0.25">
      <c r="A171" s="97" t="str">
        <f>'Data Vlaue (Cr)'!C166</f>
        <v>PNBHOUSING</v>
      </c>
      <c r="B171" s="142">
        <f>VLOOKUP(A171,'Data Vlaue (Cr)'!C166:CW380,99,0)</f>
        <v>1431</v>
      </c>
      <c r="C171" s="90">
        <f>VLOOKUP(A171,'Data Vlaue (Cr)'!C166:CY380,101,0)</f>
        <v>21</v>
      </c>
      <c r="D171" s="139">
        <f>VLOOKUP(A171,'Data Vlaue (Cr)'!C166:CZ380,102,0)</f>
        <v>1.47E-2</v>
      </c>
      <c r="E171" s="91">
        <f>VLOOKUP($A171,'Data Vlaue (Cr)'!$C:$FB,75)</f>
        <v>1124</v>
      </c>
      <c r="F171" s="91">
        <f>VLOOKUP($A171,'Data Vlaue (Cr)'!$C:$FB,77)</f>
        <v>-9</v>
      </c>
      <c r="G171" s="92">
        <f>VLOOKUP(A171,'Data Vlaue (Cr)'!C166:CB380,78,0)</f>
        <v>-8.3999999999999995E-3</v>
      </c>
      <c r="H171" s="91">
        <f>VLOOKUP($A171,'Data Vlaue (Cr)'!$C:$FB,91)</f>
        <v>172</v>
      </c>
      <c r="I171" s="91">
        <f>VLOOKUP($A171,'Data Vlaue (Cr)'!$C:$FB,93)</f>
        <v>16</v>
      </c>
      <c r="J171" s="92">
        <f>VLOOKUP($A171,'Data Vlaue (Cr)'!$C:$FB,94)</f>
        <v>0.1041</v>
      </c>
      <c r="K171" s="91">
        <f>VLOOKUP($A171,'Data Vlaue (Cr)'!$C:$FB,95)</f>
        <v>135</v>
      </c>
      <c r="L171" s="91">
        <f>VLOOKUP($A171,'Data Vlaue (Cr)'!$C:$FB,97)</f>
        <v>14</v>
      </c>
      <c r="M171" s="92">
        <f>VLOOKUP($A171,'Data Vlaue (Cr)'!$C:$FB,98)</f>
        <v>0.11559999999999999</v>
      </c>
      <c r="N171" s="91">
        <f>VLOOKUP($A171,'Data Vlaue (Cr)'!$C:$FB,79)</f>
        <v>1118</v>
      </c>
      <c r="O171" s="92">
        <f>VLOOKUP($A171,'Data Vlaue (Cr)'!$C:$FB,82)</f>
        <v>-8.8000000000000005E-3</v>
      </c>
    </row>
    <row r="172" spans="1:15" x14ac:dyDescent="0.25">
      <c r="A172" s="97" t="str">
        <f>'Data Vlaue (Cr)'!C167</f>
        <v>POLICYBZR</v>
      </c>
      <c r="B172" s="142">
        <f>VLOOKUP(A172,'Data Vlaue (Cr)'!C167:CW381,99,0)</f>
        <v>1639</v>
      </c>
      <c r="C172" s="90">
        <f>VLOOKUP(A172,'Data Vlaue (Cr)'!C167:CY381,101,0)</f>
        <v>34</v>
      </c>
      <c r="D172" s="139">
        <f>VLOOKUP(A172,'Data Vlaue (Cr)'!C167:CZ381,102,0)</f>
        <v>2.1299999999999999E-2</v>
      </c>
      <c r="E172" s="91">
        <f>VLOOKUP($A172,'Data Vlaue (Cr)'!$C:$FB,75)</f>
        <v>1370</v>
      </c>
      <c r="F172" s="91">
        <f>VLOOKUP($A172,'Data Vlaue (Cr)'!$C:$FB,77)</f>
        <v>-7</v>
      </c>
      <c r="G172" s="92">
        <f>VLOOKUP(A172,'Data Vlaue (Cr)'!C167:CB381,78,0)</f>
        <v>-4.8999999999999998E-3</v>
      </c>
      <c r="H172" s="91">
        <f>VLOOKUP($A172,'Data Vlaue (Cr)'!$C:$FB,91)</f>
        <v>162</v>
      </c>
      <c r="I172" s="91">
        <f>VLOOKUP($A172,'Data Vlaue (Cr)'!$C:$FB,93)</f>
        <v>31</v>
      </c>
      <c r="J172" s="92">
        <f>VLOOKUP($A172,'Data Vlaue (Cr)'!$C:$FB,94)</f>
        <v>0.23680000000000001</v>
      </c>
      <c r="K172" s="91">
        <f>VLOOKUP($A172,'Data Vlaue (Cr)'!$C:$FB,95)</f>
        <v>106</v>
      </c>
      <c r="L172" s="91">
        <f>VLOOKUP($A172,'Data Vlaue (Cr)'!$C:$FB,97)</f>
        <v>10</v>
      </c>
      <c r="M172" s="92">
        <f>VLOOKUP($A172,'Data Vlaue (Cr)'!$C:$FB,98)</f>
        <v>0.1024</v>
      </c>
      <c r="N172" s="91">
        <f>VLOOKUP($A172,'Data Vlaue (Cr)'!$C:$FB,79)</f>
        <v>1342</v>
      </c>
      <c r="O172" s="92">
        <f>VLOOKUP($A172,'Data Vlaue (Cr)'!$C:$FB,82)</f>
        <v>-5.4999999999999997E-3</v>
      </c>
    </row>
    <row r="173" spans="1:15" x14ac:dyDescent="0.25">
      <c r="A173" s="97" t="str">
        <f>'Data Vlaue (Cr)'!C168</f>
        <v>POLYCAB</v>
      </c>
      <c r="B173" s="142">
        <f>VLOOKUP(A173,'Data Vlaue (Cr)'!C168:CW382,99,0)</f>
        <v>3292</v>
      </c>
      <c r="C173" s="90">
        <f>VLOOKUP(A173,'Data Vlaue (Cr)'!C168:CY382,101,0)</f>
        <v>379</v>
      </c>
      <c r="D173" s="139">
        <f>VLOOKUP(A173,'Data Vlaue (Cr)'!C168:CZ382,102,0)</f>
        <v>0.13009999999999999</v>
      </c>
      <c r="E173" s="91">
        <f>VLOOKUP($A173,'Data Vlaue (Cr)'!$C:$FB,75)</f>
        <v>1614</v>
      </c>
      <c r="F173" s="91">
        <f>VLOOKUP($A173,'Data Vlaue (Cr)'!$C:$FB,77)</f>
        <v>65</v>
      </c>
      <c r="G173" s="92">
        <f>VLOOKUP(A173,'Data Vlaue (Cr)'!C168:CB382,78,0)</f>
        <v>4.1599999999999998E-2</v>
      </c>
      <c r="H173" s="91">
        <f>VLOOKUP($A173,'Data Vlaue (Cr)'!$C:$FB,91)</f>
        <v>700</v>
      </c>
      <c r="I173" s="91">
        <f>VLOOKUP($A173,'Data Vlaue (Cr)'!$C:$FB,93)</f>
        <v>143</v>
      </c>
      <c r="J173" s="92">
        <f>VLOOKUP($A173,'Data Vlaue (Cr)'!$C:$FB,94)</f>
        <v>0.25609999999999999</v>
      </c>
      <c r="K173" s="91">
        <f>VLOOKUP($A173,'Data Vlaue (Cr)'!$C:$FB,95)</f>
        <v>978</v>
      </c>
      <c r="L173" s="91">
        <f>VLOOKUP($A173,'Data Vlaue (Cr)'!$C:$FB,97)</f>
        <v>172</v>
      </c>
      <c r="M173" s="92">
        <f>VLOOKUP($A173,'Data Vlaue (Cr)'!$C:$FB,98)</f>
        <v>0.21290000000000001</v>
      </c>
      <c r="N173" s="91">
        <f>VLOOKUP($A173,'Data Vlaue (Cr)'!$C:$FB,79)</f>
        <v>1589</v>
      </c>
      <c r="O173" s="92">
        <f>VLOOKUP($A173,'Data Vlaue (Cr)'!$C:$FB,82)</f>
        <v>4.1000000000000002E-2</v>
      </c>
    </row>
    <row r="174" spans="1:15" x14ac:dyDescent="0.25">
      <c r="A174" s="97" t="str">
        <f>'Data Vlaue (Cr)'!C169</f>
        <v>POWERGRID</v>
      </c>
      <c r="B174" s="142">
        <f>VLOOKUP(A174,'Data Vlaue (Cr)'!C169:CW383,99,0)</f>
        <v>3586</v>
      </c>
      <c r="C174" s="90">
        <f>VLOOKUP(A174,'Data Vlaue (Cr)'!C169:CY383,101,0)</f>
        <v>143</v>
      </c>
      <c r="D174" s="139">
        <f>VLOOKUP(A174,'Data Vlaue (Cr)'!C169:CZ383,102,0)</f>
        <v>4.1399999999999999E-2</v>
      </c>
      <c r="E174" s="91">
        <f>VLOOKUP($A174,'Data Vlaue (Cr)'!$C:$FB,75)</f>
        <v>2583</v>
      </c>
      <c r="F174" s="91">
        <f>VLOOKUP($A174,'Data Vlaue (Cr)'!$C:$FB,77)</f>
        <v>22</v>
      </c>
      <c r="G174" s="92">
        <f>VLOOKUP(A174,'Data Vlaue (Cr)'!C169:CB383,78,0)</f>
        <v>8.6999999999999994E-3</v>
      </c>
      <c r="H174" s="91">
        <f>VLOOKUP($A174,'Data Vlaue (Cr)'!$C:$FB,91)</f>
        <v>608</v>
      </c>
      <c r="I174" s="91">
        <f>VLOOKUP($A174,'Data Vlaue (Cr)'!$C:$FB,93)</f>
        <v>88</v>
      </c>
      <c r="J174" s="92">
        <f>VLOOKUP($A174,'Data Vlaue (Cr)'!$C:$FB,94)</f>
        <v>0.16969999999999999</v>
      </c>
      <c r="K174" s="91">
        <f>VLOOKUP($A174,'Data Vlaue (Cr)'!$C:$FB,95)</f>
        <v>395</v>
      </c>
      <c r="L174" s="91">
        <f>VLOOKUP($A174,'Data Vlaue (Cr)'!$C:$FB,97)</f>
        <v>32</v>
      </c>
      <c r="M174" s="92">
        <f>VLOOKUP($A174,'Data Vlaue (Cr)'!$C:$FB,98)</f>
        <v>8.8400000000000006E-2</v>
      </c>
      <c r="N174" s="91">
        <f>VLOOKUP($A174,'Data Vlaue (Cr)'!$C:$FB,79)</f>
        <v>2196</v>
      </c>
      <c r="O174" s="92">
        <f>VLOOKUP($A174,'Data Vlaue (Cr)'!$C:$FB,82)</f>
        <v>5.7999999999999996E-3</v>
      </c>
    </row>
    <row r="175" spans="1:15" x14ac:dyDescent="0.25">
      <c r="A175" s="97" t="str">
        <f>'Data Vlaue (Cr)'!C170</f>
        <v>POWERINDIA</v>
      </c>
      <c r="B175" s="142">
        <f>VLOOKUP(A175,'Data Vlaue (Cr)'!C170:CW384,99,0)</f>
        <v>2798</v>
      </c>
      <c r="C175" s="90">
        <f>VLOOKUP(A175,'Data Vlaue (Cr)'!C170:CY384,101,0)</f>
        <v>130</v>
      </c>
      <c r="D175" s="139">
        <f>VLOOKUP(A175,'Data Vlaue (Cr)'!C170:CZ384,102,0)</f>
        <v>4.87E-2</v>
      </c>
      <c r="E175" s="91">
        <f>VLOOKUP($A175,'Data Vlaue (Cr)'!$C:$FB,75)</f>
        <v>1326</v>
      </c>
      <c r="F175" s="91">
        <f>VLOOKUP($A175,'Data Vlaue (Cr)'!$C:$FB,77)</f>
        <v>-20</v>
      </c>
      <c r="G175" s="92">
        <f>VLOOKUP(A175,'Data Vlaue (Cr)'!C170:CB384,78,0)</f>
        <v>-1.49E-2</v>
      </c>
      <c r="H175" s="91">
        <f>VLOOKUP($A175,'Data Vlaue (Cr)'!$C:$FB,91)</f>
        <v>799</v>
      </c>
      <c r="I175" s="91">
        <f>VLOOKUP($A175,'Data Vlaue (Cr)'!$C:$FB,93)</f>
        <v>92</v>
      </c>
      <c r="J175" s="92">
        <f>VLOOKUP($A175,'Data Vlaue (Cr)'!$C:$FB,94)</f>
        <v>0.13070000000000001</v>
      </c>
      <c r="K175" s="91">
        <f>VLOOKUP($A175,'Data Vlaue (Cr)'!$C:$FB,95)</f>
        <v>673</v>
      </c>
      <c r="L175" s="91">
        <f>VLOOKUP($A175,'Data Vlaue (Cr)'!$C:$FB,97)</f>
        <v>58</v>
      </c>
      <c r="M175" s="92">
        <f>VLOOKUP($A175,'Data Vlaue (Cr)'!$C:$FB,98)</f>
        <v>9.35E-2</v>
      </c>
      <c r="N175" s="91">
        <f>VLOOKUP($A175,'Data Vlaue (Cr)'!$C:$FB,79)</f>
        <v>1290</v>
      </c>
      <c r="O175" s="92">
        <f>VLOOKUP($A175,'Data Vlaue (Cr)'!$C:$FB,82)</f>
        <v>-1.67E-2</v>
      </c>
    </row>
    <row r="176" spans="1:15" x14ac:dyDescent="0.25">
      <c r="A176" s="97" t="str">
        <f>'Data Vlaue (Cr)'!C171</f>
        <v>PREMIERENE</v>
      </c>
      <c r="B176" s="142">
        <f>VLOOKUP(A176,'Data Vlaue (Cr)'!C171:CW385,99,0)</f>
        <v>1382</v>
      </c>
      <c r="C176" s="90">
        <f>VLOOKUP(A176,'Data Vlaue (Cr)'!C171:CY385,101,0)</f>
        <v>24</v>
      </c>
      <c r="D176" s="139">
        <f>VLOOKUP(A176,'Data Vlaue (Cr)'!C171:CZ385,102,0)</f>
        <v>1.78E-2</v>
      </c>
      <c r="E176" s="91">
        <f>VLOOKUP($A176,'Data Vlaue (Cr)'!$C:$FB,75)</f>
        <v>1094</v>
      </c>
      <c r="F176" s="91">
        <f>VLOOKUP($A176,'Data Vlaue (Cr)'!$C:$FB,77)</f>
        <v>-6</v>
      </c>
      <c r="G176" s="92">
        <f>VLOOKUP(A176,'Data Vlaue (Cr)'!C171:CB385,78,0)</f>
        <v>-5.4999999999999997E-3</v>
      </c>
      <c r="H176" s="91">
        <f>VLOOKUP($A176,'Data Vlaue (Cr)'!$C:$FB,91)</f>
        <v>140</v>
      </c>
      <c r="I176" s="91">
        <f>VLOOKUP($A176,'Data Vlaue (Cr)'!$C:$FB,93)</f>
        <v>3</v>
      </c>
      <c r="J176" s="92">
        <f>VLOOKUP($A176,'Data Vlaue (Cr)'!$C:$FB,94)</f>
        <v>2.4199999999999999E-2</v>
      </c>
      <c r="K176" s="91">
        <f>VLOOKUP($A176,'Data Vlaue (Cr)'!$C:$FB,95)</f>
        <v>149</v>
      </c>
      <c r="L176" s="91">
        <f>VLOOKUP($A176,'Data Vlaue (Cr)'!$C:$FB,97)</f>
        <v>27</v>
      </c>
      <c r="M176" s="92">
        <f>VLOOKUP($A176,'Data Vlaue (Cr)'!$C:$FB,98)</f>
        <v>0.22109999999999999</v>
      </c>
      <c r="N176" s="91">
        <f>VLOOKUP($A176,'Data Vlaue (Cr)'!$C:$FB,79)</f>
        <v>1057</v>
      </c>
      <c r="O176" s="92">
        <f>VLOOKUP($A176,'Data Vlaue (Cr)'!$C:$FB,82)</f>
        <v>-6.7999999999999996E-3</v>
      </c>
    </row>
    <row r="177" spans="1:15" x14ac:dyDescent="0.25">
      <c r="A177" s="97" t="str">
        <f>'Data Vlaue (Cr)'!C172</f>
        <v>PRESTIGE</v>
      </c>
      <c r="B177" s="142">
        <f>VLOOKUP(A177,'Data Vlaue (Cr)'!C172:CW386,99,0)</f>
        <v>1077</v>
      </c>
      <c r="C177" s="90">
        <f>VLOOKUP(A177,'Data Vlaue (Cr)'!C172:CY386,101,0)</f>
        <v>30</v>
      </c>
      <c r="D177" s="139">
        <f>VLOOKUP(A177,'Data Vlaue (Cr)'!C172:CZ386,102,0)</f>
        <v>2.8799999999999999E-2</v>
      </c>
      <c r="E177" s="91">
        <f>VLOOKUP($A177,'Data Vlaue (Cr)'!$C:$FB,75)</f>
        <v>847</v>
      </c>
      <c r="F177" s="91">
        <f>VLOOKUP($A177,'Data Vlaue (Cr)'!$C:$FB,77)</f>
        <v>-3</v>
      </c>
      <c r="G177" s="92">
        <f>VLOOKUP(A177,'Data Vlaue (Cr)'!C172:CB386,78,0)</f>
        <v>-3.5000000000000001E-3</v>
      </c>
      <c r="H177" s="91">
        <f>VLOOKUP($A177,'Data Vlaue (Cr)'!$C:$FB,91)</f>
        <v>123</v>
      </c>
      <c r="I177" s="91">
        <f>VLOOKUP($A177,'Data Vlaue (Cr)'!$C:$FB,93)</f>
        <v>31</v>
      </c>
      <c r="J177" s="92">
        <f>VLOOKUP($A177,'Data Vlaue (Cr)'!$C:$FB,94)</f>
        <v>0.33979999999999999</v>
      </c>
      <c r="K177" s="91">
        <f>VLOOKUP($A177,'Data Vlaue (Cr)'!$C:$FB,95)</f>
        <v>107</v>
      </c>
      <c r="L177" s="91">
        <f>VLOOKUP($A177,'Data Vlaue (Cr)'!$C:$FB,97)</f>
        <v>2</v>
      </c>
      <c r="M177" s="92">
        <f>VLOOKUP($A177,'Data Vlaue (Cr)'!$C:$FB,98)</f>
        <v>1.8700000000000001E-2</v>
      </c>
      <c r="N177" s="91">
        <f>VLOOKUP($A177,'Data Vlaue (Cr)'!$C:$FB,79)</f>
        <v>811</v>
      </c>
      <c r="O177" s="92">
        <f>VLOOKUP($A177,'Data Vlaue (Cr)'!$C:$FB,82)</f>
        <v>-3.8E-3</v>
      </c>
    </row>
    <row r="178" spans="1:15" x14ac:dyDescent="0.25">
      <c r="A178" s="97" t="str">
        <f>'Data Vlaue (Cr)'!C173</f>
        <v>RBLBANK</v>
      </c>
      <c r="B178" s="142">
        <f>VLOOKUP(A178,'Data Vlaue (Cr)'!C173:CW387,99,0)</f>
        <v>3291</v>
      </c>
      <c r="C178" s="90">
        <f>VLOOKUP(A178,'Data Vlaue (Cr)'!C173:CY387,101,0)</f>
        <v>175</v>
      </c>
      <c r="D178" s="139">
        <f>VLOOKUP(A178,'Data Vlaue (Cr)'!C173:CZ387,102,0)</f>
        <v>5.6300000000000003E-2</v>
      </c>
      <c r="E178" s="91">
        <f>VLOOKUP($A178,'Data Vlaue (Cr)'!$C:$FB,75)</f>
        <v>2182</v>
      </c>
      <c r="F178" s="91">
        <f>VLOOKUP($A178,'Data Vlaue (Cr)'!$C:$FB,77)</f>
        <v>60</v>
      </c>
      <c r="G178" s="92">
        <f>VLOOKUP(A178,'Data Vlaue (Cr)'!C173:CB387,78,0)</f>
        <v>2.81E-2</v>
      </c>
      <c r="H178" s="91">
        <f>VLOOKUP($A178,'Data Vlaue (Cr)'!$C:$FB,91)</f>
        <v>638</v>
      </c>
      <c r="I178" s="91">
        <f>VLOOKUP($A178,'Data Vlaue (Cr)'!$C:$FB,93)</f>
        <v>81</v>
      </c>
      <c r="J178" s="92">
        <f>VLOOKUP($A178,'Data Vlaue (Cr)'!$C:$FB,94)</f>
        <v>0.1454</v>
      </c>
      <c r="K178" s="91">
        <f>VLOOKUP($A178,'Data Vlaue (Cr)'!$C:$FB,95)</f>
        <v>472</v>
      </c>
      <c r="L178" s="91">
        <f>VLOOKUP($A178,'Data Vlaue (Cr)'!$C:$FB,97)</f>
        <v>35</v>
      </c>
      <c r="M178" s="92">
        <f>VLOOKUP($A178,'Data Vlaue (Cr)'!$C:$FB,98)</f>
        <v>7.9600000000000004E-2</v>
      </c>
      <c r="N178" s="91">
        <f>VLOOKUP($A178,'Data Vlaue (Cr)'!$C:$FB,79)</f>
        <v>2166</v>
      </c>
      <c r="O178" s="92">
        <f>VLOOKUP($A178,'Data Vlaue (Cr)'!$C:$FB,82)</f>
        <v>2.7400000000000001E-2</v>
      </c>
    </row>
    <row r="179" spans="1:15" x14ac:dyDescent="0.25">
      <c r="A179" s="97" t="str">
        <f>'Data Vlaue (Cr)'!C174</f>
        <v>RECLTD</v>
      </c>
      <c r="B179" s="142">
        <f>VLOOKUP(A179,'Data Vlaue (Cr)'!C174:CW388,99,0)</f>
        <v>3874</v>
      </c>
      <c r="C179" s="90">
        <f>VLOOKUP(A179,'Data Vlaue (Cr)'!C174:CY388,101,0)</f>
        <v>114</v>
      </c>
      <c r="D179" s="139">
        <f>VLOOKUP(A179,'Data Vlaue (Cr)'!C174:CZ388,102,0)</f>
        <v>3.04E-2</v>
      </c>
      <c r="E179" s="91">
        <f>VLOOKUP($A179,'Data Vlaue (Cr)'!$C:$FB,75)</f>
        <v>2358</v>
      </c>
      <c r="F179" s="91">
        <f>VLOOKUP($A179,'Data Vlaue (Cr)'!$C:$FB,77)</f>
        <v>18</v>
      </c>
      <c r="G179" s="92">
        <f>VLOOKUP(A179,'Data Vlaue (Cr)'!C174:CB388,78,0)</f>
        <v>7.6E-3</v>
      </c>
      <c r="H179" s="91">
        <f>VLOOKUP($A179,'Data Vlaue (Cr)'!$C:$FB,91)</f>
        <v>951</v>
      </c>
      <c r="I179" s="91">
        <f>VLOOKUP($A179,'Data Vlaue (Cr)'!$C:$FB,93)</f>
        <v>74</v>
      </c>
      <c r="J179" s="92">
        <f>VLOOKUP($A179,'Data Vlaue (Cr)'!$C:$FB,94)</f>
        <v>8.4900000000000003E-2</v>
      </c>
      <c r="K179" s="91">
        <f>VLOOKUP($A179,'Data Vlaue (Cr)'!$C:$FB,95)</f>
        <v>564</v>
      </c>
      <c r="L179" s="91">
        <f>VLOOKUP($A179,'Data Vlaue (Cr)'!$C:$FB,97)</f>
        <v>22</v>
      </c>
      <c r="M179" s="92">
        <f>VLOOKUP($A179,'Data Vlaue (Cr)'!$C:$FB,98)</f>
        <v>4.0800000000000003E-2</v>
      </c>
      <c r="N179" s="91">
        <f>VLOOKUP($A179,'Data Vlaue (Cr)'!$C:$FB,79)</f>
        <v>2223</v>
      </c>
      <c r="O179" s="92">
        <f>VLOOKUP($A179,'Data Vlaue (Cr)'!$C:$FB,82)</f>
        <v>5.4999999999999997E-3</v>
      </c>
    </row>
    <row r="180" spans="1:15" x14ac:dyDescent="0.25">
      <c r="A180" s="97" t="str">
        <f>'Data Vlaue (Cr)'!C175</f>
        <v>RELIANCE</v>
      </c>
      <c r="B180" s="142">
        <f>VLOOKUP(A180,'Data Vlaue (Cr)'!C175:CW389,99,0)</f>
        <v>25973</v>
      </c>
      <c r="C180" s="90">
        <f>VLOOKUP(A180,'Data Vlaue (Cr)'!C175:CY389,101,0)</f>
        <v>202</v>
      </c>
      <c r="D180" s="139">
        <f>VLOOKUP(A180,'Data Vlaue (Cr)'!C175:CZ389,102,0)</f>
        <v>7.7999999999999996E-3</v>
      </c>
      <c r="E180" s="91">
        <f>VLOOKUP($A180,'Data Vlaue (Cr)'!$C:$FB,75)</f>
        <v>14500</v>
      </c>
      <c r="F180" s="91">
        <f>VLOOKUP($A180,'Data Vlaue (Cr)'!$C:$FB,77)</f>
        <v>-280</v>
      </c>
      <c r="G180" s="92">
        <f>VLOOKUP(A180,'Data Vlaue (Cr)'!C175:CB389,78,0)</f>
        <v>-1.9E-2</v>
      </c>
      <c r="H180" s="91">
        <f>VLOOKUP($A180,'Data Vlaue (Cr)'!$C:$FB,91)</f>
        <v>5981</v>
      </c>
      <c r="I180" s="91">
        <f>VLOOKUP($A180,'Data Vlaue (Cr)'!$C:$FB,93)</f>
        <v>52</v>
      </c>
      <c r="J180" s="92">
        <f>VLOOKUP($A180,'Data Vlaue (Cr)'!$C:$FB,94)</f>
        <v>8.8000000000000005E-3</v>
      </c>
      <c r="K180" s="91">
        <f>VLOOKUP($A180,'Data Vlaue (Cr)'!$C:$FB,95)</f>
        <v>5492</v>
      </c>
      <c r="L180" s="91">
        <f>VLOOKUP($A180,'Data Vlaue (Cr)'!$C:$FB,97)</f>
        <v>430</v>
      </c>
      <c r="M180" s="92">
        <f>VLOOKUP($A180,'Data Vlaue (Cr)'!$C:$FB,98)</f>
        <v>8.4900000000000003E-2</v>
      </c>
      <c r="N180" s="91">
        <f>VLOOKUP($A180,'Data Vlaue (Cr)'!$C:$FB,79)</f>
        <v>11696</v>
      </c>
      <c r="O180" s="92">
        <f>VLOOKUP($A180,'Data Vlaue (Cr)'!$C:$FB,82)</f>
        <v>-3.09E-2</v>
      </c>
    </row>
    <row r="181" spans="1:15" x14ac:dyDescent="0.25">
      <c r="A181" s="97" t="str">
        <f>'Data Vlaue (Cr)'!C176</f>
        <v>RVNL</v>
      </c>
      <c r="B181" s="142">
        <f>VLOOKUP(A181,'Data Vlaue (Cr)'!C176:CW390,99,0)</f>
        <v>2189</v>
      </c>
      <c r="C181" s="90">
        <f>VLOOKUP(A181,'Data Vlaue (Cr)'!C176:CY390,101,0)</f>
        <v>206</v>
      </c>
      <c r="D181" s="139">
        <f>VLOOKUP(A181,'Data Vlaue (Cr)'!C176:CZ390,102,0)</f>
        <v>0.10390000000000001</v>
      </c>
      <c r="E181" s="91">
        <f>VLOOKUP($A181,'Data Vlaue (Cr)'!$C:$FB,75)</f>
        <v>1582</v>
      </c>
      <c r="F181" s="91">
        <f>VLOOKUP($A181,'Data Vlaue (Cr)'!$C:$FB,77)</f>
        <v>129</v>
      </c>
      <c r="G181" s="92">
        <f>VLOOKUP(A181,'Data Vlaue (Cr)'!C176:CB390,78,0)</f>
        <v>8.9200000000000002E-2</v>
      </c>
      <c r="H181" s="91">
        <f>VLOOKUP($A181,'Data Vlaue (Cr)'!$C:$FB,91)</f>
        <v>377</v>
      </c>
      <c r="I181" s="91">
        <f>VLOOKUP($A181,'Data Vlaue (Cr)'!$C:$FB,93)</f>
        <v>62</v>
      </c>
      <c r="J181" s="92">
        <f>VLOOKUP($A181,'Data Vlaue (Cr)'!$C:$FB,94)</f>
        <v>0.1986</v>
      </c>
      <c r="K181" s="91">
        <f>VLOOKUP($A181,'Data Vlaue (Cr)'!$C:$FB,95)</f>
        <v>230</v>
      </c>
      <c r="L181" s="91">
        <f>VLOOKUP($A181,'Data Vlaue (Cr)'!$C:$FB,97)</f>
        <v>14</v>
      </c>
      <c r="M181" s="92">
        <f>VLOOKUP($A181,'Data Vlaue (Cr)'!$C:$FB,98)</f>
        <v>6.5000000000000002E-2</v>
      </c>
      <c r="N181" s="91">
        <f>VLOOKUP($A181,'Data Vlaue (Cr)'!$C:$FB,79)</f>
        <v>1408</v>
      </c>
      <c r="O181" s="92">
        <f>VLOOKUP($A181,'Data Vlaue (Cr)'!$C:$FB,82)</f>
        <v>6.6400000000000001E-2</v>
      </c>
    </row>
    <row r="182" spans="1:15" x14ac:dyDescent="0.25">
      <c r="A182" s="97" t="str">
        <f>'Data Vlaue (Cr)'!C177</f>
        <v>SAIL</v>
      </c>
      <c r="B182" s="142">
        <f>VLOOKUP(A182,'Data Vlaue (Cr)'!C177:CW391,99,0)</f>
        <v>3837</v>
      </c>
      <c r="C182" s="90">
        <f>VLOOKUP(A182,'Data Vlaue (Cr)'!C177:CY391,101,0)</f>
        <v>146</v>
      </c>
      <c r="D182" s="139">
        <f>VLOOKUP(A182,'Data Vlaue (Cr)'!C177:CZ391,102,0)</f>
        <v>3.9600000000000003E-2</v>
      </c>
      <c r="E182" s="91">
        <f>VLOOKUP($A182,'Data Vlaue (Cr)'!$C:$FB,75)</f>
        <v>3622</v>
      </c>
      <c r="F182" s="91">
        <f>VLOOKUP($A182,'Data Vlaue (Cr)'!$C:$FB,77)</f>
        <v>125</v>
      </c>
      <c r="G182" s="92">
        <f>VLOOKUP(A182,'Data Vlaue (Cr)'!C177:CB391,78,0)</f>
        <v>3.5700000000000003E-2</v>
      </c>
      <c r="H182" s="91">
        <f>VLOOKUP($A182,'Data Vlaue (Cr)'!$C:$FB,91)</f>
        <v>126</v>
      </c>
      <c r="I182" s="91">
        <f>VLOOKUP($A182,'Data Vlaue (Cr)'!$C:$FB,93)</f>
        <v>1</v>
      </c>
      <c r="J182" s="92">
        <f>VLOOKUP($A182,'Data Vlaue (Cr)'!$C:$FB,94)</f>
        <v>9.1999999999999998E-3</v>
      </c>
      <c r="K182" s="91">
        <f>VLOOKUP($A182,'Data Vlaue (Cr)'!$C:$FB,95)</f>
        <v>89</v>
      </c>
      <c r="L182" s="91">
        <f>VLOOKUP($A182,'Data Vlaue (Cr)'!$C:$FB,97)</f>
        <v>20</v>
      </c>
      <c r="M182" s="92">
        <f>VLOOKUP($A182,'Data Vlaue (Cr)'!$C:$FB,98)</f>
        <v>0.29210000000000003</v>
      </c>
      <c r="N182" s="91">
        <f>VLOOKUP($A182,'Data Vlaue (Cr)'!$C:$FB,79)</f>
        <v>3579</v>
      </c>
      <c r="O182" s="92">
        <f>VLOOKUP($A182,'Data Vlaue (Cr)'!$C:$FB,82)</f>
        <v>3.2199999999999999E-2</v>
      </c>
    </row>
    <row r="183" spans="1:15" x14ac:dyDescent="0.25">
      <c r="A183" s="97" t="str">
        <f>'Data Vlaue (Cr)'!C178</f>
        <v>SAMMAANCAP</v>
      </c>
      <c r="B183" s="142">
        <f>VLOOKUP(A183,'Data Vlaue (Cr)'!C178:CW392,99,0)</f>
        <v>2106</v>
      </c>
      <c r="C183" s="90">
        <f>VLOOKUP(A183,'Data Vlaue (Cr)'!C178:CY392,101,0)</f>
        <v>-22</v>
      </c>
      <c r="D183" s="139">
        <f>VLOOKUP(A183,'Data Vlaue (Cr)'!C178:CZ392,102,0)</f>
        <v>-1.04E-2</v>
      </c>
      <c r="E183" s="91">
        <f>VLOOKUP($A183,'Data Vlaue (Cr)'!$C:$FB,75)</f>
        <v>1602</v>
      </c>
      <c r="F183" s="91">
        <f>VLOOKUP($A183,'Data Vlaue (Cr)'!$C:$FB,77)</f>
        <v>-38</v>
      </c>
      <c r="G183" s="92">
        <f>VLOOKUP(A183,'Data Vlaue (Cr)'!C178:CB392,78,0)</f>
        <v>-2.3E-2</v>
      </c>
      <c r="H183" s="91">
        <f>VLOOKUP($A183,'Data Vlaue (Cr)'!$C:$FB,91)</f>
        <v>299</v>
      </c>
      <c r="I183" s="91">
        <f>VLOOKUP($A183,'Data Vlaue (Cr)'!$C:$FB,93)</f>
        <v>7</v>
      </c>
      <c r="J183" s="92">
        <f>VLOOKUP($A183,'Data Vlaue (Cr)'!$C:$FB,94)</f>
        <v>2.5100000000000001E-2</v>
      </c>
      <c r="K183" s="91">
        <f>VLOOKUP($A183,'Data Vlaue (Cr)'!$C:$FB,95)</f>
        <v>205</v>
      </c>
      <c r="L183" s="91">
        <f>VLOOKUP($A183,'Data Vlaue (Cr)'!$C:$FB,97)</f>
        <v>8</v>
      </c>
      <c r="M183" s="92">
        <f>VLOOKUP($A183,'Data Vlaue (Cr)'!$C:$FB,98)</f>
        <v>4.2099999999999999E-2</v>
      </c>
      <c r="N183" s="91">
        <f>VLOOKUP($A183,'Data Vlaue (Cr)'!$C:$FB,79)</f>
        <v>1531</v>
      </c>
      <c r="O183" s="92">
        <f>VLOOKUP($A183,'Data Vlaue (Cr)'!$C:$FB,82)</f>
        <v>-2.6800000000000001E-2</v>
      </c>
    </row>
    <row r="184" spans="1:15" x14ac:dyDescent="0.25">
      <c r="A184" s="97" t="str">
        <f>'Data Vlaue (Cr)'!C179</f>
        <v>SBICARD</v>
      </c>
      <c r="B184" s="142">
        <f>VLOOKUP(A184,'Data Vlaue (Cr)'!C179:CW393,99,0)</f>
        <v>2598</v>
      </c>
      <c r="C184" s="90">
        <f>VLOOKUP(A184,'Data Vlaue (Cr)'!C179:CY393,101,0)</f>
        <v>62</v>
      </c>
      <c r="D184" s="139">
        <f>VLOOKUP(A184,'Data Vlaue (Cr)'!C179:CZ393,102,0)</f>
        <v>2.4299999999999999E-2</v>
      </c>
      <c r="E184" s="91">
        <f>VLOOKUP($A184,'Data Vlaue (Cr)'!$C:$FB,75)</f>
        <v>1685</v>
      </c>
      <c r="F184" s="91">
        <f>VLOOKUP($A184,'Data Vlaue (Cr)'!$C:$FB,77)</f>
        <v>17</v>
      </c>
      <c r="G184" s="92">
        <f>VLOOKUP(A184,'Data Vlaue (Cr)'!C179:CB393,78,0)</f>
        <v>0.01</v>
      </c>
      <c r="H184" s="91">
        <f>VLOOKUP($A184,'Data Vlaue (Cr)'!$C:$FB,91)</f>
        <v>572</v>
      </c>
      <c r="I184" s="91">
        <f>VLOOKUP($A184,'Data Vlaue (Cr)'!$C:$FB,93)</f>
        <v>37</v>
      </c>
      <c r="J184" s="92">
        <f>VLOOKUP($A184,'Data Vlaue (Cr)'!$C:$FB,94)</f>
        <v>6.8699999999999997E-2</v>
      </c>
      <c r="K184" s="91">
        <f>VLOOKUP($A184,'Data Vlaue (Cr)'!$C:$FB,95)</f>
        <v>341</v>
      </c>
      <c r="L184" s="91">
        <f>VLOOKUP($A184,'Data Vlaue (Cr)'!$C:$FB,97)</f>
        <v>8</v>
      </c>
      <c r="M184" s="92">
        <f>VLOOKUP($A184,'Data Vlaue (Cr)'!$C:$FB,98)</f>
        <v>2.46E-2</v>
      </c>
      <c r="N184" s="91">
        <f>VLOOKUP($A184,'Data Vlaue (Cr)'!$C:$FB,79)</f>
        <v>1512</v>
      </c>
      <c r="O184" s="92">
        <f>VLOOKUP($A184,'Data Vlaue (Cr)'!$C:$FB,82)</f>
        <v>5.7999999999999996E-3</v>
      </c>
    </row>
    <row r="185" spans="1:15" x14ac:dyDescent="0.25">
      <c r="A185" s="97" t="str">
        <f>'Data Vlaue (Cr)'!C180</f>
        <v>SBILIFE</v>
      </c>
      <c r="B185" s="142">
        <f>VLOOKUP(A185,'Data Vlaue (Cr)'!C180:CW394,99,0)</f>
        <v>2810</v>
      </c>
      <c r="C185" s="90">
        <f>VLOOKUP(A185,'Data Vlaue (Cr)'!C180:CY394,101,0)</f>
        <v>105</v>
      </c>
      <c r="D185" s="139">
        <f>VLOOKUP(A185,'Data Vlaue (Cr)'!C180:CZ394,102,0)</f>
        <v>3.8800000000000001E-2</v>
      </c>
      <c r="E185" s="91">
        <f>VLOOKUP($A185,'Data Vlaue (Cr)'!$C:$FB,75)</f>
        <v>1913</v>
      </c>
      <c r="F185" s="91">
        <f>VLOOKUP($A185,'Data Vlaue (Cr)'!$C:$FB,77)</f>
        <v>-2</v>
      </c>
      <c r="G185" s="92">
        <f>VLOOKUP(A185,'Data Vlaue (Cr)'!C180:CB394,78,0)</f>
        <v>-1.1000000000000001E-3</v>
      </c>
      <c r="H185" s="91">
        <f>VLOOKUP($A185,'Data Vlaue (Cr)'!$C:$FB,91)</f>
        <v>571</v>
      </c>
      <c r="I185" s="91">
        <f>VLOOKUP($A185,'Data Vlaue (Cr)'!$C:$FB,93)</f>
        <v>103</v>
      </c>
      <c r="J185" s="92">
        <f>VLOOKUP($A185,'Data Vlaue (Cr)'!$C:$FB,94)</f>
        <v>0.22</v>
      </c>
      <c r="K185" s="91">
        <f>VLOOKUP($A185,'Data Vlaue (Cr)'!$C:$FB,95)</f>
        <v>327</v>
      </c>
      <c r="L185" s="91">
        <f>VLOOKUP($A185,'Data Vlaue (Cr)'!$C:$FB,97)</f>
        <v>4</v>
      </c>
      <c r="M185" s="92">
        <f>VLOOKUP($A185,'Data Vlaue (Cr)'!$C:$FB,98)</f>
        <v>1.2699999999999999E-2</v>
      </c>
      <c r="N185" s="91">
        <f>VLOOKUP($A185,'Data Vlaue (Cr)'!$C:$FB,79)</f>
        <v>1676</v>
      </c>
      <c r="O185" s="92">
        <f>VLOOKUP($A185,'Data Vlaue (Cr)'!$C:$FB,82)</f>
        <v>-5.4999999999999997E-3</v>
      </c>
    </row>
    <row r="186" spans="1:15" x14ac:dyDescent="0.25">
      <c r="A186" s="97" t="str">
        <f>'Data Vlaue (Cr)'!C181</f>
        <v>SBIN</v>
      </c>
      <c r="B186" s="142">
        <f>VLOOKUP(A186,'Data Vlaue (Cr)'!C181:CW395,99,0)</f>
        <v>15821</v>
      </c>
      <c r="C186" s="90">
        <f>VLOOKUP(A186,'Data Vlaue (Cr)'!C181:CY395,101,0)</f>
        <v>1145</v>
      </c>
      <c r="D186" s="139">
        <f>VLOOKUP(A186,'Data Vlaue (Cr)'!C181:CZ395,102,0)</f>
        <v>7.8E-2</v>
      </c>
      <c r="E186" s="91">
        <f>VLOOKUP($A186,'Data Vlaue (Cr)'!$C:$FB,75)</f>
        <v>9971</v>
      </c>
      <c r="F186" s="91">
        <f>VLOOKUP($A186,'Data Vlaue (Cr)'!$C:$FB,77)</f>
        <v>419</v>
      </c>
      <c r="G186" s="92">
        <f>VLOOKUP(A186,'Data Vlaue (Cr)'!C181:CB395,78,0)</f>
        <v>4.3900000000000002E-2</v>
      </c>
      <c r="H186" s="91">
        <f>VLOOKUP($A186,'Data Vlaue (Cr)'!$C:$FB,91)</f>
        <v>3390</v>
      </c>
      <c r="I186" s="91">
        <f>VLOOKUP($A186,'Data Vlaue (Cr)'!$C:$FB,93)</f>
        <v>469</v>
      </c>
      <c r="J186" s="92">
        <f>VLOOKUP($A186,'Data Vlaue (Cr)'!$C:$FB,94)</f>
        <v>0.1608</v>
      </c>
      <c r="K186" s="91">
        <f>VLOOKUP($A186,'Data Vlaue (Cr)'!$C:$FB,95)</f>
        <v>2460</v>
      </c>
      <c r="L186" s="91">
        <f>VLOOKUP($A186,'Data Vlaue (Cr)'!$C:$FB,97)</f>
        <v>256</v>
      </c>
      <c r="M186" s="92">
        <f>VLOOKUP($A186,'Data Vlaue (Cr)'!$C:$FB,98)</f>
        <v>0.1163</v>
      </c>
      <c r="N186" s="91">
        <f>VLOOKUP($A186,'Data Vlaue (Cr)'!$C:$FB,79)</f>
        <v>7796</v>
      </c>
      <c r="O186" s="92">
        <f>VLOOKUP($A186,'Data Vlaue (Cr)'!$C:$FB,82)</f>
        <v>4.4999999999999998E-2</v>
      </c>
    </row>
    <row r="187" spans="1:15" x14ac:dyDescent="0.25">
      <c r="A187" s="97" t="str">
        <f>'Data Vlaue (Cr)'!C182</f>
        <v>SHREECEM</v>
      </c>
      <c r="B187" s="142">
        <f>VLOOKUP(A187,'Data Vlaue (Cr)'!C182:CW396,99,0)</f>
        <v>1188</v>
      </c>
      <c r="C187" s="90">
        <f>VLOOKUP(A187,'Data Vlaue (Cr)'!C182:CY396,101,0)</f>
        <v>47</v>
      </c>
      <c r="D187" s="139">
        <f>VLOOKUP(A187,'Data Vlaue (Cr)'!C182:CZ396,102,0)</f>
        <v>4.1000000000000002E-2</v>
      </c>
      <c r="E187" s="91">
        <f>VLOOKUP($A187,'Data Vlaue (Cr)'!$C:$FB,75)</f>
        <v>997</v>
      </c>
      <c r="F187" s="91">
        <f>VLOOKUP($A187,'Data Vlaue (Cr)'!$C:$FB,77)</f>
        <v>27</v>
      </c>
      <c r="G187" s="92">
        <f>VLOOKUP(A187,'Data Vlaue (Cr)'!C182:CB396,78,0)</f>
        <v>2.7900000000000001E-2</v>
      </c>
      <c r="H187" s="91">
        <f>VLOOKUP($A187,'Data Vlaue (Cr)'!$C:$FB,91)</f>
        <v>101</v>
      </c>
      <c r="I187" s="91">
        <f>VLOOKUP($A187,'Data Vlaue (Cr)'!$C:$FB,93)</f>
        <v>9</v>
      </c>
      <c r="J187" s="92">
        <f>VLOOKUP($A187,'Data Vlaue (Cr)'!$C:$FB,94)</f>
        <v>9.6799999999999997E-2</v>
      </c>
      <c r="K187" s="91">
        <f>VLOOKUP($A187,'Data Vlaue (Cr)'!$C:$FB,95)</f>
        <v>90</v>
      </c>
      <c r="L187" s="91">
        <f>VLOOKUP($A187,'Data Vlaue (Cr)'!$C:$FB,97)</f>
        <v>11</v>
      </c>
      <c r="M187" s="92">
        <f>VLOOKUP($A187,'Data Vlaue (Cr)'!$C:$FB,98)</f>
        <v>0.13730000000000001</v>
      </c>
      <c r="N187" s="91">
        <f>VLOOKUP($A187,'Data Vlaue (Cr)'!$C:$FB,79)</f>
        <v>986</v>
      </c>
      <c r="O187" s="92">
        <f>VLOOKUP($A187,'Data Vlaue (Cr)'!$C:$FB,82)</f>
        <v>2.8400000000000002E-2</v>
      </c>
    </row>
    <row r="188" spans="1:15" x14ac:dyDescent="0.25">
      <c r="A188" s="97" t="str">
        <f>'Data Vlaue (Cr)'!C183</f>
        <v>SHRIRAMFIN</v>
      </c>
      <c r="B188" s="142">
        <f>VLOOKUP(A188,'Data Vlaue (Cr)'!C183:CW397,99,0)</f>
        <v>6920</v>
      </c>
      <c r="C188" s="90">
        <f>VLOOKUP(A188,'Data Vlaue (Cr)'!C183:CY397,101,0)</f>
        <v>120</v>
      </c>
      <c r="D188" s="139">
        <f>VLOOKUP(A188,'Data Vlaue (Cr)'!C183:CZ397,102,0)</f>
        <v>1.77E-2</v>
      </c>
      <c r="E188" s="91">
        <f>VLOOKUP($A188,'Data Vlaue (Cr)'!$C:$FB,75)</f>
        <v>4274</v>
      </c>
      <c r="F188" s="91">
        <f>VLOOKUP($A188,'Data Vlaue (Cr)'!$C:$FB,77)</f>
        <v>98</v>
      </c>
      <c r="G188" s="92">
        <f>VLOOKUP(A188,'Data Vlaue (Cr)'!C183:CB397,78,0)</f>
        <v>2.3400000000000001E-2</v>
      </c>
      <c r="H188" s="91">
        <f>VLOOKUP($A188,'Data Vlaue (Cr)'!$C:$FB,91)</f>
        <v>1802</v>
      </c>
      <c r="I188" s="91">
        <f>VLOOKUP($A188,'Data Vlaue (Cr)'!$C:$FB,93)</f>
        <v>28</v>
      </c>
      <c r="J188" s="92">
        <f>VLOOKUP($A188,'Data Vlaue (Cr)'!$C:$FB,94)</f>
        <v>1.55E-2</v>
      </c>
      <c r="K188" s="91">
        <f>VLOOKUP($A188,'Data Vlaue (Cr)'!$C:$FB,95)</f>
        <v>844</v>
      </c>
      <c r="L188" s="91">
        <f>VLOOKUP($A188,'Data Vlaue (Cr)'!$C:$FB,97)</f>
        <v>-5</v>
      </c>
      <c r="M188" s="92">
        <f>VLOOKUP($A188,'Data Vlaue (Cr)'!$C:$FB,98)</f>
        <v>-5.8999999999999999E-3</v>
      </c>
      <c r="N188" s="91">
        <f>VLOOKUP($A188,'Data Vlaue (Cr)'!$C:$FB,79)</f>
        <v>3716</v>
      </c>
      <c r="O188" s="92">
        <f>VLOOKUP($A188,'Data Vlaue (Cr)'!$C:$FB,82)</f>
        <v>2.3199999999999998E-2</v>
      </c>
    </row>
    <row r="189" spans="1:15" x14ac:dyDescent="0.25">
      <c r="A189" s="97" t="str">
        <f>'Data Vlaue (Cr)'!C184</f>
        <v>SIEMENS</v>
      </c>
      <c r="B189" s="142">
        <f>VLOOKUP(A189,'Data Vlaue (Cr)'!C184:CW398,99,0)</f>
        <v>1742</v>
      </c>
      <c r="C189" s="90">
        <f>VLOOKUP(A189,'Data Vlaue (Cr)'!C184:CY398,101,0)</f>
        <v>160</v>
      </c>
      <c r="D189" s="139">
        <f>VLOOKUP(A189,'Data Vlaue (Cr)'!C184:CZ398,102,0)</f>
        <v>0.1014</v>
      </c>
      <c r="E189" s="91">
        <f>VLOOKUP($A189,'Data Vlaue (Cr)'!$C:$FB,75)</f>
        <v>1168</v>
      </c>
      <c r="F189" s="91">
        <f>VLOOKUP($A189,'Data Vlaue (Cr)'!$C:$FB,77)</f>
        <v>45</v>
      </c>
      <c r="G189" s="92">
        <f>VLOOKUP(A189,'Data Vlaue (Cr)'!C184:CB398,78,0)</f>
        <v>4.0300000000000002E-2</v>
      </c>
      <c r="H189" s="91">
        <f>VLOOKUP($A189,'Data Vlaue (Cr)'!$C:$FB,91)</f>
        <v>367</v>
      </c>
      <c r="I189" s="91">
        <f>VLOOKUP($A189,'Data Vlaue (Cr)'!$C:$FB,93)</f>
        <v>82</v>
      </c>
      <c r="J189" s="92">
        <f>VLOOKUP($A189,'Data Vlaue (Cr)'!$C:$FB,94)</f>
        <v>0.29010000000000002</v>
      </c>
      <c r="K189" s="91">
        <f>VLOOKUP($A189,'Data Vlaue (Cr)'!$C:$FB,95)</f>
        <v>206</v>
      </c>
      <c r="L189" s="91">
        <f>VLOOKUP($A189,'Data Vlaue (Cr)'!$C:$FB,97)</f>
        <v>33</v>
      </c>
      <c r="M189" s="92">
        <f>VLOOKUP($A189,'Data Vlaue (Cr)'!$C:$FB,98)</f>
        <v>0.18770000000000001</v>
      </c>
      <c r="N189" s="91">
        <f>VLOOKUP($A189,'Data Vlaue (Cr)'!$C:$FB,79)</f>
        <v>1153</v>
      </c>
      <c r="O189" s="92">
        <f>VLOOKUP($A189,'Data Vlaue (Cr)'!$C:$FB,82)</f>
        <v>4.1700000000000001E-2</v>
      </c>
    </row>
    <row r="190" spans="1:15" x14ac:dyDescent="0.25">
      <c r="A190" s="97" t="str">
        <f>'Data Vlaue (Cr)'!C185</f>
        <v>SOLARINDS</v>
      </c>
      <c r="B190" s="142">
        <f>VLOOKUP(A190,'Data Vlaue (Cr)'!C185:CW399,99,0)</f>
        <v>1465</v>
      </c>
      <c r="C190" s="90">
        <f>VLOOKUP(A190,'Data Vlaue (Cr)'!C185:CY399,101,0)</f>
        <v>3</v>
      </c>
      <c r="D190" s="139">
        <f>VLOOKUP(A190,'Data Vlaue (Cr)'!C185:CZ399,102,0)</f>
        <v>2.0999999999999999E-3</v>
      </c>
      <c r="E190" s="91">
        <f>VLOOKUP($A190,'Data Vlaue (Cr)'!$C:$FB,75)</f>
        <v>1195</v>
      </c>
      <c r="F190" s="91">
        <f>VLOOKUP($A190,'Data Vlaue (Cr)'!$C:$FB,77)</f>
        <v>-5</v>
      </c>
      <c r="G190" s="92">
        <f>VLOOKUP(A190,'Data Vlaue (Cr)'!C185:CB399,78,0)</f>
        <v>-3.8E-3</v>
      </c>
      <c r="H190" s="91">
        <f>VLOOKUP($A190,'Data Vlaue (Cr)'!$C:$FB,91)</f>
        <v>160</v>
      </c>
      <c r="I190" s="91">
        <f>VLOOKUP($A190,'Data Vlaue (Cr)'!$C:$FB,93)</f>
        <v>8</v>
      </c>
      <c r="J190" s="92">
        <f>VLOOKUP($A190,'Data Vlaue (Cr)'!$C:$FB,94)</f>
        <v>5.21E-2</v>
      </c>
      <c r="K190" s="91">
        <f>VLOOKUP($A190,'Data Vlaue (Cr)'!$C:$FB,95)</f>
        <v>111</v>
      </c>
      <c r="L190" s="91">
        <f>VLOOKUP($A190,'Data Vlaue (Cr)'!$C:$FB,97)</f>
        <v>0</v>
      </c>
      <c r="M190" s="92">
        <f>VLOOKUP($A190,'Data Vlaue (Cr)'!$C:$FB,98)</f>
        <v>-2.0999999999999999E-3</v>
      </c>
      <c r="N190" s="91">
        <f>VLOOKUP($A190,'Data Vlaue (Cr)'!$C:$FB,79)</f>
        <v>1111</v>
      </c>
      <c r="O190" s="92">
        <f>VLOOKUP($A190,'Data Vlaue (Cr)'!$C:$FB,82)</f>
        <v>-5.7999999999999996E-3</v>
      </c>
    </row>
    <row r="191" spans="1:15" x14ac:dyDescent="0.25">
      <c r="A191" s="97" t="str">
        <f>'Data Vlaue (Cr)'!C186</f>
        <v>SONACOMS</v>
      </c>
      <c r="B191" s="142">
        <f>VLOOKUP(A191,'Data Vlaue (Cr)'!C186:CW400,99,0)</f>
        <v>1341</v>
      </c>
      <c r="C191" s="90">
        <f>VLOOKUP(A191,'Data Vlaue (Cr)'!C186:CY400,101,0)</f>
        <v>213</v>
      </c>
      <c r="D191" s="139">
        <f>VLOOKUP(A191,'Data Vlaue (Cr)'!C186:CZ400,102,0)</f>
        <v>0.1893</v>
      </c>
      <c r="E191" s="91">
        <f>VLOOKUP($A191,'Data Vlaue (Cr)'!$C:$FB,75)</f>
        <v>936</v>
      </c>
      <c r="F191" s="91">
        <f>VLOOKUP($A191,'Data Vlaue (Cr)'!$C:$FB,77)</f>
        <v>89</v>
      </c>
      <c r="G191" s="92">
        <f>VLOOKUP(A191,'Data Vlaue (Cr)'!C186:CB400,78,0)</f>
        <v>0.1051</v>
      </c>
      <c r="H191" s="91">
        <f>VLOOKUP($A191,'Data Vlaue (Cr)'!$C:$FB,91)</f>
        <v>258</v>
      </c>
      <c r="I191" s="91">
        <f>VLOOKUP($A191,'Data Vlaue (Cr)'!$C:$FB,93)</f>
        <v>99</v>
      </c>
      <c r="J191" s="92">
        <f>VLOOKUP($A191,'Data Vlaue (Cr)'!$C:$FB,94)</f>
        <v>0.62139999999999995</v>
      </c>
      <c r="K191" s="91">
        <f>VLOOKUP($A191,'Data Vlaue (Cr)'!$C:$FB,95)</f>
        <v>147</v>
      </c>
      <c r="L191" s="91">
        <f>VLOOKUP($A191,'Data Vlaue (Cr)'!$C:$FB,97)</f>
        <v>25</v>
      </c>
      <c r="M191" s="92">
        <f>VLOOKUP($A191,'Data Vlaue (Cr)'!$C:$FB,98)</f>
        <v>0.20949999999999999</v>
      </c>
      <c r="N191" s="91">
        <f>VLOOKUP($A191,'Data Vlaue (Cr)'!$C:$FB,79)</f>
        <v>925</v>
      </c>
      <c r="O191" s="92">
        <f>VLOOKUP($A191,'Data Vlaue (Cr)'!$C:$FB,82)</f>
        <v>0.10290000000000001</v>
      </c>
    </row>
    <row r="192" spans="1:15" x14ac:dyDescent="0.25">
      <c r="A192" s="97" t="str">
        <f>'Data Vlaue (Cr)'!C187</f>
        <v>SRF</v>
      </c>
      <c r="B192" s="142">
        <f>VLOOKUP(A192,'Data Vlaue (Cr)'!C187:CW401,99,0)</f>
        <v>1402</v>
      </c>
      <c r="C192" s="90">
        <f>VLOOKUP(A192,'Data Vlaue (Cr)'!C187:CY401,101,0)</f>
        <v>56</v>
      </c>
      <c r="D192" s="139">
        <f>VLOOKUP(A192,'Data Vlaue (Cr)'!C187:CZ401,102,0)</f>
        <v>4.1700000000000001E-2</v>
      </c>
      <c r="E192" s="91">
        <f>VLOOKUP($A192,'Data Vlaue (Cr)'!$C:$FB,75)</f>
        <v>902</v>
      </c>
      <c r="F192" s="91">
        <f>VLOOKUP($A192,'Data Vlaue (Cr)'!$C:$FB,77)</f>
        <v>7</v>
      </c>
      <c r="G192" s="92">
        <f>VLOOKUP(A192,'Data Vlaue (Cr)'!C187:CB401,78,0)</f>
        <v>8.0999999999999996E-3</v>
      </c>
      <c r="H192" s="91">
        <f>VLOOKUP($A192,'Data Vlaue (Cr)'!$C:$FB,91)</f>
        <v>273</v>
      </c>
      <c r="I192" s="91">
        <f>VLOOKUP($A192,'Data Vlaue (Cr)'!$C:$FB,93)</f>
        <v>36</v>
      </c>
      <c r="J192" s="92">
        <f>VLOOKUP($A192,'Data Vlaue (Cr)'!$C:$FB,94)</f>
        <v>0.153</v>
      </c>
      <c r="K192" s="91">
        <f>VLOOKUP($A192,'Data Vlaue (Cr)'!$C:$FB,95)</f>
        <v>227</v>
      </c>
      <c r="L192" s="91">
        <f>VLOOKUP($A192,'Data Vlaue (Cr)'!$C:$FB,97)</f>
        <v>13</v>
      </c>
      <c r="M192" s="92">
        <f>VLOOKUP($A192,'Data Vlaue (Cr)'!$C:$FB,98)</f>
        <v>5.96E-2</v>
      </c>
      <c r="N192" s="91">
        <f>VLOOKUP($A192,'Data Vlaue (Cr)'!$C:$FB,79)</f>
        <v>888</v>
      </c>
      <c r="O192" s="92">
        <f>VLOOKUP($A192,'Data Vlaue (Cr)'!$C:$FB,82)</f>
        <v>8.0999999999999996E-3</v>
      </c>
    </row>
    <row r="193" spans="1:15" x14ac:dyDescent="0.25">
      <c r="A193" s="97" t="str">
        <f>'Data Vlaue (Cr)'!C188</f>
        <v>SUNPHARMA</v>
      </c>
      <c r="B193" s="142">
        <f>VLOOKUP(A193,'Data Vlaue (Cr)'!C188:CW402,99,0)</f>
        <v>8152</v>
      </c>
      <c r="C193" s="90">
        <f>VLOOKUP(A193,'Data Vlaue (Cr)'!C188:CY402,101,0)</f>
        <v>392</v>
      </c>
      <c r="D193" s="139">
        <f>VLOOKUP(A193,'Data Vlaue (Cr)'!C188:CZ402,102,0)</f>
        <v>5.0599999999999999E-2</v>
      </c>
      <c r="E193" s="91">
        <f>VLOOKUP($A193,'Data Vlaue (Cr)'!$C:$FB,75)</f>
        <v>5192</v>
      </c>
      <c r="F193" s="91">
        <f>VLOOKUP($A193,'Data Vlaue (Cr)'!$C:$FB,77)</f>
        <v>19</v>
      </c>
      <c r="G193" s="92">
        <f>VLOOKUP(A193,'Data Vlaue (Cr)'!C188:CB402,78,0)</f>
        <v>3.5999999999999999E-3</v>
      </c>
      <c r="H193" s="91">
        <f>VLOOKUP($A193,'Data Vlaue (Cr)'!$C:$FB,91)</f>
        <v>1723</v>
      </c>
      <c r="I193" s="91">
        <f>VLOOKUP($A193,'Data Vlaue (Cr)'!$C:$FB,93)</f>
        <v>250</v>
      </c>
      <c r="J193" s="92">
        <f>VLOOKUP($A193,'Data Vlaue (Cr)'!$C:$FB,94)</f>
        <v>0.17</v>
      </c>
      <c r="K193" s="91">
        <f>VLOOKUP($A193,'Data Vlaue (Cr)'!$C:$FB,95)</f>
        <v>1236</v>
      </c>
      <c r="L193" s="91">
        <f>VLOOKUP($A193,'Data Vlaue (Cr)'!$C:$FB,97)</f>
        <v>123</v>
      </c>
      <c r="M193" s="92">
        <f>VLOOKUP($A193,'Data Vlaue (Cr)'!$C:$FB,98)</f>
        <v>0.111</v>
      </c>
      <c r="N193" s="91">
        <f>VLOOKUP($A193,'Data Vlaue (Cr)'!$C:$FB,79)</f>
        <v>4528</v>
      </c>
      <c r="O193" s="92">
        <f>VLOOKUP($A193,'Data Vlaue (Cr)'!$C:$FB,82)</f>
        <v>-4.0000000000000002E-4</v>
      </c>
    </row>
    <row r="194" spans="1:15" x14ac:dyDescent="0.25">
      <c r="A194" s="97" t="str">
        <f>'Data Vlaue (Cr)'!C189</f>
        <v>SUPREMEIND</v>
      </c>
      <c r="B194" s="142">
        <f>VLOOKUP(A194,'Data Vlaue (Cr)'!C189:CW403,99,0)</f>
        <v>1299</v>
      </c>
      <c r="C194" s="90">
        <f>VLOOKUP(A194,'Data Vlaue (Cr)'!C189:CY403,101,0)</f>
        <v>59</v>
      </c>
      <c r="D194" s="139">
        <f>VLOOKUP(A194,'Data Vlaue (Cr)'!C189:CZ403,102,0)</f>
        <v>4.8000000000000001E-2</v>
      </c>
      <c r="E194" s="91">
        <f>VLOOKUP($A194,'Data Vlaue (Cr)'!$C:$FB,75)</f>
        <v>797</v>
      </c>
      <c r="F194" s="91">
        <f>VLOOKUP($A194,'Data Vlaue (Cr)'!$C:$FB,77)</f>
        <v>-8</v>
      </c>
      <c r="G194" s="92">
        <f>VLOOKUP(A194,'Data Vlaue (Cr)'!C189:CB403,78,0)</f>
        <v>-9.7999999999999997E-3</v>
      </c>
      <c r="H194" s="91">
        <f>VLOOKUP($A194,'Data Vlaue (Cr)'!$C:$FB,91)</f>
        <v>346</v>
      </c>
      <c r="I194" s="91">
        <f>VLOOKUP($A194,'Data Vlaue (Cr)'!$C:$FB,93)</f>
        <v>49</v>
      </c>
      <c r="J194" s="92">
        <f>VLOOKUP($A194,'Data Vlaue (Cr)'!$C:$FB,94)</f>
        <v>0.16470000000000001</v>
      </c>
      <c r="K194" s="91">
        <f>VLOOKUP($A194,'Data Vlaue (Cr)'!$C:$FB,95)</f>
        <v>156</v>
      </c>
      <c r="L194" s="91">
        <f>VLOOKUP($A194,'Data Vlaue (Cr)'!$C:$FB,97)</f>
        <v>18</v>
      </c>
      <c r="M194" s="92">
        <f>VLOOKUP($A194,'Data Vlaue (Cr)'!$C:$FB,98)</f>
        <v>0.13439999999999999</v>
      </c>
      <c r="N194" s="91">
        <f>VLOOKUP($A194,'Data Vlaue (Cr)'!$C:$FB,79)</f>
        <v>785</v>
      </c>
      <c r="O194" s="92">
        <f>VLOOKUP($A194,'Data Vlaue (Cr)'!$C:$FB,82)</f>
        <v>-1.04E-2</v>
      </c>
    </row>
    <row r="195" spans="1:15" x14ac:dyDescent="0.25">
      <c r="A195" s="97" t="str">
        <f>'Data Vlaue (Cr)'!C190</f>
        <v>SUZLON</v>
      </c>
      <c r="B195" s="142">
        <f>VLOOKUP(A195,'Data Vlaue (Cr)'!C190:CW404,99,0)</f>
        <v>2673</v>
      </c>
      <c r="C195" s="90">
        <f>VLOOKUP(A195,'Data Vlaue (Cr)'!C190:CY404,101,0)</f>
        <v>169</v>
      </c>
      <c r="D195" s="139">
        <f>VLOOKUP(A195,'Data Vlaue (Cr)'!C190:CZ404,102,0)</f>
        <v>6.7599999999999993E-2</v>
      </c>
      <c r="E195" s="91">
        <f>VLOOKUP($A195,'Data Vlaue (Cr)'!$C:$FB,75)</f>
        <v>1592</v>
      </c>
      <c r="F195" s="91">
        <f>VLOOKUP($A195,'Data Vlaue (Cr)'!$C:$FB,77)</f>
        <v>51</v>
      </c>
      <c r="G195" s="92">
        <f>VLOOKUP(A195,'Data Vlaue (Cr)'!C190:CB404,78,0)</f>
        <v>3.3000000000000002E-2</v>
      </c>
      <c r="H195" s="91">
        <f>VLOOKUP($A195,'Data Vlaue (Cr)'!$C:$FB,91)</f>
        <v>758</v>
      </c>
      <c r="I195" s="91">
        <f>VLOOKUP($A195,'Data Vlaue (Cr)'!$C:$FB,93)</f>
        <v>95</v>
      </c>
      <c r="J195" s="92">
        <f>VLOOKUP($A195,'Data Vlaue (Cr)'!$C:$FB,94)</f>
        <v>0.14280000000000001</v>
      </c>
      <c r="K195" s="91">
        <f>VLOOKUP($A195,'Data Vlaue (Cr)'!$C:$FB,95)</f>
        <v>323</v>
      </c>
      <c r="L195" s="91">
        <f>VLOOKUP($A195,'Data Vlaue (Cr)'!$C:$FB,97)</f>
        <v>24</v>
      </c>
      <c r="M195" s="92">
        <f>VLOOKUP($A195,'Data Vlaue (Cr)'!$C:$FB,98)</f>
        <v>7.9200000000000007E-2</v>
      </c>
      <c r="N195" s="91">
        <f>VLOOKUP($A195,'Data Vlaue (Cr)'!$C:$FB,79)</f>
        <v>1446</v>
      </c>
      <c r="O195" s="92">
        <f>VLOOKUP($A195,'Data Vlaue (Cr)'!$C:$FB,82)</f>
        <v>3.1600000000000003E-2</v>
      </c>
    </row>
    <row r="196" spans="1:15" x14ac:dyDescent="0.25">
      <c r="A196" s="97" t="str">
        <f>'Data Vlaue (Cr)'!C191</f>
        <v>SWIGGY</v>
      </c>
      <c r="B196" s="142">
        <f>VLOOKUP(A196,'Data Vlaue (Cr)'!C191:CW405,99,0)</f>
        <v>1590</v>
      </c>
      <c r="C196" s="90">
        <f>VLOOKUP(A196,'Data Vlaue (Cr)'!C191:CY405,101,0)</f>
        <v>70</v>
      </c>
      <c r="D196" s="139">
        <f>VLOOKUP(A196,'Data Vlaue (Cr)'!C191:CZ405,102,0)</f>
        <v>4.58E-2</v>
      </c>
      <c r="E196" s="91">
        <f>VLOOKUP($A196,'Data Vlaue (Cr)'!$C:$FB,75)</f>
        <v>1162</v>
      </c>
      <c r="F196" s="91">
        <f>VLOOKUP($A196,'Data Vlaue (Cr)'!$C:$FB,77)</f>
        <v>5</v>
      </c>
      <c r="G196" s="92">
        <f>VLOOKUP(A196,'Data Vlaue (Cr)'!C191:CB405,78,0)</f>
        <v>4.5999999999999999E-3</v>
      </c>
      <c r="H196" s="91">
        <f>VLOOKUP($A196,'Data Vlaue (Cr)'!$C:$FB,91)</f>
        <v>260</v>
      </c>
      <c r="I196" s="91">
        <f>VLOOKUP($A196,'Data Vlaue (Cr)'!$C:$FB,93)</f>
        <v>45</v>
      </c>
      <c r="J196" s="92">
        <f>VLOOKUP($A196,'Data Vlaue (Cr)'!$C:$FB,94)</f>
        <v>0.21229999999999999</v>
      </c>
      <c r="K196" s="91">
        <f>VLOOKUP($A196,'Data Vlaue (Cr)'!$C:$FB,95)</f>
        <v>168</v>
      </c>
      <c r="L196" s="91">
        <f>VLOOKUP($A196,'Data Vlaue (Cr)'!$C:$FB,97)</f>
        <v>19</v>
      </c>
      <c r="M196" s="92">
        <f>VLOOKUP($A196,'Data Vlaue (Cr)'!$C:$FB,98)</f>
        <v>0.1265</v>
      </c>
      <c r="N196" s="91">
        <f>VLOOKUP($A196,'Data Vlaue (Cr)'!$C:$FB,79)</f>
        <v>1129</v>
      </c>
      <c r="O196" s="92">
        <f>VLOOKUP($A196,'Data Vlaue (Cr)'!$C:$FB,82)</f>
        <v>2E-3</v>
      </c>
    </row>
    <row r="197" spans="1:15" x14ac:dyDescent="0.25">
      <c r="A197" s="97" t="str">
        <f>'Data Vlaue (Cr)'!C192</f>
        <v>TATACONSUM</v>
      </c>
      <c r="B197" s="142">
        <f>VLOOKUP(A197,'Data Vlaue (Cr)'!C192:CW406,99,0)</f>
        <v>1514</v>
      </c>
      <c r="C197" s="90">
        <f>VLOOKUP(A197,'Data Vlaue (Cr)'!C192:CY406,101,0)</f>
        <v>62</v>
      </c>
      <c r="D197" s="139">
        <f>VLOOKUP(A197,'Data Vlaue (Cr)'!C192:CZ406,102,0)</f>
        <v>4.2799999999999998E-2</v>
      </c>
      <c r="E197" s="91">
        <f>VLOOKUP($A197,'Data Vlaue (Cr)'!$C:$FB,75)</f>
        <v>1079</v>
      </c>
      <c r="F197" s="91">
        <f>VLOOKUP($A197,'Data Vlaue (Cr)'!$C:$FB,77)</f>
        <v>0</v>
      </c>
      <c r="G197" s="92">
        <f>VLOOKUP(A197,'Data Vlaue (Cr)'!C192:CB406,78,0)</f>
        <v>2.0000000000000001E-4</v>
      </c>
      <c r="H197" s="91">
        <f>VLOOKUP($A197,'Data Vlaue (Cr)'!$C:$FB,91)</f>
        <v>278</v>
      </c>
      <c r="I197" s="91">
        <f>VLOOKUP($A197,'Data Vlaue (Cr)'!$C:$FB,93)</f>
        <v>47</v>
      </c>
      <c r="J197" s="92">
        <f>VLOOKUP($A197,'Data Vlaue (Cr)'!$C:$FB,94)</f>
        <v>0.20480000000000001</v>
      </c>
      <c r="K197" s="91">
        <f>VLOOKUP($A197,'Data Vlaue (Cr)'!$C:$FB,95)</f>
        <v>157</v>
      </c>
      <c r="L197" s="91">
        <f>VLOOKUP($A197,'Data Vlaue (Cr)'!$C:$FB,97)</f>
        <v>15</v>
      </c>
      <c r="M197" s="92">
        <f>VLOOKUP($A197,'Data Vlaue (Cr)'!$C:$FB,98)</f>
        <v>0.10299999999999999</v>
      </c>
      <c r="N197" s="91">
        <f>VLOOKUP($A197,'Data Vlaue (Cr)'!$C:$FB,79)</f>
        <v>966</v>
      </c>
      <c r="O197" s="92">
        <f>VLOOKUP($A197,'Data Vlaue (Cr)'!$C:$FB,82)</f>
        <v>-4.4999999999999997E-3</v>
      </c>
    </row>
    <row r="198" spans="1:15" x14ac:dyDescent="0.25">
      <c r="A198" s="97" t="str">
        <f>'Data Vlaue (Cr)'!C193</f>
        <v>TATAELXSI</v>
      </c>
      <c r="B198" s="142">
        <f>VLOOKUP(A198,'Data Vlaue (Cr)'!C193:CW407,99,0)</f>
        <v>1828</v>
      </c>
      <c r="C198" s="90">
        <f>VLOOKUP(A198,'Data Vlaue (Cr)'!C193:CY407,101,0)</f>
        <v>101</v>
      </c>
      <c r="D198" s="139">
        <f>VLOOKUP(A198,'Data Vlaue (Cr)'!C193:CZ407,102,0)</f>
        <v>5.8700000000000002E-2</v>
      </c>
      <c r="E198" s="91">
        <f>VLOOKUP($A198,'Data Vlaue (Cr)'!$C:$FB,75)</f>
        <v>1012</v>
      </c>
      <c r="F198" s="91">
        <f>VLOOKUP($A198,'Data Vlaue (Cr)'!$C:$FB,77)</f>
        <v>18</v>
      </c>
      <c r="G198" s="92">
        <f>VLOOKUP(A198,'Data Vlaue (Cr)'!C193:CB407,78,0)</f>
        <v>1.8200000000000001E-2</v>
      </c>
      <c r="H198" s="91">
        <f>VLOOKUP($A198,'Data Vlaue (Cr)'!$C:$FB,91)</f>
        <v>565</v>
      </c>
      <c r="I198" s="91">
        <f>VLOOKUP($A198,'Data Vlaue (Cr)'!$C:$FB,93)</f>
        <v>61</v>
      </c>
      <c r="J198" s="92">
        <f>VLOOKUP($A198,'Data Vlaue (Cr)'!$C:$FB,94)</f>
        <v>0.1206</v>
      </c>
      <c r="K198" s="91">
        <f>VLOOKUP($A198,'Data Vlaue (Cr)'!$C:$FB,95)</f>
        <v>252</v>
      </c>
      <c r="L198" s="91">
        <f>VLOOKUP($A198,'Data Vlaue (Cr)'!$C:$FB,97)</f>
        <v>22</v>
      </c>
      <c r="M198" s="92">
        <f>VLOOKUP($A198,'Data Vlaue (Cr)'!$C:$FB,98)</f>
        <v>9.8000000000000004E-2</v>
      </c>
      <c r="N198" s="91">
        <f>VLOOKUP($A198,'Data Vlaue (Cr)'!$C:$FB,79)</f>
        <v>930</v>
      </c>
      <c r="O198" s="92">
        <f>VLOOKUP($A198,'Data Vlaue (Cr)'!$C:$FB,82)</f>
        <v>1.35E-2</v>
      </c>
    </row>
    <row r="199" spans="1:15" x14ac:dyDescent="0.25">
      <c r="A199" s="97" t="str">
        <f>'Data Vlaue (Cr)'!C194</f>
        <v>TATAPOWER</v>
      </c>
      <c r="B199" s="142">
        <f>VLOOKUP(A199,'Data Vlaue (Cr)'!C194:CW408,99,0)</f>
        <v>3925</v>
      </c>
      <c r="C199" s="90">
        <f>VLOOKUP(A199,'Data Vlaue (Cr)'!C194:CY408,101,0)</f>
        <v>217</v>
      </c>
      <c r="D199" s="139">
        <f>VLOOKUP(A199,'Data Vlaue (Cr)'!C194:CZ408,102,0)</f>
        <v>5.8400000000000001E-2</v>
      </c>
      <c r="E199" s="91">
        <f>VLOOKUP($A199,'Data Vlaue (Cr)'!$C:$FB,75)</f>
        <v>2238</v>
      </c>
      <c r="F199" s="91">
        <f>VLOOKUP($A199,'Data Vlaue (Cr)'!$C:$FB,77)</f>
        <v>45</v>
      </c>
      <c r="G199" s="92">
        <f>VLOOKUP(A199,'Data Vlaue (Cr)'!C194:CB408,78,0)</f>
        <v>2.0400000000000001E-2</v>
      </c>
      <c r="H199" s="91">
        <f>VLOOKUP($A199,'Data Vlaue (Cr)'!$C:$FB,91)</f>
        <v>1028</v>
      </c>
      <c r="I199" s="91">
        <f>VLOOKUP($A199,'Data Vlaue (Cr)'!$C:$FB,93)</f>
        <v>136</v>
      </c>
      <c r="J199" s="92">
        <f>VLOOKUP($A199,'Data Vlaue (Cr)'!$C:$FB,94)</f>
        <v>0.15210000000000001</v>
      </c>
      <c r="K199" s="91">
        <f>VLOOKUP($A199,'Data Vlaue (Cr)'!$C:$FB,95)</f>
        <v>659</v>
      </c>
      <c r="L199" s="91">
        <f>VLOOKUP($A199,'Data Vlaue (Cr)'!$C:$FB,97)</f>
        <v>36</v>
      </c>
      <c r="M199" s="92">
        <f>VLOOKUP($A199,'Data Vlaue (Cr)'!$C:$FB,98)</f>
        <v>5.8200000000000002E-2</v>
      </c>
      <c r="N199" s="91">
        <f>VLOOKUP($A199,'Data Vlaue (Cr)'!$C:$FB,79)</f>
        <v>2176</v>
      </c>
      <c r="O199" s="92">
        <f>VLOOKUP($A199,'Data Vlaue (Cr)'!$C:$FB,82)</f>
        <v>1.72E-2</v>
      </c>
    </row>
    <row r="200" spans="1:15" x14ac:dyDescent="0.25">
      <c r="A200" s="97" t="str">
        <f>'Data Vlaue (Cr)'!C195</f>
        <v>TATASTEEL</v>
      </c>
      <c r="B200" s="142">
        <f>VLOOKUP(A200,'Data Vlaue (Cr)'!C195:CW409,99,0)</f>
        <v>6778</v>
      </c>
      <c r="C200" s="90">
        <f>VLOOKUP(A200,'Data Vlaue (Cr)'!C195:CY409,101,0)</f>
        <v>152</v>
      </c>
      <c r="D200" s="139">
        <f>VLOOKUP(A200,'Data Vlaue (Cr)'!C195:CZ409,102,0)</f>
        <v>2.29E-2</v>
      </c>
      <c r="E200" s="91">
        <f>VLOOKUP($A200,'Data Vlaue (Cr)'!$C:$FB,75)</f>
        <v>3950</v>
      </c>
      <c r="F200" s="91">
        <f>VLOOKUP($A200,'Data Vlaue (Cr)'!$C:$FB,77)</f>
        <v>3</v>
      </c>
      <c r="G200" s="92">
        <f>VLOOKUP(A200,'Data Vlaue (Cr)'!C195:CB409,78,0)</f>
        <v>5.9999999999999995E-4</v>
      </c>
      <c r="H200" s="91">
        <f>VLOOKUP($A200,'Data Vlaue (Cr)'!$C:$FB,91)</f>
        <v>1709</v>
      </c>
      <c r="I200" s="91">
        <f>VLOOKUP($A200,'Data Vlaue (Cr)'!$C:$FB,93)</f>
        <v>48</v>
      </c>
      <c r="J200" s="92">
        <f>VLOOKUP($A200,'Data Vlaue (Cr)'!$C:$FB,94)</f>
        <v>2.8899999999999999E-2</v>
      </c>
      <c r="K200" s="91">
        <f>VLOOKUP($A200,'Data Vlaue (Cr)'!$C:$FB,95)</f>
        <v>1119</v>
      </c>
      <c r="L200" s="91">
        <f>VLOOKUP($A200,'Data Vlaue (Cr)'!$C:$FB,97)</f>
        <v>101</v>
      </c>
      <c r="M200" s="92">
        <f>VLOOKUP($A200,'Data Vlaue (Cr)'!$C:$FB,98)</f>
        <v>9.9199999999999997E-2</v>
      </c>
      <c r="N200" s="91">
        <f>VLOOKUP($A200,'Data Vlaue (Cr)'!$C:$FB,79)</f>
        <v>3661</v>
      </c>
      <c r="O200" s="92">
        <f>VLOOKUP($A200,'Data Vlaue (Cr)'!$C:$FB,82)</f>
        <v>-1.1999999999999999E-3</v>
      </c>
    </row>
    <row r="201" spans="1:15" x14ac:dyDescent="0.25">
      <c r="A201" s="97" t="str">
        <f>'Data Vlaue (Cr)'!C196</f>
        <v>TCS</v>
      </c>
      <c r="B201" s="142">
        <f>VLOOKUP(A201,'Data Vlaue (Cr)'!C196:CW410,99,0)</f>
        <v>13976</v>
      </c>
      <c r="C201" s="90">
        <f>VLOOKUP(A201,'Data Vlaue (Cr)'!C196:CY410,101,0)</f>
        <v>446</v>
      </c>
      <c r="D201" s="139">
        <f>VLOOKUP(A201,'Data Vlaue (Cr)'!C196:CZ410,102,0)</f>
        <v>3.2899999999999999E-2</v>
      </c>
      <c r="E201" s="91">
        <f>VLOOKUP($A201,'Data Vlaue (Cr)'!$C:$FB,75)</f>
        <v>9137</v>
      </c>
      <c r="F201" s="91">
        <f>VLOOKUP($A201,'Data Vlaue (Cr)'!$C:$FB,77)</f>
        <v>63</v>
      </c>
      <c r="G201" s="92">
        <f>VLOOKUP(A201,'Data Vlaue (Cr)'!C196:CB410,78,0)</f>
        <v>6.8999999999999999E-3</v>
      </c>
      <c r="H201" s="91">
        <f>VLOOKUP($A201,'Data Vlaue (Cr)'!$C:$FB,91)</f>
        <v>2789</v>
      </c>
      <c r="I201" s="91">
        <f>VLOOKUP($A201,'Data Vlaue (Cr)'!$C:$FB,93)</f>
        <v>324</v>
      </c>
      <c r="J201" s="92">
        <f>VLOOKUP($A201,'Data Vlaue (Cr)'!$C:$FB,94)</f>
        <v>0.1313</v>
      </c>
      <c r="K201" s="91">
        <f>VLOOKUP($A201,'Data Vlaue (Cr)'!$C:$FB,95)</f>
        <v>2050</v>
      </c>
      <c r="L201" s="91">
        <f>VLOOKUP($A201,'Data Vlaue (Cr)'!$C:$FB,97)</f>
        <v>59</v>
      </c>
      <c r="M201" s="92">
        <f>VLOOKUP($A201,'Data Vlaue (Cr)'!$C:$FB,98)</f>
        <v>2.98E-2</v>
      </c>
      <c r="N201" s="91">
        <f>VLOOKUP($A201,'Data Vlaue (Cr)'!$C:$FB,79)</f>
        <v>8479</v>
      </c>
      <c r="O201" s="92">
        <f>VLOOKUP($A201,'Data Vlaue (Cr)'!$C:$FB,82)</f>
        <v>4.0000000000000002E-4</v>
      </c>
    </row>
    <row r="202" spans="1:15" x14ac:dyDescent="0.25">
      <c r="A202" s="97" t="str">
        <f>'Data Vlaue (Cr)'!C197</f>
        <v>TECHM</v>
      </c>
      <c r="B202" s="142">
        <f>VLOOKUP(A202,'Data Vlaue (Cr)'!C197:CW411,99,0)</f>
        <v>4488</v>
      </c>
      <c r="C202" s="90">
        <f>VLOOKUP(A202,'Data Vlaue (Cr)'!C197:CY411,101,0)</f>
        <v>142</v>
      </c>
      <c r="D202" s="139">
        <f>VLOOKUP(A202,'Data Vlaue (Cr)'!C197:CZ411,102,0)</f>
        <v>3.27E-2</v>
      </c>
      <c r="E202" s="91">
        <f>VLOOKUP($A202,'Data Vlaue (Cr)'!$C:$FB,75)</f>
        <v>2868</v>
      </c>
      <c r="F202" s="91">
        <f>VLOOKUP($A202,'Data Vlaue (Cr)'!$C:$FB,77)</f>
        <v>51</v>
      </c>
      <c r="G202" s="92">
        <f>VLOOKUP(A202,'Data Vlaue (Cr)'!C197:CB411,78,0)</f>
        <v>1.83E-2</v>
      </c>
      <c r="H202" s="91">
        <f>VLOOKUP($A202,'Data Vlaue (Cr)'!$C:$FB,91)</f>
        <v>935</v>
      </c>
      <c r="I202" s="91">
        <f>VLOOKUP($A202,'Data Vlaue (Cr)'!$C:$FB,93)</f>
        <v>74</v>
      </c>
      <c r="J202" s="92">
        <f>VLOOKUP($A202,'Data Vlaue (Cr)'!$C:$FB,94)</f>
        <v>8.6300000000000002E-2</v>
      </c>
      <c r="K202" s="91">
        <f>VLOOKUP($A202,'Data Vlaue (Cr)'!$C:$FB,95)</f>
        <v>684</v>
      </c>
      <c r="L202" s="91">
        <f>VLOOKUP($A202,'Data Vlaue (Cr)'!$C:$FB,97)</f>
        <v>16</v>
      </c>
      <c r="M202" s="92">
        <f>VLOOKUP($A202,'Data Vlaue (Cr)'!$C:$FB,98)</f>
        <v>2.47E-2</v>
      </c>
      <c r="N202" s="91">
        <f>VLOOKUP($A202,'Data Vlaue (Cr)'!$C:$FB,79)</f>
        <v>2801</v>
      </c>
      <c r="O202" s="92">
        <f>VLOOKUP($A202,'Data Vlaue (Cr)'!$C:$FB,82)</f>
        <v>1.35E-2</v>
      </c>
    </row>
    <row r="203" spans="1:15" x14ac:dyDescent="0.25">
      <c r="A203" s="97" t="str">
        <f>'Data Vlaue (Cr)'!C198</f>
        <v>TIINDIA</v>
      </c>
      <c r="B203" s="142">
        <f>VLOOKUP(A203,'Data Vlaue (Cr)'!C198:CW412,99,0)</f>
        <v>849</v>
      </c>
      <c r="C203" s="90">
        <f>VLOOKUP(A203,'Data Vlaue (Cr)'!C198:CY412,101,0)</f>
        <v>21</v>
      </c>
      <c r="D203" s="139">
        <f>VLOOKUP(A203,'Data Vlaue (Cr)'!C198:CZ412,102,0)</f>
        <v>2.4799999999999999E-2</v>
      </c>
      <c r="E203" s="91">
        <f>VLOOKUP($A203,'Data Vlaue (Cr)'!$C:$FB,75)</f>
        <v>707</v>
      </c>
      <c r="F203" s="91">
        <f>VLOOKUP($A203,'Data Vlaue (Cr)'!$C:$FB,77)</f>
        <v>1</v>
      </c>
      <c r="G203" s="92">
        <f>VLOOKUP(A203,'Data Vlaue (Cr)'!C198:CB412,78,0)</f>
        <v>1.5E-3</v>
      </c>
      <c r="H203" s="91">
        <f>VLOOKUP($A203,'Data Vlaue (Cr)'!$C:$FB,91)</f>
        <v>79</v>
      </c>
      <c r="I203" s="91">
        <f>VLOOKUP($A203,'Data Vlaue (Cr)'!$C:$FB,93)</f>
        <v>19</v>
      </c>
      <c r="J203" s="92">
        <f>VLOOKUP($A203,'Data Vlaue (Cr)'!$C:$FB,94)</f>
        <v>0.30869999999999997</v>
      </c>
      <c r="K203" s="91">
        <f>VLOOKUP($A203,'Data Vlaue (Cr)'!$C:$FB,95)</f>
        <v>63</v>
      </c>
      <c r="L203" s="91">
        <f>VLOOKUP($A203,'Data Vlaue (Cr)'!$C:$FB,97)</f>
        <v>1</v>
      </c>
      <c r="M203" s="92">
        <f>VLOOKUP($A203,'Data Vlaue (Cr)'!$C:$FB,98)</f>
        <v>1.3100000000000001E-2</v>
      </c>
      <c r="N203" s="91">
        <f>VLOOKUP($A203,'Data Vlaue (Cr)'!$C:$FB,79)</f>
        <v>701</v>
      </c>
      <c r="O203" s="92">
        <f>VLOOKUP($A203,'Data Vlaue (Cr)'!$C:$FB,82)</f>
        <v>2.0000000000000001E-4</v>
      </c>
    </row>
    <row r="204" spans="1:15" x14ac:dyDescent="0.25">
      <c r="A204" s="97" t="str">
        <f>'Data Vlaue (Cr)'!C199</f>
        <v>TITAN</v>
      </c>
      <c r="B204" s="142">
        <f>VLOOKUP(A204,'Data Vlaue (Cr)'!C199:CW413,99,0)</f>
        <v>5102</v>
      </c>
      <c r="C204" s="90">
        <f>VLOOKUP(A204,'Data Vlaue (Cr)'!C199:CY413,101,0)</f>
        <v>198</v>
      </c>
      <c r="D204" s="139">
        <f>VLOOKUP(A204,'Data Vlaue (Cr)'!C199:CZ413,102,0)</f>
        <v>4.0300000000000002E-2</v>
      </c>
      <c r="E204" s="91">
        <f>VLOOKUP($A204,'Data Vlaue (Cr)'!$C:$FB,75)</f>
        <v>3870</v>
      </c>
      <c r="F204" s="91">
        <f>VLOOKUP($A204,'Data Vlaue (Cr)'!$C:$FB,77)</f>
        <v>28</v>
      </c>
      <c r="G204" s="92">
        <f>VLOOKUP(A204,'Data Vlaue (Cr)'!C199:CB413,78,0)</f>
        <v>7.3000000000000001E-3</v>
      </c>
      <c r="H204" s="91">
        <f>VLOOKUP($A204,'Data Vlaue (Cr)'!$C:$FB,91)</f>
        <v>670</v>
      </c>
      <c r="I204" s="91">
        <f>VLOOKUP($A204,'Data Vlaue (Cr)'!$C:$FB,93)</f>
        <v>74</v>
      </c>
      <c r="J204" s="92">
        <f>VLOOKUP($A204,'Data Vlaue (Cr)'!$C:$FB,94)</f>
        <v>0.12330000000000001</v>
      </c>
      <c r="K204" s="91">
        <f>VLOOKUP($A204,'Data Vlaue (Cr)'!$C:$FB,95)</f>
        <v>562</v>
      </c>
      <c r="L204" s="91">
        <f>VLOOKUP($A204,'Data Vlaue (Cr)'!$C:$FB,97)</f>
        <v>96</v>
      </c>
      <c r="M204" s="92">
        <f>VLOOKUP($A204,'Data Vlaue (Cr)'!$C:$FB,98)</f>
        <v>0.20680000000000001</v>
      </c>
      <c r="N204" s="91">
        <f>VLOOKUP($A204,'Data Vlaue (Cr)'!$C:$FB,79)</f>
        <v>3482</v>
      </c>
      <c r="O204" s="92">
        <f>VLOOKUP($A204,'Data Vlaue (Cr)'!$C:$FB,82)</f>
        <v>-3.2000000000000002E-3</v>
      </c>
    </row>
    <row r="205" spans="1:15" x14ac:dyDescent="0.25">
      <c r="A205" s="97" t="str">
        <f>'Data Vlaue (Cr)'!C200</f>
        <v>TMPV</v>
      </c>
      <c r="B205" s="142">
        <f>VLOOKUP(A205,'Data Vlaue (Cr)'!C200:CW414,99,0)</f>
        <v>3724</v>
      </c>
      <c r="C205" s="90">
        <f>VLOOKUP(A205,'Data Vlaue (Cr)'!C200:CY414,101,0)</f>
        <v>272</v>
      </c>
      <c r="D205" s="139">
        <f>VLOOKUP(A205,'Data Vlaue (Cr)'!C200:CZ414,102,0)</f>
        <v>7.8700000000000006E-2</v>
      </c>
      <c r="E205" s="91">
        <f>VLOOKUP($A205,'Data Vlaue (Cr)'!$C:$FB,75)</f>
        <v>2353</v>
      </c>
      <c r="F205" s="91">
        <f>VLOOKUP($A205,'Data Vlaue (Cr)'!$C:$FB,77)</f>
        <v>44</v>
      </c>
      <c r="G205" s="92">
        <f>VLOOKUP(A205,'Data Vlaue (Cr)'!C200:CB414,78,0)</f>
        <v>1.9099999999999999E-2</v>
      </c>
      <c r="H205" s="91">
        <f>VLOOKUP($A205,'Data Vlaue (Cr)'!$C:$FB,91)</f>
        <v>814</v>
      </c>
      <c r="I205" s="91">
        <f>VLOOKUP($A205,'Data Vlaue (Cr)'!$C:$FB,93)</f>
        <v>199</v>
      </c>
      <c r="J205" s="92">
        <f>VLOOKUP($A205,'Data Vlaue (Cr)'!$C:$FB,94)</f>
        <v>0.32319999999999999</v>
      </c>
      <c r="K205" s="91">
        <f>VLOOKUP($A205,'Data Vlaue (Cr)'!$C:$FB,95)</f>
        <v>558</v>
      </c>
      <c r="L205" s="91">
        <f>VLOOKUP($A205,'Data Vlaue (Cr)'!$C:$FB,97)</f>
        <v>29</v>
      </c>
      <c r="M205" s="92">
        <f>VLOOKUP($A205,'Data Vlaue (Cr)'!$C:$FB,98)</f>
        <v>5.45E-2</v>
      </c>
      <c r="N205" s="91">
        <f>VLOOKUP($A205,'Data Vlaue (Cr)'!$C:$FB,79)</f>
        <v>2193</v>
      </c>
      <c r="O205" s="92">
        <f>VLOOKUP($A205,'Data Vlaue (Cr)'!$C:$FB,82)</f>
        <v>1.1900000000000001E-2</v>
      </c>
    </row>
    <row r="206" spans="1:15" x14ac:dyDescent="0.25">
      <c r="A206" s="97" t="str">
        <f>'Data Vlaue (Cr)'!C201</f>
        <v>TORNTPHARM</v>
      </c>
      <c r="B206" s="142">
        <f>VLOOKUP(A206,'Data Vlaue (Cr)'!C201:CW415,99,0)</f>
        <v>1346</v>
      </c>
      <c r="C206" s="90">
        <f>VLOOKUP(A206,'Data Vlaue (Cr)'!C201:CY415,101,0)</f>
        <v>37</v>
      </c>
      <c r="D206" s="139">
        <f>VLOOKUP(A206,'Data Vlaue (Cr)'!C201:CZ415,102,0)</f>
        <v>2.8000000000000001E-2</v>
      </c>
      <c r="E206" s="91">
        <f>VLOOKUP($A206,'Data Vlaue (Cr)'!$C:$FB,75)</f>
        <v>1125</v>
      </c>
      <c r="F206" s="91">
        <f>VLOOKUP($A206,'Data Vlaue (Cr)'!$C:$FB,77)</f>
        <v>2</v>
      </c>
      <c r="G206" s="92">
        <f>VLOOKUP(A206,'Data Vlaue (Cr)'!C201:CB415,78,0)</f>
        <v>1.6000000000000001E-3</v>
      </c>
      <c r="H206" s="91">
        <f>VLOOKUP($A206,'Data Vlaue (Cr)'!$C:$FB,91)</f>
        <v>141</v>
      </c>
      <c r="I206" s="91">
        <f>VLOOKUP($A206,'Data Vlaue (Cr)'!$C:$FB,93)</f>
        <v>37</v>
      </c>
      <c r="J206" s="92">
        <f>VLOOKUP($A206,'Data Vlaue (Cr)'!$C:$FB,94)</f>
        <v>0.35920000000000002</v>
      </c>
      <c r="K206" s="91">
        <f>VLOOKUP($A206,'Data Vlaue (Cr)'!$C:$FB,95)</f>
        <v>79</v>
      </c>
      <c r="L206" s="91">
        <f>VLOOKUP($A206,'Data Vlaue (Cr)'!$C:$FB,97)</f>
        <v>-3</v>
      </c>
      <c r="M206" s="92">
        <f>VLOOKUP($A206,'Data Vlaue (Cr)'!$C:$FB,98)</f>
        <v>-3.1399999999999997E-2</v>
      </c>
      <c r="N206" s="91">
        <f>VLOOKUP($A206,'Data Vlaue (Cr)'!$C:$FB,79)</f>
        <v>1122</v>
      </c>
      <c r="O206" s="92">
        <f>VLOOKUP($A206,'Data Vlaue (Cr)'!$C:$FB,82)</f>
        <v>1.5E-3</v>
      </c>
    </row>
    <row r="207" spans="1:15" x14ac:dyDescent="0.25">
      <c r="A207" s="97" t="str">
        <f>'Data Vlaue (Cr)'!C202</f>
        <v>TRENT</v>
      </c>
      <c r="B207" s="142">
        <f>VLOOKUP(A207,'Data Vlaue (Cr)'!C202:CW416,99,0)</f>
        <v>4917</v>
      </c>
      <c r="C207" s="90">
        <f>VLOOKUP(A207,'Data Vlaue (Cr)'!C202:CY416,101,0)</f>
        <v>102</v>
      </c>
      <c r="D207" s="139">
        <f>VLOOKUP(A207,'Data Vlaue (Cr)'!C202:CZ416,102,0)</f>
        <v>2.12E-2</v>
      </c>
      <c r="E207" s="91">
        <f>VLOOKUP($A207,'Data Vlaue (Cr)'!$C:$FB,75)</f>
        <v>2955</v>
      </c>
      <c r="F207" s="91">
        <f>VLOOKUP($A207,'Data Vlaue (Cr)'!$C:$FB,77)</f>
        <v>10</v>
      </c>
      <c r="G207" s="92">
        <f>VLOOKUP(A207,'Data Vlaue (Cr)'!C202:CB416,78,0)</f>
        <v>3.5000000000000001E-3</v>
      </c>
      <c r="H207" s="91">
        <f>VLOOKUP($A207,'Data Vlaue (Cr)'!$C:$FB,91)</f>
        <v>1399</v>
      </c>
      <c r="I207" s="91">
        <f>VLOOKUP($A207,'Data Vlaue (Cr)'!$C:$FB,93)</f>
        <v>81</v>
      </c>
      <c r="J207" s="92">
        <f>VLOOKUP($A207,'Data Vlaue (Cr)'!$C:$FB,94)</f>
        <v>6.1699999999999998E-2</v>
      </c>
      <c r="K207" s="91">
        <f>VLOOKUP($A207,'Data Vlaue (Cr)'!$C:$FB,95)</f>
        <v>563</v>
      </c>
      <c r="L207" s="91">
        <f>VLOOKUP($A207,'Data Vlaue (Cr)'!$C:$FB,97)</f>
        <v>10</v>
      </c>
      <c r="M207" s="92">
        <f>VLOOKUP($A207,'Data Vlaue (Cr)'!$C:$FB,98)</f>
        <v>1.89E-2</v>
      </c>
      <c r="N207" s="91">
        <f>VLOOKUP($A207,'Data Vlaue (Cr)'!$C:$FB,79)</f>
        <v>2824</v>
      </c>
      <c r="O207" s="92">
        <f>VLOOKUP($A207,'Data Vlaue (Cr)'!$C:$FB,82)</f>
        <v>6.9999999999999999E-4</v>
      </c>
    </row>
    <row r="208" spans="1:15" x14ac:dyDescent="0.25">
      <c r="A208" s="97" t="str">
        <f>'Data Vlaue (Cr)'!C203</f>
        <v>TVSMOTOR</v>
      </c>
      <c r="B208" s="142">
        <f>VLOOKUP(A208,'Data Vlaue (Cr)'!C203:CW417,99,0)</f>
        <v>3892</v>
      </c>
      <c r="C208" s="90">
        <f>VLOOKUP(A208,'Data Vlaue (Cr)'!C203:CY417,101,0)</f>
        <v>153</v>
      </c>
      <c r="D208" s="139">
        <f>VLOOKUP(A208,'Data Vlaue (Cr)'!C203:CZ417,102,0)</f>
        <v>4.0800000000000003E-2</v>
      </c>
      <c r="E208" s="91">
        <f>VLOOKUP($A208,'Data Vlaue (Cr)'!$C:$FB,75)</f>
        <v>3066</v>
      </c>
      <c r="F208" s="91">
        <f>VLOOKUP($A208,'Data Vlaue (Cr)'!$C:$FB,77)</f>
        <v>35</v>
      </c>
      <c r="G208" s="92">
        <f>VLOOKUP(A208,'Data Vlaue (Cr)'!C203:CB417,78,0)</f>
        <v>1.1599999999999999E-2</v>
      </c>
      <c r="H208" s="91">
        <f>VLOOKUP($A208,'Data Vlaue (Cr)'!$C:$FB,91)</f>
        <v>513</v>
      </c>
      <c r="I208" s="91">
        <f>VLOOKUP($A208,'Data Vlaue (Cr)'!$C:$FB,93)</f>
        <v>93</v>
      </c>
      <c r="J208" s="92">
        <f>VLOOKUP($A208,'Data Vlaue (Cr)'!$C:$FB,94)</f>
        <v>0.22189999999999999</v>
      </c>
      <c r="K208" s="91">
        <f>VLOOKUP($A208,'Data Vlaue (Cr)'!$C:$FB,95)</f>
        <v>313</v>
      </c>
      <c r="L208" s="91">
        <f>VLOOKUP($A208,'Data Vlaue (Cr)'!$C:$FB,97)</f>
        <v>24</v>
      </c>
      <c r="M208" s="92">
        <f>VLOOKUP($A208,'Data Vlaue (Cr)'!$C:$FB,98)</f>
        <v>8.3400000000000002E-2</v>
      </c>
      <c r="N208" s="91">
        <f>VLOOKUP($A208,'Data Vlaue (Cr)'!$C:$FB,79)</f>
        <v>2930</v>
      </c>
      <c r="O208" s="92">
        <f>VLOOKUP($A208,'Data Vlaue (Cr)'!$C:$FB,82)</f>
        <v>1.12E-2</v>
      </c>
    </row>
    <row r="209" spans="1:15" x14ac:dyDescent="0.25">
      <c r="A209" s="97" t="str">
        <f>'Data Vlaue (Cr)'!C204</f>
        <v>ULTRACEMCO</v>
      </c>
      <c r="B209" s="142">
        <f>VLOOKUP(A209,'Data Vlaue (Cr)'!C204:CW418,99,0)</f>
        <v>5254</v>
      </c>
      <c r="C209" s="90">
        <f>VLOOKUP(A209,'Data Vlaue (Cr)'!C204:CY418,101,0)</f>
        <v>-6</v>
      </c>
      <c r="D209" s="139">
        <f>VLOOKUP(A209,'Data Vlaue (Cr)'!C204:CZ418,102,0)</f>
        <v>-1.1999999999999999E-3</v>
      </c>
      <c r="E209" s="91">
        <f>VLOOKUP($A209,'Data Vlaue (Cr)'!$C:$FB,75)</f>
        <v>3327</v>
      </c>
      <c r="F209" s="91">
        <f>VLOOKUP($A209,'Data Vlaue (Cr)'!$C:$FB,77)</f>
        <v>-81</v>
      </c>
      <c r="G209" s="92">
        <f>VLOOKUP(A209,'Data Vlaue (Cr)'!C204:CB418,78,0)</f>
        <v>-2.3800000000000002E-2</v>
      </c>
      <c r="H209" s="91">
        <f>VLOOKUP($A209,'Data Vlaue (Cr)'!$C:$FB,91)</f>
        <v>1346</v>
      </c>
      <c r="I209" s="91">
        <f>VLOOKUP($A209,'Data Vlaue (Cr)'!$C:$FB,93)</f>
        <v>44</v>
      </c>
      <c r="J209" s="92">
        <f>VLOOKUP($A209,'Data Vlaue (Cr)'!$C:$FB,94)</f>
        <v>3.4000000000000002E-2</v>
      </c>
      <c r="K209" s="91">
        <f>VLOOKUP($A209,'Data Vlaue (Cr)'!$C:$FB,95)</f>
        <v>581</v>
      </c>
      <c r="L209" s="91">
        <f>VLOOKUP($A209,'Data Vlaue (Cr)'!$C:$FB,97)</f>
        <v>31</v>
      </c>
      <c r="M209" s="92">
        <f>VLOOKUP($A209,'Data Vlaue (Cr)'!$C:$FB,98)</f>
        <v>5.62E-2</v>
      </c>
      <c r="N209" s="91">
        <f>VLOOKUP($A209,'Data Vlaue (Cr)'!$C:$FB,79)</f>
        <v>2791</v>
      </c>
      <c r="O209" s="92">
        <f>VLOOKUP($A209,'Data Vlaue (Cr)'!$C:$FB,82)</f>
        <v>-3.1199999999999999E-2</v>
      </c>
    </row>
    <row r="210" spans="1:15" s="88" customFormat="1" ht="15.75" customHeight="1" x14ac:dyDescent="0.2">
      <c r="A210" s="97" t="str">
        <f>'Data Vlaue (Cr)'!C205</f>
        <v>UNIONBANK</v>
      </c>
      <c r="B210" s="142">
        <f>VLOOKUP(A210,'Data Vlaue (Cr)'!C205:CW419,99,0)</f>
        <v>3872</v>
      </c>
      <c r="C210" s="90">
        <f>VLOOKUP(A210,'Data Vlaue (Cr)'!C205:CY419,101,0)</f>
        <v>209</v>
      </c>
      <c r="D210" s="139">
        <f>VLOOKUP(A210,'Data Vlaue (Cr)'!C205:CZ419,102,0)</f>
        <v>5.7000000000000002E-2</v>
      </c>
      <c r="E210" s="91">
        <f>VLOOKUP($A210,'Data Vlaue (Cr)'!$C:$FB,75)</f>
        <v>2323</v>
      </c>
      <c r="F210" s="91">
        <f>VLOOKUP($A210,'Data Vlaue (Cr)'!$C:$FB,77)</f>
        <v>72</v>
      </c>
      <c r="G210" s="92">
        <f>VLOOKUP(A210,'Data Vlaue (Cr)'!C205:CB419,78,0)</f>
        <v>3.1899999999999998E-2</v>
      </c>
      <c r="H210" s="91">
        <f>VLOOKUP($A210,'Data Vlaue (Cr)'!$C:$FB,91)</f>
        <v>1026</v>
      </c>
      <c r="I210" s="91">
        <f>VLOOKUP($A210,'Data Vlaue (Cr)'!$C:$FB,93)</f>
        <v>127</v>
      </c>
      <c r="J210" s="92">
        <f>VLOOKUP($A210,'Data Vlaue (Cr)'!$C:$FB,94)</f>
        <v>0.1411</v>
      </c>
      <c r="K210" s="91">
        <f>VLOOKUP($A210,'Data Vlaue (Cr)'!$C:$FB,95)</f>
        <v>523</v>
      </c>
      <c r="L210" s="91">
        <f>VLOOKUP($A210,'Data Vlaue (Cr)'!$C:$FB,97)</f>
        <v>10</v>
      </c>
      <c r="M210" s="92">
        <f>VLOOKUP($A210,'Data Vlaue (Cr)'!$C:$FB,98)</f>
        <v>1.9599999999999999E-2</v>
      </c>
      <c r="N210" s="91">
        <f>VLOOKUP($A210,'Data Vlaue (Cr)'!$C:$FB,79)</f>
        <v>2233</v>
      </c>
      <c r="O210" s="92">
        <f>VLOOKUP($A210,'Data Vlaue (Cr)'!$C:$FB,82)</f>
        <v>2.81E-2</v>
      </c>
    </row>
    <row r="211" spans="1:15" x14ac:dyDescent="0.25">
      <c r="A211" s="97" t="str">
        <f>'Data Vlaue (Cr)'!C206</f>
        <v>UNITDSPR</v>
      </c>
      <c r="B211" s="142">
        <f>VLOOKUP(A211,'Data Vlaue (Cr)'!C206:CW420,99,0)</f>
        <v>2155</v>
      </c>
      <c r="C211" s="90">
        <f>VLOOKUP(A211,'Data Vlaue (Cr)'!C206:CY420,101,0)</f>
        <v>74</v>
      </c>
      <c r="D211" s="139">
        <f>VLOOKUP(A211,'Data Vlaue (Cr)'!C206:CZ420,102,0)</f>
        <v>3.5499999999999997E-2</v>
      </c>
      <c r="E211" s="91">
        <f>VLOOKUP($A211,'Data Vlaue (Cr)'!$C:$FB,75)</f>
        <v>1518</v>
      </c>
      <c r="F211" s="91">
        <f>VLOOKUP($A211,'Data Vlaue (Cr)'!$C:$FB,77)</f>
        <v>49</v>
      </c>
      <c r="G211" s="92">
        <f>VLOOKUP(A211,'Data Vlaue (Cr)'!C206:CB420,78,0)</f>
        <v>3.3500000000000002E-2</v>
      </c>
      <c r="H211" s="91">
        <f>VLOOKUP($A211,'Data Vlaue (Cr)'!$C:$FB,91)</f>
        <v>378</v>
      </c>
      <c r="I211" s="91">
        <f>VLOOKUP($A211,'Data Vlaue (Cr)'!$C:$FB,93)</f>
        <v>22</v>
      </c>
      <c r="J211" s="92">
        <f>VLOOKUP($A211,'Data Vlaue (Cr)'!$C:$FB,94)</f>
        <v>6.0999999999999999E-2</v>
      </c>
      <c r="K211" s="91">
        <f>VLOOKUP($A211,'Data Vlaue (Cr)'!$C:$FB,95)</f>
        <v>259</v>
      </c>
      <c r="L211" s="91">
        <f>VLOOKUP($A211,'Data Vlaue (Cr)'!$C:$FB,97)</f>
        <v>3</v>
      </c>
      <c r="M211" s="92">
        <f>VLOOKUP($A211,'Data Vlaue (Cr)'!$C:$FB,98)</f>
        <v>1.12E-2</v>
      </c>
      <c r="N211" s="91">
        <f>VLOOKUP($A211,'Data Vlaue (Cr)'!$C:$FB,79)</f>
        <v>1438</v>
      </c>
      <c r="O211" s="92">
        <f>VLOOKUP($A211,'Data Vlaue (Cr)'!$C:$FB,82)</f>
        <v>3.4700000000000002E-2</v>
      </c>
    </row>
    <row r="212" spans="1:15" x14ac:dyDescent="0.25">
      <c r="A212" s="97" t="str">
        <f>'Data Vlaue (Cr)'!C207</f>
        <v>UNOMINDA</v>
      </c>
      <c r="B212" s="142">
        <f>VLOOKUP(A212,'Data Vlaue (Cr)'!C207:CW421,99,0)</f>
        <v>648</v>
      </c>
      <c r="C212" s="90">
        <f>VLOOKUP(A212,'Data Vlaue (Cr)'!C207:CY421,101,0)</f>
        <v>29</v>
      </c>
      <c r="D212" s="139">
        <f>VLOOKUP(A212,'Data Vlaue (Cr)'!C207:CZ421,102,0)</f>
        <v>4.6100000000000002E-2</v>
      </c>
      <c r="E212" s="91">
        <f>VLOOKUP($A212,'Data Vlaue (Cr)'!$C:$FB,75)</f>
        <v>482</v>
      </c>
      <c r="F212" s="91">
        <f>VLOOKUP($A212,'Data Vlaue (Cr)'!$C:$FB,77)</f>
        <v>-4</v>
      </c>
      <c r="G212" s="92">
        <f>VLOOKUP(A212,'Data Vlaue (Cr)'!C207:CB421,78,0)</f>
        <v>-7.6E-3</v>
      </c>
      <c r="H212" s="91">
        <f>VLOOKUP($A212,'Data Vlaue (Cr)'!$C:$FB,91)</f>
        <v>114</v>
      </c>
      <c r="I212" s="91">
        <f>VLOOKUP($A212,'Data Vlaue (Cr)'!$C:$FB,93)</f>
        <v>23</v>
      </c>
      <c r="J212" s="92">
        <f>VLOOKUP($A212,'Data Vlaue (Cr)'!$C:$FB,94)</f>
        <v>0.25269999999999998</v>
      </c>
      <c r="K212" s="91">
        <f>VLOOKUP($A212,'Data Vlaue (Cr)'!$C:$FB,95)</f>
        <v>52</v>
      </c>
      <c r="L212" s="91">
        <f>VLOOKUP($A212,'Data Vlaue (Cr)'!$C:$FB,97)</f>
        <v>9</v>
      </c>
      <c r="M212" s="92">
        <f>VLOOKUP($A212,'Data Vlaue (Cr)'!$C:$FB,98)</f>
        <v>0.21729999999999999</v>
      </c>
      <c r="N212" s="91">
        <f>VLOOKUP($A212,'Data Vlaue (Cr)'!$C:$FB,79)</f>
        <v>479</v>
      </c>
      <c r="O212" s="92">
        <f>VLOOKUP($A212,'Data Vlaue (Cr)'!$C:$FB,82)</f>
        <v>-7.6E-3</v>
      </c>
    </row>
    <row r="213" spans="1:15" x14ac:dyDescent="0.25">
      <c r="A213" s="97" t="str">
        <f>'Data Vlaue (Cr)'!C208</f>
        <v>UPL</v>
      </c>
      <c r="B213" s="142">
        <f>VLOOKUP(A213,'Data Vlaue (Cr)'!C208:CW422,99,0)</f>
        <v>2358</v>
      </c>
      <c r="C213" s="90">
        <f>VLOOKUP(A213,'Data Vlaue (Cr)'!C208:CY422,101,0)</f>
        <v>28</v>
      </c>
      <c r="D213" s="139">
        <f>VLOOKUP(A213,'Data Vlaue (Cr)'!C208:CZ422,102,0)</f>
        <v>1.18E-2</v>
      </c>
      <c r="E213" s="91">
        <f>VLOOKUP($A213,'Data Vlaue (Cr)'!$C:$FB,75)</f>
        <v>1861</v>
      </c>
      <c r="F213" s="91">
        <f>VLOOKUP($A213,'Data Vlaue (Cr)'!$C:$FB,77)</f>
        <v>-2</v>
      </c>
      <c r="G213" s="92">
        <f>VLOOKUP(A213,'Data Vlaue (Cr)'!C208:CB422,78,0)</f>
        <v>-8.9999999999999998E-4</v>
      </c>
      <c r="H213" s="91">
        <f>VLOOKUP($A213,'Data Vlaue (Cr)'!$C:$FB,91)</f>
        <v>286</v>
      </c>
      <c r="I213" s="91">
        <f>VLOOKUP($A213,'Data Vlaue (Cr)'!$C:$FB,93)</f>
        <v>25</v>
      </c>
      <c r="J213" s="92">
        <f>VLOOKUP($A213,'Data Vlaue (Cr)'!$C:$FB,94)</f>
        <v>9.3799999999999994E-2</v>
      </c>
      <c r="K213" s="91">
        <f>VLOOKUP($A213,'Data Vlaue (Cr)'!$C:$FB,95)</f>
        <v>211</v>
      </c>
      <c r="L213" s="91">
        <f>VLOOKUP($A213,'Data Vlaue (Cr)'!$C:$FB,97)</f>
        <v>5</v>
      </c>
      <c r="M213" s="92">
        <f>VLOOKUP($A213,'Data Vlaue (Cr)'!$C:$FB,98)</f>
        <v>2.3E-2</v>
      </c>
      <c r="N213" s="91">
        <f>VLOOKUP($A213,'Data Vlaue (Cr)'!$C:$FB,79)</f>
        <v>1841</v>
      </c>
      <c r="O213" s="92">
        <f>VLOOKUP($A213,'Data Vlaue (Cr)'!$C:$FB,82)</f>
        <v>-1.5E-3</v>
      </c>
    </row>
    <row r="214" spans="1:15" x14ac:dyDescent="0.25">
      <c r="A214" s="97" t="str">
        <f>'Data Vlaue (Cr)'!C209</f>
        <v>VBL</v>
      </c>
      <c r="B214" s="142">
        <f>VLOOKUP(A214,'Data Vlaue (Cr)'!C209:CW423,99,0)</f>
        <v>3367</v>
      </c>
      <c r="C214" s="90">
        <f>VLOOKUP(A214,'Data Vlaue (Cr)'!C209:CY423,101,0)</f>
        <v>47</v>
      </c>
      <c r="D214" s="139">
        <f>VLOOKUP(A214,'Data Vlaue (Cr)'!C209:CZ423,102,0)</f>
        <v>1.4E-2</v>
      </c>
      <c r="E214" s="91">
        <f>VLOOKUP($A214,'Data Vlaue (Cr)'!$C:$FB,75)</f>
        <v>2481</v>
      </c>
      <c r="F214" s="91">
        <f>VLOOKUP($A214,'Data Vlaue (Cr)'!$C:$FB,77)</f>
        <v>10</v>
      </c>
      <c r="G214" s="92">
        <f>VLOOKUP(A214,'Data Vlaue (Cr)'!C209:CB423,78,0)</f>
        <v>3.8999999999999998E-3</v>
      </c>
      <c r="H214" s="91">
        <f>VLOOKUP($A214,'Data Vlaue (Cr)'!$C:$FB,91)</f>
        <v>566</v>
      </c>
      <c r="I214" s="91">
        <f>VLOOKUP($A214,'Data Vlaue (Cr)'!$C:$FB,93)</f>
        <v>14</v>
      </c>
      <c r="J214" s="92">
        <f>VLOOKUP($A214,'Data Vlaue (Cr)'!$C:$FB,94)</f>
        <v>2.53E-2</v>
      </c>
      <c r="K214" s="91">
        <f>VLOOKUP($A214,'Data Vlaue (Cr)'!$C:$FB,95)</f>
        <v>320</v>
      </c>
      <c r="L214" s="91">
        <f>VLOOKUP($A214,'Data Vlaue (Cr)'!$C:$FB,97)</f>
        <v>23</v>
      </c>
      <c r="M214" s="92">
        <f>VLOOKUP($A214,'Data Vlaue (Cr)'!$C:$FB,98)</f>
        <v>7.7399999999999997E-2</v>
      </c>
      <c r="N214" s="91">
        <f>VLOOKUP($A214,'Data Vlaue (Cr)'!$C:$FB,79)</f>
        <v>2424</v>
      </c>
      <c r="O214" s="92">
        <f>VLOOKUP($A214,'Data Vlaue (Cr)'!$C:$FB,82)</f>
        <v>3.3E-3</v>
      </c>
    </row>
    <row r="215" spans="1:15" x14ac:dyDescent="0.25">
      <c r="A215" s="97" t="str">
        <f>'Data Vlaue (Cr)'!C210</f>
        <v>VEDL</v>
      </c>
      <c r="B215" s="142">
        <f>VLOOKUP(A215,'Data Vlaue (Cr)'!C210:CW424,99,0)</f>
        <v>1760</v>
      </c>
      <c r="C215" s="90">
        <f>VLOOKUP(A215,'Data Vlaue (Cr)'!C210:CY424,101,0)</f>
        <v>650</v>
      </c>
      <c r="D215" s="139">
        <f>VLOOKUP(A215,'Data Vlaue (Cr)'!C210:CZ424,102,0)</f>
        <v>0.58540000000000003</v>
      </c>
      <c r="E215" s="91">
        <f>VLOOKUP($A215,'Data Vlaue (Cr)'!$C:$FB,75)</f>
        <v>649</v>
      </c>
      <c r="F215" s="91">
        <f>VLOOKUP($A215,'Data Vlaue (Cr)'!$C:$FB,77)</f>
        <v>228</v>
      </c>
      <c r="G215" s="92">
        <f>VLOOKUP(A215,'Data Vlaue (Cr)'!C210:CB424,78,0)</f>
        <v>0.54290000000000005</v>
      </c>
      <c r="H215" s="91">
        <f>VLOOKUP($A215,'Data Vlaue (Cr)'!$C:$FB,91)</f>
        <v>739</v>
      </c>
      <c r="I215" s="91">
        <f>VLOOKUP($A215,'Data Vlaue (Cr)'!$C:$FB,93)</f>
        <v>257</v>
      </c>
      <c r="J215" s="92">
        <f>VLOOKUP($A215,'Data Vlaue (Cr)'!$C:$FB,94)</f>
        <v>0.53380000000000005</v>
      </c>
      <c r="K215" s="91">
        <f>VLOOKUP($A215,'Data Vlaue (Cr)'!$C:$FB,95)</f>
        <v>372</v>
      </c>
      <c r="L215" s="91">
        <f>VLOOKUP($A215,'Data Vlaue (Cr)'!$C:$FB,97)</f>
        <v>164</v>
      </c>
      <c r="M215" s="92">
        <f>VLOOKUP($A215,'Data Vlaue (Cr)'!$C:$FB,98)</f>
        <v>0.79120000000000001</v>
      </c>
      <c r="N215" s="91">
        <f>VLOOKUP($A215,'Data Vlaue (Cr)'!$C:$FB,79)</f>
        <v>620</v>
      </c>
      <c r="O215" s="92">
        <f>VLOOKUP($A215,'Data Vlaue (Cr)'!$C:$FB,82)</f>
        <v>0.51390000000000002</v>
      </c>
    </row>
    <row r="216" spans="1:15" x14ac:dyDescent="0.25">
      <c r="A216" s="97" t="str">
        <f>'Data Vlaue (Cr)'!C211</f>
        <v>VMM</v>
      </c>
      <c r="B216" s="142">
        <f>VLOOKUP(A216,'Data Vlaue (Cr)'!C211:CW425,99,0)</f>
        <v>413</v>
      </c>
      <c r="C216" s="90">
        <f>VLOOKUP(A216,'Data Vlaue (Cr)'!C211:CY425,101,0)</f>
        <v>20</v>
      </c>
      <c r="D216" s="139">
        <f>VLOOKUP(A216,'Data Vlaue (Cr)'!C211:CZ425,102,0)</f>
        <v>5.1900000000000002E-2</v>
      </c>
      <c r="E216" s="91">
        <f>VLOOKUP($A216,'Data Vlaue (Cr)'!$C:$FB,75)</f>
        <v>355</v>
      </c>
      <c r="F216" s="91">
        <f>VLOOKUP($A216,'Data Vlaue (Cr)'!$C:$FB,77)</f>
        <v>9</v>
      </c>
      <c r="G216" s="92">
        <f>VLOOKUP(A216,'Data Vlaue (Cr)'!C211:CB425,78,0)</f>
        <v>2.52E-2</v>
      </c>
      <c r="H216" s="91">
        <f>VLOOKUP($A216,'Data Vlaue (Cr)'!$C:$FB,91)</f>
        <v>39</v>
      </c>
      <c r="I216" s="91">
        <f>VLOOKUP($A216,'Data Vlaue (Cr)'!$C:$FB,93)</f>
        <v>10</v>
      </c>
      <c r="J216" s="92">
        <f>VLOOKUP($A216,'Data Vlaue (Cr)'!$C:$FB,94)</f>
        <v>0.32569999999999999</v>
      </c>
      <c r="K216" s="91">
        <f>VLOOKUP($A216,'Data Vlaue (Cr)'!$C:$FB,95)</f>
        <v>19</v>
      </c>
      <c r="L216" s="91">
        <f>VLOOKUP($A216,'Data Vlaue (Cr)'!$C:$FB,97)</f>
        <v>2</v>
      </c>
      <c r="M216" s="92">
        <f>VLOOKUP($A216,'Data Vlaue (Cr)'!$C:$FB,98)</f>
        <v>0.12</v>
      </c>
      <c r="N216" s="91">
        <f>VLOOKUP($A216,'Data Vlaue (Cr)'!$C:$FB,79)</f>
        <v>350</v>
      </c>
      <c r="O216" s="92">
        <f>VLOOKUP($A216,'Data Vlaue (Cr)'!$C:$FB,82)</f>
        <v>2.3400000000000001E-2</v>
      </c>
    </row>
    <row r="217" spans="1:15" x14ac:dyDescent="0.25">
      <c r="A217" s="97" t="str">
        <f>'Data Vlaue (Cr)'!C212</f>
        <v>VOLTAS</v>
      </c>
      <c r="B217" s="142">
        <f>VLOOKUP(A217,'Data Vlaue (Cr)'!C212:CW426,99,0)</f>
        <v>2068</v>
      </c>
      <c r="C217" s="90">
        <f>VLOOKUP(A217,'Data Vlaue (Cr)'!C212:CY426,101,0)</f>
        <v>12</v>
      </c>
      <c r="D217" s="139">
        <f>VLOOKUP(A217,'Data Vlaue (Cr)'!C212:CZ426,102,0)</f>
        <v>6.0000000000000001E-3</v>
      </c>
      <c r="E217" s="91">
        <f>VLOOKUP($A217,'Data Vlaue (Cr)'!$C:$FB,75)</f>
        <v>1461</v>
      </c>
      <c r="F217" s="91">
        <f>VLOOKUP($A217,'Data Vlaue (Cr)'!$C:$FB,77)</f>
        <v>-11</v>
      </c>
      <c r="G217" s="92">
        <f>VLOOKUP(A217,'Data Vlaue (Cr)'!C212:CB426,78,0)</f>
        <v>-7.7000000000000002E-3</v>
      </c>
      <c r="H217" s="91">
        <f>VLOOKUP($A217,'Data Vlaue (Cr)'!$C:$FB,91)</f>
        <v>355</v>
      </c>
      <c r="I217" s="91">
        <f>VLOOKUP($A217,'Data Vlaue (Cr)'!$C:$FB,93)</f>
        <v>16</v>
      </c>
      <c r="J217" s="92">
        <f>VLOOKUP($A217,'Data Vlaue (Cr)'!$C:$FB,94)</f>
        <v>4.8099999999999997E-2</v>
      </c>
      <c r="K217" s="91">
        <f>VLOOKUP($A217,'Data Vlaue (Cr)'!$C:$FB,95)</f>
        <v>253</v>
      </c>
      <c r="L217" s="91">
        <f>VLOOKUP($A217,'Data Vlaue (Cr)'!$C:$FB,97)</f>
        <v>7</v>
      </c>
      <c r="M217" s="92">
        <f>VLOOKUP($A217,'Data Vlaue (Cr)'!$C:$FB,98)</f>
        <v>3.0200000000000001E-2</v>
      </c>
      <c r="N217" s="91">
        <f>VLOOKUP($A217,'Data Vlaue (Cr)'!$C:$FB,79)</f>
        <v>1424</v>
      </c>
      <c r="O217" s="92">
        <f>VLOOKUP($A217,'Data Vlaue (Cr)'!$C:$FB,82)</f>
        <v>-8.6999999999999994E-3</v>
      </c>
    </row>
    <row r="218" spans="1:15" x14ac:dyDescent="0.25">
      <c r="A218" s="97" t="str">
        <f>'Data Vlaue (Cr)'!C213</f>
        <v>WAAREEENER</v>
      </c>
      <c r="B218" s="142">
        <f>VLOOKUP(A218,'Data Vlaue (Cr)'!C213:CW427,99,0)</f>
        <v>3951</v>
      </c>
      <c r="C218" s="90">
        <f>VLOOKUP(A218,'Data Vlaue (Cr)'!C213:CY427,101,0)</f>
        <v>209</v>
      </c>
      <c r="D218" s="139">
        <f>VLOOKUP(A218,'Data Vlaue (Cr)'!C213:CZ427,102,0)</f>
        <v>5.5899999999999998E-2</v>
      </c>
      <c r="E218" s="91">
        <f>VLOOKUP($A218,'Data Vlaue (Cr)'!$C:$FB,75)</f>
        <v>1831</v>
      </c>
      <c r="F218" s="91">
        <f>VLOOKUP($A218,'Data Vlaue (Cr)'!$C:$FB,77)</f>
        <v>-6</v>
      </c>
      <c r="G218" s="92">
        <f>VLOOKUP(A218,'Data Vlaue (Cr)'!C213:CB427,78,0)</f>
        <v>-3.0999999999999999E-3</v>
      </c>
      <c r="H218" s="91">
        <f>VLOOKUP($A218,'Data Vlaue (Cr)'!$C:$FB,91)</f>
        <v>1414</v>
      </c>
      <c r="I218" s="91">
        <f>VLOOKUP($A218,'Data Vlaue (Cr)'!$C:$FB,93)</f>
        <v>146</v>
      </c>
      <c r="J218" s="92">
        <f>VLOOKUP($A218,'Data Vlaue (Cr)'!$C:$FB,94)</f>
        <v>0.1149</v>
      </c>
      <c r="K218" s="91">
        <f>VLOOKUP($A218,'Data Vlaue (Cr)'!$C:$FB,95)</f>
        <v>705</v>
      </c>
      <c r="L218" s="91">
        <f>VLOOKUP($A218,'Data Vlaue (Cr)'!$C:$FB,97)</f>
        <v>69</v>
      </c>
      <c r="M218" s="92">
        <f>VLOOKUP($A218,'Data Vlaue (Cr)'!$C:$FB,98)</f>
        <v>0.1084</v>
      </c>
      <c r="N218" s="91">
        <f>VLOOKUP($A218,'Data Vlaue (Cr)'!$C:$FB,79)</f>
        <v>1778</v>
      </c>
      <c r="O218" s="92">
        <f>VLOOKUP($A218,'Data Vlaue (Cr)'!$C:$FB,82)</f>
        <v>-5.1000000000000004E-3</v>
      </c>
    </row>
    <row r="219" spans="1:15" x14ac:dyDescent="0.25">
      <c r="A219" s="97" t="str">
        <f>'Data Vlaue (Cr)'!C214</f>
        <v>WIPRO</v>
      </c>
      <c r="B219" s="142">
        <f>VLOOKUP(A219,'Data Vlaue (Cr)'!C214:CW428,99,0)</f>
        <v>9696</v>
      </c>
      <c r="C219" s="90">
        <f>VLOOKUP(A219,'Data Vlaue (Cr)'!C214:CY428,101,0)</f>
        <v>307</v>
      </c>
      <c r="D219" s="139">
        <f>VLOOKUP(A219,'Data Vlaue (Cr)'!C214:CZ428,102,0)</f>
        <v>3.27E-2</v>
      </c>
      <c r="E219" s="91">
        <f>VLOOKUP($A219,'Data Vlaue (Cr)'!$C:$FB,75)</f>
        <v>5857</v>
      </c>
      <c r="F219" s="91">
        <f>VLOOKUP($A219,'Data Vlaue (Cr)'!$C:$FB,77)</f>
        <v>124</v>
      </c>
      <c r="G219" s="92">
        <f>VLOOKUP(A219,'Data Vlaue (Cr)'!C214:CB428,78,0)</f>
        <v>2.1600000000000001E-2</v>
      </c>
      <c r="H219" s="91">
        <f>VLOOKUP($A219,'Data Vlaue (Cr)'!$C:$FB,91)</f>
        <v>2504</v>
      </c>
      <c r="I219" s="91">
        <f>VLOOKUP($A219,'Data Vlaue (Cr)'!$C:$FB,93)</f>
        <v>146</v>
      </c>
      <c r="J219" s="92">
        <f>VLOOKUP($A219,'Data Vlaue (Cr)'!$C:$FB,94)</f>
        <v>6.2100000000000002E-2</v>
      </c>
      <c r="K219" s="91">
        <f>VLOOKUP($A219,'Data Vlaue (Cr)'!$C:$FB,95)</f>
        <v>1336</v>
      </c>
      <c r="L219" s="91">
        <f>VLOOKUP($A219,'Data Vlaue (Cr)'!$C:$FB,97)</f>
        <v>37</v>
      </c>
      <c r="M219" s="92">
        <f>VLOOKUP($A219,'Data Vlaue (Cr)'!$C:$FB,98)</f>
        <v>2.86E-2</v>
      </c>
      <c r="N219" s="91">
        <f>VLOOKUP($A219,'Data Vlaue (Cr)'!$C:$FB,79)</f>
        <v>5299</v>
      </c>
      <c r="O219" s="92">
        <f>VLOOKUP($A219,'Data Vlaue (Cr)'!$C:$FB,82)</f>
        <v>1.5299999999999999E-2</v>
      </c>
    </row>
    <row r="220" spans="1:15" x14ac:dyDescent="0.25">
      <c r="A220" s="97" t="str">
        <f>'Data Vlaue (Cr)'!C215</f>
        <v>YESBANK</v>
      </c>
      <c r="B220" s="142">
        <f>VLOOKUP(A220,'Data Vlaue (Cr)'!C215:CW429,99,0)</f>
        <v>3536</v>
      </c>
      <c r="C220" s="90">
        <f>VLOOKUP(A220,'Data Vlaue (Cr)'!C215:CY429,101,0)</f>
        <v>20</v>
      </c>
      <c r="D220" s="139">
        <f>VLOOKUP(A220,'Data Vlaue (Cr)'!C215:CZ429,102,0)</f>
        <v>5.5999999999999999E-3</v>
      </c>
      <c r="E220" s="91">
        <f>VLOOKUP($A220,'Data Vlaue (Cr)'!$C:$FB,75)</f>
        <v>2467</v>
      </c>
      <c r="F220" s="91">
        <f>VLOOKUP($A220,'Data Vlaue (Cr)'!$C:$FB,77)</f>
        <v>4</v>
      </c>
      <c r="G220" s="92">
        <f>VLOOKUP(A220,'Data Vlaue (Cr)'!C215:CB429,78,0)</f>
        <v>1.6000000000000001E-3</v>
      </c>
      <c r="H220" s="91">
        <f>VLOOKUP($A220,'Data Vlaue (Cr)'!$C:$FB,91)</f>
        <v>718</v>
      </c>
      <c r="I220" s="91">
        <f>VLOOKUP($A220,'Data Vlaue (Cr)'!$C:$FB,93)</f>
        <v>3</v>
      </c>
      <c r="J220" s="92">
        <f>VLOOKUP($A220,'Data Vlaue (Cr)'!$C:$FB,94)</f>
        <v>3.5999999999999999E-3</v>
      </c>
      <c r="K220" s="91">
        <f>VLOOKUP($A220,'Data Vlaue (Cr)'!$C:$FB,95)</f>
        <v>351</v>
      </c>
      <c r="L220" s="91">
        <f>VLOOKUP($A220,'Data Vlaue (Cr)'!$C:$FB,97)</f>
        <v>13</v>
      </c>
      <c r="M220" s="92">
        <f>VLOOKUP($A220,'Data Vlaue (Cr)'!$C:$FB,98)</f>
        <v>3.9399999999999998E-2</v>
      </c>
      <c r="N220" s="91">
        <f>VLOOKUP($A220,'Data Vlaue (Cr)'!$C:$FB,79)</f>
        <v>2301</v>
      </c>
      <c r="O220" s="92">
        <f>VLOOKUP($A220,'Data Vlaue (Cr)'!$C:$FB,82)</f>
        <v>-7.4000000000000003E-3</v>
      </c>
    </row>
    <row r="221" spans="1:15" x14ac:dyDescent="0.25">
      <c r="A221" s="97" t="str">
        <f>'Data Vlaue (Cr)'!C216</f>
        <v>ZYDUSLIFE</v>
      </c>
      <c r="B221" s="142">
        <f>VLOOKUP(A221,'Data Vlaue (Cr)'!C216:CW430,99,0)</f>
        <v>1331</v>
      </c>
      <c r="C221" s="90">
        <f>VLOOKUP(A221,'Data Vlaue (Cr)'!C216:CY430,101,0)</f>
        <v>30</v>
      </c>
      <c r="D221" s="139">
        <f>VLOOKUP(A221,'Data Vlaue (Cr)'!C216:CZ430,102,0)</f>
        <v>2.3099999999999999E-2</v>
      </c>
      <c r="E221" s="91">
        <f>VLOOKUP($A221,'Data Vlaue (Cr)'!$C:$FB,75)</f>
        <v>874</v>
      </c>
      <c r="F221" s="91">
        <f>VLOOKUP($A221,'Data Vlaue (Cr)'!$C:$FB,77)</f>
        <v>2</v>
      </c>
      <c r="G221" s="92">
        <f>VLOOKUP(A221,'Data Vlaue (Cr)'!C216:CB430,78,0)</f>
        <v>2.3999999999999998E-3</v>
      </c>
      <c r="H221" s="91">
        <f>VLOOKUP($A221,'Data Vlaue (Cr)'!$C:$FB,91)</f>
        <v>267</v>
      </c>
      <c r="I221" s="91">
        <f>VLOOKUP($A221,'Data Vlaue (Cr)'!$C:$FB,93)</f>
        <v>25</v>
      </c>
      <c r="J221" s="92">
        <f>VLOOKUP($A221,'Data Vlaue (Cr)'!$C:$FB,94)</f>
        <v>0.10539999999999999</v>
      </c>
      <c r="K221" s="91">
        <f>VLOOKUP($A221,'Data Vlaue (Cr)'!$C:$FB,95)</f>
        <v>190</v>
      </c>
      <c r="L221" s="91">
        <f>VLOOKUP($A221,'Data Vlaue (Cr)'!$C:$FB,97)</f>
        <v>2</v>
      </c>
      <c r="M221" s="92">
        <f>VLOOKUP($A221,'Data Vlaue (Cr)'!$C:$FB,98)</f>
        <v>1.2999999999999999E-2</v>
      </c>
      <c r="N221" s="91">
        <f>VLOOKUP($A221,'Data Vlaue (Cr)'!$C:$FB,79)</f>
        <v>850</v>
      </c>
      <c r="O221" s="92">
        <f>VLOOKUP($A221,'Data Vlaue (Cr)'!$C:$FB,82)</f>
        <v>1E-3</v>
      </c>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97"/>
      <c r="B226" s="142"/>
      <c r="C226" s="90"/>
      <c r="D226" s="139"/>
      <c r="E226" s="91"/>
      <c r="F226" s="91"/>
      <c r="G226" s="92"/>
      <c r="H226" s="91"/>
      <c r="I226" s="91"/>
      <c r="J226" s="92"/>
      <c r="K226" s="91"/>
      <c r="L226" s="91"/>
      <c r="M226" s="92"/>
      <c r="N226" s="91"/>
      <c r="O226" s="92"/>
    </row>
    <row r="227" spans="1:15" x14ac:dyDescent="0.25">
      <c r="A227" s="97"/>
      <c r="B227" s="142"/>
      <c r="C227" s="90"/>
      <c r="D227" s="139"/>
      <c r="E227" s="91"/>
      <c r="F227" s="91"/>
      <c r="G227" s="92"/>
      <c r="H227" s="91"/>
      <c r="I227" s="91"/>
      <c r="J227" s="92"/>
      <c r="K227" s="91"/>
      <c r="L227" s="91"/>
      <c r="M227" s="92"/>
      <c r="N227" s="91"/>
      <c r="O227" s="92"/>
    </row>
    <row r="228" spans="1:15" x14ac:dyDescent="0.25">
      <c r="A228" s="97"/>
      <c r="B228" s="142"/>
      <c r="C228" s="90"/>
      <c r="D228" s="139"/>
      <c r="E228" s="91"/>
      <c r="F228" s="91"/>
      <c r="G228" s="92"/>
      <c r="H228" s="91"/>
      <c r="I228" s="91"/>
      <c r="J228" s="92"/>
      <c r="K228" s="91"/>
      <c r="L228" s="91"/>
      <c r="M228" s="92"/>
      <c r="N228" s="91"/>
      <c r="O228" s="92"/>
    </row>
    <row r="229" spans="1:15" x14ac:dyDescent="0.25">
      <c r="A229" s="97"/>
      <c r="B229" s="142"/>
      <c r="C229" s="90"/>
      <c r="D229" s="139"/>
      <c r="E229" s="91"/>
      <c r="F229" s="91"/>
      <c r="G229" s="92"/>
      <c r="H229" s="91"/>
      <c r="I229" s="91"/>
      <c r="J229" s="92"/>
      <c r="K229" s="91"/>
      <c r="L229" s="91"/>
      <c r="M229" s="92"/>
      <c r="N229" s="91"/>
      <c r="O229" s="92"/>
    </row>
    <row r="230" spans="1:15" x14ac:dyDescent="0.25">
      <c r="A230" s="97"/>
      <c r="B230" s="142"/>
      <c r="C230" s="90"/>
      <c r="D230" s="139"/>
      <c r="E230" s="91"/>
      <c r="F230" s="91"/>
      <c r="G230" s="92"/>
      <c r="H230" s="91"/>
      <c r="I230" s="91"/>
      <c r="J230" s="92"/>
      <c r="K230" s="91"/>
      <c r="L230" s="91"/>
      <c r="M230" s="92"/>
      <c r="N230" s="91"/>
      <c r="O230" s="92"/>
    </row>
    <row r="231" spans="1:15" x14ac:dyDescent="0.25">
      <c r="A231" s="97"/>
      <c r="B231" s="142"/>
      <c r="C231" s="90"/>
      <c r="D231" s="139"/>
      <c r="E231" s="91"/>
      <c r="F231" s="91"/>
      <c r="G231" s="92"/>
      <c r="H231" s="91"/>
      <c r="I231" s="91"/>
      <c r="J231" s="92"/>
      <c r="K231" s="91"/>
      <c r="L231" s="91"/>
      <c r="M231" s="92"/>
      <c r="N231" s="91"/>
      <c r="O231" s="92"/>
    </row>
    <row r="232" spans="1:15" x14ac:dyDescent="0.25">
      <c r="A232" s="102"/>
      <c r="B232" s="142"/>
      <c r="C232" s="90"/>
      <c r="D232" s="139"/>
      <c r="E232" s="91"/>
      <c r="F232" s="91"/>
      <c r="G232" s="92"/>
      <c r="H232" s="91"/>
      <c r="I232" s="91"/>
      <c r="J232" s="92"/>
      <c r="K232" s="91"/>
      <c r="L232" s="91"/>
      <c r="M232" s="92"/>
      <c r="N232" s="91"/>
      <c r="O232" s="92"/>
    </row>
    <row r="233" spans="1:15" x14ac:dyDescent="0.25">
      <c r="A233" s="122" t="s">
        <v>391</v>
      </c>
      <c r="B233" s="123">
        <f>SUM(B7:B227)</f>
        <v>2296574</v>
      </c>
      <c r="C233" s="123">
        <f>SUM(C7:C230)</f>
        <v>392645</v>
      </c>
      <c r="D233" s="124">
        <f>'Snapshot (Value)'!K241</f>
        <v>0.20450767489566385</v>
      </c>
      <c r="E233" s="123">
        <f>SUM(E7:E228)</f>
        <v>573947</v>
      </c>
      <c r="F233" s="123">
        <f>SUM(F7:F228)</f>
        <v>8985</v>
      </c>
      <c r="G233" s="149">
        <f>F233*100/(E233-F233)</f>
        <v>1.5903724498284841</v>
      </c>
      <c r="H233" s="123">
        <f>SUM(H7:H228)</f>
        <v>965224</v>
      </c>
      <c r="I233" s="123">
        <f>SUM(I7:I228)</f>
        <v>267100</v>
      </c>
      <c r="J233" s="149">
        <f>I233/(H233-I233)</f>
        <v>0.38259678796316987</v>
      </c>
      <c r="K233" s="123">
        <f>SUM(K7:K228)</f>
        <v>757401</v>
      </c>
      <c r="L233" s="123">
        <f>SUM(L7:L228)</f>
        <v>116552</v>
      </c>
      <c r="M233" s="149">
        <f>L233/(K233-L233)</f>
        <v>0.18187123643791284</v>
      </c>
      <c r="N233" s="123">
        <f>SUM(N7:N228)</f>
        <v>523817</v>
      </c>
      <c r="O233" s="149">
        <f>(N233-FII!V2)/N233</f>
        <v>1.16319248897993E-2</v>
      </c>
    </row>
    <row r="238" spans="1:15" x14ac:dyDescent="0.25">
      <c r="A238" s="274" t="s">
        <v>408</v>
      </c>
      <c r="B238" s="274"/>
      <c r="C238" s="274"/>
      <c r="D238" s="274"/>
    </row>
    <row r="239" spans="1:15" x14ac:dyDescent="0.25">
      <c r="A239" s="35" t="s">
        <v>401</v>
      </c>
      <c r="B239" s="35" t="s">
        <v>402</v>
      </c>
      <c r="C239" s="35" t="s">
        <v>369</v>
      </c>
      <c r="D239" s="35" t="s">
        <v>407</v>
      </c>
    </row>
    <row r="240" spans="1:15" x14ac:dyDescent="0.25">
      <c r="A240" s="36" t="s">
        <v>403</v>
      </c>
      <c r="B240" s="37">
        <f>E233</f>
        <v>573947</v>
      </c>
      <c r="C240" s="37">
        <f>F233</f>
        <v>8985</v>
      </c>
      <c r="D240" s="39">
        <f>C240/B240</f>
        <v>1.5654755578476759E-2</v>
      </c>
    </row>
    <row r="241" spans="1:4" x14ac:dyDescent="0.25">
      <c r="A241" s="36" t="s">
        <v>404</v>
      </c>
      <c r="B241" s="37">
        <f>H233</f>
        <v>965224</v>
      </c>
      <c r="C241" s="37">
        <f>I233</f>
        <v>267100</v>
      </c>
      <c r="D241" s="150">
        <f>C241/B241</f>
        <v>0.27672333054296205</v>
      </c>
    </row>
    <row r="242" spans="1:4" x14ac:dyDescent="0.25">
      <c r="A242" s="36" t="s">
        <v>405</v>
      </c>
      <c r="B242" s="37">
        <f>K233</f>
        <v>757401</v>
      </c>
      <c r="C242" s="37">
        <f>L233</f>
        <v>116552</v>
      </c>
      <c r="D242" s="150">
        <f>C242/B242</f>
        <v>0.15388413799295222</v>
      </c>
    </row>
    <row r="243" spans="1:4" x14ac:dyDescent="0.25">
      <c r="A243" s="36" t="s">
        <v>406</v>
      </c>
      <c r="B243" s="37">
        <f>B240+B241+B242</f>
        <v>2296572</v>
      </c>
      <c r="C243" s="37">
        <f>C240+C241+C242</f>
        <v>392637</v>
      </c>
      <c r="D243" s="150">
        <f>C243/B243</f>
        <v>0.17096655362862562</v>
      </c>
    </row>
  </sheetData>
  <autoFilter ref="A6:O6">
    <sortState ref="A7:O154">
      <sortCondition ref="A6"/>
    </sortState>
  </autoFilter>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pane ySplit="6" topLeftCell="A38" activePane="bottomLeft" state="frozen"/>
      <selection pane="bottomLeft" activeCell="H71" sqref="H71"/>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2" t="s">
        <v>343</v>
      </c>
      <c r="B3" s="293"/>
      <c r="C3" s="293"/>
      <c r="D3" s="293"/>
      <c r="E3" s="293"/>
      <c r="F3" s="293"/>
      <c r="G3" s="294"/>
      <c r="H3" s="294"/>
      <c r="I3" s="294"/>
      <c r="J3" s="295"/>
    </row>
    <row r="4" spans="1:10" s="93" customFormat="1" x14ac:dyDescent="0.25">
      <c r="A4" s="296" t="s">
        <v>330</v>
      </c>
      <c r="B4" s="296" t="s">
        <v>308</v>
      </c>
      <c r="C4" s="296"/>
      <c r="D4" s="296"/>
      <c r="E4" s="296" t="s">
        <v>340</v>
      </c>
      <c r="F4" s="296"/>
      <c r="G4" s="296"/>
      <c r="H4" s="296" t="s">
        <v>458</v>
      </c>
      <c r="I4" s="296"/>
      <c r="J4" s="296"/>
    </row>
    <row r="5" spans="1:10" s="93" customFormat="1" x14ac:dyDescent="0.25">
      <c r="A5" s="297"/>
      <c r="B5" s="94" t="s">
        <v>312</v>
      </c>
      <c r="C5" s="94" t="s">
        <v>313</v>
      </c>
      <c r="D5" s="94"/>
      <c r="E5" s="297" t="s">
        <v>314</v>
      </c>
      <c r="F5" s="297"/>
      <c r="G5" s="297"/>
      <c r="H5" s="297" t="s">
        <v>314</v>
      </c>
      <c r="I5" s="297"/>
      <c r="J5" s="297"/>
    </row>
    <row r="6" spans="1:10" s="93" customFormat="1" x14ac:dyDescent="0.25">
      <c r="A6" s="94" t="s">
        <v>318</v>
      </c>
      <c r="B6" s="3">
        <f>'OI(Volume)'!B6</f>
        <v>46146</v>
      </c>
      <c r="C6" s="3">
        <f>B6</f>
        <v>46146</v>
      </c>
      <c r="D6" s="94" t="s">
        <v>328</v>
      </c>
      <c r="E6" s="3">
        <f>B6</f>
        <v>46146</v>
      </c>
      <c r="F6" s="94" t="s">
        <v>322</v>
      </c>
      <c r="G6" s="94" t="s">
        <v>328</v>
      </c>
      <c r="H6" s="3">
        <f>E6</f>
        <v>46146</v>
      </c>
      <c r="I6" s="94" t="s">
        <v>322</v>
      </c>
      <c r="J6" s="94" t="s">
        <v>328</v>
      </c>
    </row>
    <row r="7" spans="1:10" x14ac:dyDescent="0.25">
      <c r="A7" s="101" t="str">
        <f>'NIFTY GRP'!C2</f>
        <v>ADANIENT</v>
      </c>
      <c r="B7" s="140">
        <f>VLOOKUP($A7,'Data shares'!$C:$FA,7)</f>
        <v>2485.6999999999998</v>
      </c>
      <c r="C7" s="140">
        <f>VLOOKUP($A7,'Data shares'!$C:$FA,3)</f>
        <v>2490.6999999999998</v>
      </c>
      <c r="D7" s="50">
        <f>VLOOKUP($A7,'Data shares'!$C:$FA,6)*100</f>
        <v>2.8400000000000003</v>
      </c>
      <c r="E7" s="51">
        <f>VLOOKUP($A7,'Data shares'!$C:$FA,98)</f>
        <v>32587449</v>
      </c>
      <c r="F7" s="51">
        <f>VLOOKUP($A7,'Data shares'!$C:$FA,99)</f>
        <v>30991155</v>
      </c>
      <c r="G7" s="50">
        <f>VLOOKUP($A7,'Data shares'!$C:$FA,101)*100</f>
        <v>5.1499999999999995</v>
      </c>
      <c r="H7" s="49">
        <f>VLOOKUP($A7,'Data Vlaue (Cr)'!$C:$FB,99)</f>
        <v>8117</v>
      </c>
      <c r="I7" s="49">
        <f>VLOOKUP($A7,'Data Vlaue (Cr)'!$C:$FB,100)</f>
        <v>7719</v>
      </c>
      <c r="J7" s="49">
        <f>VLOOKUP($A7,'Data Vlaue (Cr)'!$C:$FB,102)*100</f>
        <v>5.1499999999999995</v>
      </c>
    </row>
    <row r="8" spans="1:10" x14ac:dyDescent="0.25">
      <c r="A8" s="101" t="str">
        <f>'NIFTY GRP'!C3</f>
        <v>ADANIPORTS</v>
      </c>
      <c r="B8" s="140">
        <f>VLOOKUP($A8,'Data shares'!$C:$FA,7)</f>
        <v>1742.6</v>
      </c>
      <c r="C8" s="140">
        <f>VLOOKUP($A8,'Data shares'!$C:$FA,3)</f>
        <v>1748</v>
      </c>
      <c r="D8" s="50">
        <f>VLOOKUP($A8,'Data shares'!$C:$FA,6)*100</f>
        <v>5.12</v>
      </c>
      <c r="E8" s="51">
        <f>VLOOKUP($A8,'Data shares'!$C:$FA,98)</f>
        <v>36706100</v>
      </c>
      <c r="F8" s="51">
        <f>VLOOKUP($A8,'Data shares'!$C:$FA,99)</f>
        <v>31612675</v>
      </c>
      <c r="G8" s="50">
        <f>VLOOKUP($A8,'Data shares'!$C:$FA,101)*100</f>
        <v>16.11</v>
      </c>
      <c r="H8" s="49">
        <f>VLOOKUP($A8,'Data Vlaue (Cr)'!$C:$FB,99)</f>
        <v>6416</v>
      </c>
      <c r="I8" s="49">
        <f>VLOOKUP($A8,'Data Vlaue (Cr)'!$C:$FB,100)</f>
        <v>5526</v>
      </c>
      <c r="J8" s="49">
        <f>VLOOKUP($A8,'Data Vlaue (Cr)'!$C:$FB,102)*100</f>
        <v>16.11</v>
      </c>
    </row>
    <row r="9" spans="1:10" x14ac:dyDescent="0.25">
      <c r="A9" s="101" t="str">
        <f>'NIFTY GRP'!C4</f>
        <v>APOLLOHOSP</v>
      </c>
      <c r="B9" s="140">
        <f>VLOOKUP($A9,'Data shares'!$C:$FA,7)</f>
        <v>7737.5</v>
      </c>
      <c r="C9" s="140">
        <f>VLOOKUP($A9,'Data shares'!$C:$FA,3)</f>
        <v>7780</v>
      </c>
      <c r="D9" s="50">
        <f>VLOOKUP($A9,'Data shares'!$C:$FA,6)*100</f>
        <v>1.31</v>
      </c>
      <c r="E9" s="51">
        <f>VLOOKUP($A9,'Data shares'!$C:$FA,98)</f>
        <v>3083250</v>
      </c>
      <c r="F9" s="51">
        <f>VLOOKUP($A9,'Data shares'!$C:$FA,99)</f>
        <v>2936125</v>
      </c>
      <c r="G9" s="50">
        <f>VLOOKUP($A9,'Data shares'!$C:$FA,101)*100</f>
        <v>5.01</v>
      </c>
      <c r="H9" s="49">
        <f>VLOOKUP($A9,'Data Vlaue (Cr)'!$C:$FB,99)</f>
        <v>2399</v>
      </c>
      <c r="I9" s="49">
        <f>VLOOKUP($A9,'Data Vlaue (Cr)'!$C:$FB,100)</f>
        <v>2284</v>
      </c>
      <c r="J9" s="49">
        <f>VLOOKUP($A9,'Data Vlaue (Cr)'!$C:$FB,102)*100</f>
        <v>5.01</v>
      </c>
    </row>
    <row r="10" spans="1:10" x14ac:dyDescent="0.25">
      <c r="A10" s="101" t="str">
        <f>'NIFTY GRP'!C5</f>
        <v>ASIANPAINT</v>
      </c>
      <c r="B10" s="140">
        <f>VLOOKUP($A10,'Data shares'!$C:$FA,7)</f>
        <v>2448.1</v>
      </c>
      <c r="C10" s="140">
        <f>VLOOKUP($A10,'Data shares'!$C:$FA,3)</f>
        <v>2461.9</v>
      </c>
      <c r="D10" s="50">
        <f>VLOOKUP($A10,'Data shares'!$C:$FA,6)*100</f>
        <v>0.19</v>
      </c>
      <c r="E10" s="51">
        <f>VLOOKUP($A10,'Data shares'!$C:$FA,98)</f>
        <v>21128750</v>
      </c>
      <c r="F10" s="51">
        <f>VLOOKUP($A10,'Data shares'!$C:$FA,99)</f>
        <v>19292250</v>
      </c>
      <c r="G10" s="50">
        <f>VLOOKUP($A10,'Data shares'!$C:$FA,101)*100</f>
        <v>9.5200000000000014</v>
      </c>
      <c r="H10" s="49">
        <f>VLOOKUP($A10,'Data Vlaue (Cr)'!$C:$FB,99)</f>
        <v>5202</v>
      </c>
      <c r="I10" s="49">
        <f>VLOOKUP($A10,'Data Vlaue (Cr)'!$C:$FB,100)</f>
        <v>4750</v>
      </c>
      <c r="J10" s="49">
        <f>VLOOKUP($A10,'Data Vlaue (Cr)'!$C:$FB,102)*100</f>
        <v>9.5200000000000014</v>
      </c>
    </row>
    <row r="11" spans="1:10" x14ac:dyDescent="0.25">
      <c r="A11" s="101" t="str">
        <f>'NIFTY GRP'!C6</f>
        <v>AXISBANK</v>
      </c>
      <c r="B11" s="140">
        <f>VLOOKUP($A11,'Data shares'!$C:$FA,7)</f>
        <v>1275.0999999999999</v>
      </c>
      <c r="C11" s="140">
        <f>VLOOKUP($A11,'Data shares'!$C:$FA,3)</f>
        <v>1282.2</v>
      </c>
      <c r="D11" s="50">
        <f>VLOOKUP($A11,'Data shares'!$C:$FA,6)*100</f>
        <v>0.49</v>
      </c>
      <c r="E11" s="51">
        <f>VLOOKUP($A11,'Data shares'!$C:$FA,98)</f>
        <v>91692500</v>
      </c>
      <c r="F11" s="51">
        <f>VLOOKUP($A11,'Data shares'!$C:$FA,99)</f>
        <v>85863125</v>
      </c>
      <c r="G11" s="50">
        <f>VLOOKUP($A11,'Data shares'!$C:$FA,101)*100</f>
        <v>6.79</v>
      </c>
      <c r="H11" s="49">
        <f>VLOOKUP($A11,'Data Vlaue (Cr)'!$C:$FB,99)</f>
        <v>11757</v>
      </c>
      <c r="I11" s="49">
        <f>VLOOKUP($A11,'Data Vlaue (Cr)'!$C:$FB,100)</f>
        <v>11009</v>
      </c>
      <c r="J11" s="49">
        <f>VLOOKUP($A11,'Data Vlaue (Cr)'!$C:$FB,102)*100</f>
        <v>6.79</v>
      </c>
    </row>
    <row r="12" spans="1:10" x14ac:dyDescent="0.25">
      <c r="A12" s="101" t="str">
        <f>'NIFTY GRP'!C7</f>
        <v>BAJAJ-AUTO</v>
      </c>
      <c r="B12" s="140">
        <f>VLOOKUP($A12,'Data shares'!$C:$FA,7)</f>
        <v>10132</v>
      </c>
      <c r="C12" s="140">
        <f>VLOOKUP($A12,'Data shares'!$C:$FA,3)</f>
        <v>10170.5</v>
      </c>
      <c r="D12" s="50">
        <f>VLOOKUP($A12,'Data shares'!$C:$FA,6)*100</f>
        <v>1.31</v>
      </c>
      <c r="E12" s="51">
        <f>VLOOKUP($A12,'Data shares'!$C:$FA,98)</f>
        <v>5168550</v>
      </c>
      <c r="F12" s="51">
        <f>VLOOKUP($A12,'Data shares'!$C:$FA,99)</f>
        <v>4621350</v>
      </c>
      <c r="G12" s="50">
        <f>VLOOKUP($A12,'Data shares'!$C:$FA,101)*100</f>
        <v>11.84</v>
      </c>
      <c r="H12" s="49">
        <f>VLOOKUP($A12,'Data Vlaue (Cr)'!$C:$FB,99)</f>
        <v>5257</v>
      </c>
      <c r="I12" s="49">
        <f>VLOOKUP($A12,'Data Vlaue (Cr)'!$C:$FB,100)</f>
        <v>4700</v>
      </c>
      <c r="J12" s="49">
        <f>VLOOKUP($A12,'Data Vlaue (Cr)'!$C:$FB,102)*100</f>
        <v>11.84</v>
      </c>
    </row>
    <row r="13" spans="1:10" x14ac:dyDescent="0.25">
      <c r="A13" s="101" t="str">
        <f>'NIFTY GRP'!C8</f>
        <v>BAJAJFINSV</v>
      </c>
      <c r="B13" s="140">
        <f>VLOOKUP($A13,'Data shares'!$C:$FA,7)</f>
        <v>1770.4</v>
      </c>
      <c r="C13" s="140">
        <f>VLOOKUP($A13,'Data shares'!$C:$FA,3)</f>
        <v>1780.2</v>
      </c>
      <c r="D13" s="50">
        <f>VLOOKUP($A13,'Data shares'!$C:$FA,6)*100</f>
        <v>1.59</v>
      </c>
      <c r="E13" s="51">
        <f>VLOOKUP($A13,'Data shares'!$C:$FA,98)</f>
        <v>17313950</v>
      </c>
      <c r="F13" s="51">
        <f>VLOOKUP($A13,'Data shares'!$C:$FA,99)</f>
        <v>16510650</v>
      </c>
      <c r="G13" s="50">
        <f>VLOOKUP($A13,'Data shares'!$C:$FA,101)*100</f>
        <v>4.87</v>
      </c>
      <c r="H13" s="49">
        <f>VLOOKUP($A13,'Data Vlaue (Cr)'!$C:$FB,99)</f>
        <v>3082</v>
      </c>
      <c r="I13" s="49">
        <f>VLOOKUP($A13,'Data Vlaue (Cr)'!$C:$FB,100)</f>
        <v>2939</v>
      </c>
      <c r="J13" s="49">
        <f>VLOOKUP($A13,'Data Vlaue (Cr)'!$C:$FB,102)*100</f>
        <v>4.87</v>
      </c>
    </row>
    <row r="14" spans="1:10" x14ac:dyDescent="0.25">
      <c r="A14" s="101" t="str">
        <f>'NIFTY GRP'!C9</f>
        <v>BAJFINANCE</v>
      </c>
      <c r="B14" s="140">
        <f>VLOOKUP($A14,'Data shares'!$C:$FA,7)</f>
        <v>950.2</v>
      </c>
      <c r="C14" s="140">
        <f>VLOOKUP($A14,'Data shares'!$C:$FA,3)</f>
        <v>953.4</v>
      </c>
      <c r="D14" s="50">
        <f>VLOOKUP($A14,'Data shares'!$C:$FA,6)*100</f>
        <v>1.17</v>
      </c>
      <c r="E14" s="51">
        <f>VLOOKUP($A14,'Data shares'!$C:$FA,98)</f>
        <v>100515000</v>
      </c>
      <c r="F14" s="51">
        <f>VLOOKUP($A14,'Data shares'!$C:$FA,99)</f>
        <v>101565750</v>
      </c>
      <c r="G14" s="50">
        <f>VLOOKUP($A14,'Data shares'!$C:$FA,101)*100</f>
        <v>-1.03</v>
      </c>
      <c r="H14" s="49">
        <f>VLOOKUP($A14,'Data Vlaue (Cr)'!$C:$FB,99)</f>
        <v>9583</v>
      </c>
      <c r="I14" s="49">
        <f>VLOOKUP($A14,'Data Vlaue (Cr)'!$C:$FB,100)</f>
        <v>9683</v>
      </c>
      <c r="J14" s="49">
        <f>VLOOKUP($A14,'Data Vlaue (Cr)'!$C:$FB,102)*100</f>
        <v>-1.03</v>
      </c>
    </row>
    <row r="15" spans="1:10" x14ac:dyDescent="0.25">
      <c r="A15" s="101" t="str">
        <f>'NIFTY GRP'!C10</f>
        <v>BEL</v>
      </c>
      <c r="B15" s="140">
        <f>VLOOKUP($A15,'Data shares'!$C:$FA,7)</f>
        <v>433.55</v>
      </c>
      <c r="C15" s="140">
        <f>VLOOKUP($A15,'Data shares'!$C:$FA,3)</f>
        <v>435.75</v>
      </c>
      <c r="D15" s="50">
        <f>VLOOKUP($A15,'Data shares'!$C:$FA,6)*100</f>
        <v>0.41000000000000003</v>
      </c>
      <c r="E15" s="51">
        <f>VLOOKUP($A15,'Data shares'!$C:$FA,98)</f>
        <v>176607375</v>
      </c>
      <c r="F15" s="51">
        <f>VLOOKUP($A15,'Data shares'!$C:$FA,99)</f>
        <v>169019250</v>
      </c>
      <c r="G15" s="50">
        <f>VLOOKUP($A15,'Data shares'!$C:$FA,101)*100</f>
        <v>4.49</v>
      </c>
      <c r="H15" s="49">
        <f>VLOOKUP($A15,'Data Vlaue (Cr)'!$C:$FB,99)</f>
        <v>7696</v>
      </c>
      <c r="I15" s="49">
        <f>VLOOKUP($A15,'Data Vlaue (Cr)'!$C:$FB,100)</f>
        <v>7365</v>
      </c>
      <c r="J15" s="49">
        <f>VLOOKUP($A15,'Data Vlaue (Cr)'!$C:$FB,102)*100</f>
        <v>4.49</v>
      </c>
    </row>
    <row r="16" spans="1:10" x14ac:dyDescent="0.25">
      <c r="A16" s="101" t="str">
        <f>'NIFTY GRP'!C11</f>
        <v>BHARTIARTL</v>
      </c>
      <c r="B16" s="140">
        <f>VLOOKUP($A16,'Data shares'!$C:$FA,7)</f>
        <v>1827.1</v>
      </c>
      <c r="C16" s="140">
        <f>VLOOKUP($A16,'Data shares'!$C:$FA,3)</f>
        <v>1837.4</v>
      </c>
      <c r="D16" s="50">
        <f>VLOOKUP($A16,'Data shares'!$C:$FA,6)*100</f>
        <v>-3.11</v>
      </c>
      <c r="E16" s="51">
        <f>VLOOKUP($A16,'Data shares'!$C:$FA,98)</f>
        <v>77065425</v>
      </c>
      <c r="F16" s="51">
        <f>VLOOKUP($A16,'Data shares'!$C:$FA,99)</f>
        <v>70052050</v>
      </c>
      <c r="G16" s="50">
        <f>VLOOKUP($A16,'Data shares'!$C:$FA,101)*100</f>
        <v>10.01</v>
      </c>
      <c r="H16" s="49">
        <f>VLOOKUP($A16,'Data Vlaue (Cr)'!$C:$FB,99)</f>
        <v>14160</v>
      </c>
      <c r="I16" s="49">
        <f>VLOOKUP($A16,'Data Vlaue (Cr)'!$C:$FB,100)</f>
        <v>12871</v>
      </c>
      <c r="J16" s="49">
        <f>VLOOKUP($A16,'Data Vlaue (Cr)'!$C:$FB,102)*100</f>
        <v>10.01</v>
      </c>
    </row>
    <row r="17" spans="1:10" x14ac:dyDescent="0.25">
      <c r="A17" s="101" t="str">
        <f>'NIFTY GRP'!C12</f>
        <v>CIPLA</v>
      </c>
      <c r="B17" s="140">
        <f>VLOOKUP($A17,'Data shares'!$C:$FA,7)</f>
        <v>1335</v>
      </c>
      <c r="C17" s="140">
        <f>VLOOKUP($A17,'Data shares'!$C:$FA,3)</f>
        <v>1338.8</v>
      </c>
      <c r="D17" s="50">
        <f>VLOOKUP($A17,'Data shares'!$C:$FA,6)*100</f>
        <v>1.79</v>
      </c>
      <c r="E17" s="51">
        <f>VLOOKUP($A17,'Data shares'!$C:$FA,98)</f>
        <v>20484275</v>
      </c>
      <c r="F17" s="51">
        <f>VLOOKUP($A17,'Data shares'!$C:$FA,99)</f>
        <v>19944775</v>
      </c>
      <c r="G17" s="50">
        <f>VLOOKUP($A17,'Data shares'!$C:$FA,101)*100</f>
        <v>2.7</v>
      </c>
      <c r="H17" s="49">
        <f>VLOOKUP($A17,'Data Vlaue (Cr)'!$C:$FB,99)</f>
        <v>2742</v>
      </c>
      <c r="I17" s="49">
        <f>VLOOKUP($A17,'Data Vlaue (Cr)'!$C:$FB,100)</f>
        <v>2670</v>
      </c>
      <c r="J17" s="49">
        <f>VLOOKUP($A17,'Data Vlaue (Cr)'!$C:$FB,102)*100</f>
        <v>2.7</v>
      </c>
    </row>
    <row r="18" spans="1:10" x14ac:dyDescent="0.25">
      <c r="A18" s="101" t="str">
        <f>'NIFTY GRP'!C13</f>
        <v>COALINDIA</v>
      </c>
      <c r="B18" s="140">
        <f>VLOOKUP($A18,'Data shares'!$C:$FA,7)</f>
        <v>479.95</v>
      </c>
      <c r="C18" s="140">
        <f>VLOOKUP($A18,'Data shares'!$C:$FA,3)</f>
        <v>481.2</v>
      </c>
      <c r="D18" s="50">
        <f>VLOOKUP($A18,'Data shares'!$C:$FA,6)*100</f>
        <v>-0.53</v>
      </c>
      <c r="E18" s="51">
        <f>VLOOKUP($A18,'Data shares'!$C:$FA,98)</f>
        <v>96206400</v>
      </c>
      <c r="F18" s="51">
        <f>VLOOKUP($A18,'Data shares'!$C:$FA,99)</f>
        <v>96141600</v>
      </c>
      <c r="G18" s="50">
        <f>VLOOKUP($A18,'Data shares'!$C:$FA,101)*100</f>
        <v>6.9999999999999993E-2</v>
      </c>
      <c r="H18" s="49">
        <f>VLOOKUP($A18,'Data Vlaue (Cr)'!$C:$FB,99)</f>
        <v>4629</v>
      </c>
      <c r="I18" s="49">
        <f>VLOOKUP($A18,'Data Vlaue (Cr)'!$C:$FB,100)</f>
        <v>4626</v>
      </c>
      <c r="J18" s="49">
        <f>VLOOKUP($A18,'Data Vlaue (Cr)'!$C:$FB,102)*100</f>
        <v>6.9999999999999993E-2</v>
      </c>
    </row>
    <row r="19" spans="1:10" x14ac:dyDescent="0.25">
      <c r="A19" s="101" t="str">
        <f>'NIFTY GRP'!C14</f>
        <v>DRREDDY</v>
      </c>
      <c r="B19" s="140">
        <f>VLOOKUP($A19,'Data shares'!$C:$FA,7)</f>
        <v>1287.2</v>
      </c>
      <c r="C19" s="140">
        <f>VLOOKUP($A19,'Data shares'!$C:$FA,3)</f>
        <v>1281.2</v>
      </c>
      <c r="D19" s="50">
        <f>VLOOKUP($A19,'Data shares'!$C:$FA,6)*100</f>
        <v>-3.01</v>
      </c>
      <c r="E19" s="51">
        <f>VLOOKUP($A19,'Data shares'!$C:$FA,98)</f>
        <v>29093750</v>
      </c>
      <c r="F19" s="51">
        <f>VLOOKUP($A19,'Data shares'!$C:$FA,99)</f>
        <v>26166250</v>
      </c>
      <c r="G19" s="50">
        <f>VLOOKUP($A19,'Data shares'!$C:$FA,101)*100</f>
        <v>11.19</v>
      </c>
      <c r="H19" s="49">
        <f>VLOOKUP($A19,'Data Vlaue (Cr)'!$C:$FB,99)</f>
        <v>3727</v>
      </c>
      <c r="I19" s="49">
        <f>VLOOKUP($A19,'Data Vlaue (Cr)'!$C:$FB,100)</f>
        <v>3352</v>
      </c>
      <c r="J19" s="49">
        <f>VLOOKUP($A19,'Data Vlaue (Cr)'!$C:$FB,102)*100</f>
        <v>11.19</v>
      </c>
    </row>
    <row r="20" spans="1:10" x14ac:dyDescent="0.25">
      <c r="A20" s="101" t="str">
        <f>'NIFTY GRP'!C15</f>
        <v>EICHERMOT</v>
      </c>
      <c r="B20" s="140">
        <f>VLOOKUP($A20,'Data shares'!$C:$FA,7)</f>
        <v>7329</v>
      </c>
      <c r="C20" s="140">
        <f>VLOOKUP($A20,'Data shares'!$C:$FA,3)</f>
        <v>7346</v>
      </c>
      <c r="D20" s="50">
        <f>VLOOKUP($A20,'Data shares'!$C:$FA,6)*100</f>
        <v>2.76</v>
      </c>
      <c r="E20" s="51">
        <f>VLOOKUP($A20,'Data shares'!$C:$FA,98)</f>
        <v>5384100</v>
      </c>
      <c r="F20" s="51">
        <f>VLOOKUP($A20,'Data shares'!$C:$FA,99)</f>
        <v>5195800</v>
      </c>
      <c r="G20" s="50">
        <f>VLOOKUP($A20,'Data shares'!$C:$FA,101)*100</f>
        <v>3.62</v>
      </c>
      <c r="H20" s="49">
        <f>VLOOKUP($A20,'Data Vlaue (Cr)'!$C:$FB,99)</f>
        <v>3955</v>
      </c>
      <c r="I20" s="49">
        <f>VLOOKUP($A20,'Data Vlaue (Cr)'!$C:$FB,100)</f>
        <v>3817</v>
      </c>
      <c r="J20" s="49">
        <f>VLOOKUP($A20,'Data Vlaue (Cr)'!$C:$FB,102)*100</f>
        <v>3.62</v>
      </c>
    </row>
    <row r="21" spans="1:10" x14ac:dyDescent="0.25">
      <c r="A21" s="101" t="str">
        <f>'NIFTY GRP'!C16</f>
        <v>ETERNAL</v>
      </c>
      <c r="B21" s="140">
        <f>VLOOKUP($A21,'Data shares'!$C:$FA,7)</f>
        <v>251.9</v>
      </c>
      <c r="C21" s="140">
        <f>VLOOKUP($A21,'Data shares'!$C:$FA,3)</f>
        <v>253.32</v>
      </c>
      <c r="D21" s="50">
        <f>VLOOKUP($A21,'Data shares'!$C:$FA,6)*100</f>
        <v>1.96</v>
      </c>
      <c r="E21" s="51">
        <f>VLOOKUP($A21,'Data shares'!$C:$FA,98)</f>
        <v>351685625</v>
      </c>
      <c r="F21" s="51">
        <f>VLOOKUP($A21,'Data shares'!$C:$FA,99)</f>
        <v>348443400</v>
      </c>
      <c r="G21" s="50">
        <f>VLOOKUP($A21,'Data shares'!$C:$FA,101)*100</f>
        <v>0.92999999999999994</v>
      </c>
      <c r="H21" s="49">
        <f>VLOOKUP($A21,'Data Vlaue (Cr)'!$C:$FB,99)</f>
        <v>8909</v>
      </c>
      <c r="I21" s="49">
        <f>VLOOKUP($A21,'Data Vlaue (Cr)'!$C:$FB,100)</f>
        <v>8827</v>
      </c>
      <c r="J21" s="49">
        <f>VLOOKUP($A21,'Data Vlaue (Cr)'!$C:$FB,102)*100</f>
        <v>0.92999999999999994</v>
      </c>
    </row>
    <row r="22" spans="1:10" x14ac:dyDescent="0.25">
      <c r="A22" s="101" t="str">
        <f>'NIFTY GRP'!C17</f>
        <v>GRASIM</v>
      </c>
      <c r="B22" s="140">
        <f>VLOOKUP($A22,'Data shares'!$C:$FA,7)</f>
        <v>2856</v>
      </c>
      <c r="C22" s="140">
        <f>VLOOKUP($A22,'Data shares'!$C:$FA,3)</f>
        <v>2871.8</v>
      </c>
      <c r="D22" s="50">
        <f>VLOOKUP($A22,'Data shares'!$C:$FA,6)*100</f>
        <v>2.46</v>
      </c>
      <c r="E22" s="51">
        <f>VLOOKUP($A22,'Data shares'!$C:$FA,98)</f>
        <v>16554750</v>
      </c>
      <c r="F22" s="51">
        <f>VLOOKUP($A22,'Data shares'!$C:$FA,99)</f>
        <v>16192500</v>
      </c>
      <c r="G22" s="50">
        <f>VLOOKUP($A22,'Data shares'!$C:$FA,101)*100</f>
        <v>2.2399999999999998</v>
      </c>
      <c r="H22" s="49">
        <f>VLOOKUP($A22,'Data Vlaue (Cr)'!$C:$FB,99)</f>
        <v>4754</v>
      </c>
      <c r="I22" s="49">
        <f>VLOOKUP($A22,'Data Vlaue (Cr)'!$C:$FB,100)</f>
        <v>4650</v>
      </c>
      <c r="J22" s="49">
        <f>VLOOKUP($A22,'Data Vlaue (Cr)'!$C:$FB,102)*100</f>
        <v>2.2399999999999998</v>
      </c>
    </row>
    <row r="23" spans="1:10" x14ac:dyDescent="0.25">
      <c r="A23" s="101" t="str">
        <f>'NIFTY GRP'!C18</f>
        <v>HCLTECH</v>
      </c>
      <c r="B23" s="140">
        <f>VLOOKUP($A23,'Data shares'!$C:$FA,7)</f>
        <v>1200.5</v>
      </c>
      <c r="C23" s="140">
        <f>VLOOKUP($A23,'Data shares'!$C:$FA,3)</f>
        <v>1201.4000000000001</v>
      </c>
      <c r="D23" s="50">
        <f>VLOOKUP($A23,'Data shares'!$C:$FA,6)*100</f>
        <v>-0.02</v>
      </c>
      <c r="E23" s="51">
        <f>VLOOKUP($A23,'Data shares'!$C:$FA,98)</f>
        <v>77653550</v>
      </c>
      <c r="F23" s="51">
        <f>VLOOKUP($A23,'Data shares'!$C:$FA,99)</f>
        <v>75565500</v>
      </c>
      <c r="G23" s="50">
        <f>VLOOKUP($A23,'Data shares'!$C:$FA,101)*100</f>
        <v>2.76</v>
      </c>
      <c r="H23" s="49">
        <f>VLOOKUP($A23,'Data Vlaue (Cr)'!$C:$FB,99)</f>
        <v>9329</v>
      </c>
      <c r="I23" s="49">
        <f>VLOOKUP($A23,'Data Vlaue (Cr)'!$C:$FB,100)</f>
        <v>9078</v>
      </c>
      <c r="J23" s="49">
        <f>VLOOKUP($A23,'Data Vlaue (Cr)'!$C:$FB,102)*100</f>
        <v>2.76</v>
      </c>
    </row>
    <row r="24" spans="1:10" x14ac:dyDescent="0.25">
      <c r="A24" s="101" t="str">
        <f>'NIFTY GRP'!C19</f>
        <v>HDFCBANK</v>
      </c>
      <c r="B24" s="140">
        <f>VLOOKUP($A24,'Data shares'!$C:$FA,7)</f>
        <v>779.4</v>
      </c>
      <c r="C24" s="140">
        <f>VLOOKUP($A24,'Data shares'!$C:$FA,3)</f>
        <v>782.7</v>
      </c>
      <c r="D24" s="50">
        <f>VLOOKUP($A24,'Data shares'!$C:$FA,6)*100</f>
        <v>0.85000000000000009</v>
      </c>
      <c r="E24" s="51">
        <f>VLOOKUP($A24,'Data shares'!$C:$FA,98)</f>
        <v>441155500</v>
      </c>
      <c r="F24" s="51">
        <f>VLOOKUP($A24,'Data shares'!$C:$FA,99)</f>
        <v>432345350</v>
      </c>
      <c r="G24" s="50">
        <f>VLOOKUP($A24,'Data shares'!$C:$FA,101)*100</f>
        <v>2.04</v>
      </c>
      <c r="H24" s="49">
        <f>VLOOKUP($A24,'Data Vlaue (Cr)'!$C:$FB,99)</f>
        <v>34529</v>
      </c>
      <c r="I24" s="49">
        <f>VLOOKUP($A24,'Data Vlaue (Cr)'!$C:$FB,100)</f>
        <v>33840</v>
      </c>
      <c r="J24" s="49">
        <f>VLOOKUP($A24,'Data Vlaue (Cr)'!$C:$FB,102)*100</f>
        <v>2.04</v>
      </c>
    </row>
    <row r="25" spans="1:10" x14ac:dyDescent="0.25">
      <c r="A25" s="101" t="str">
        <f>'NIFTY GRP'!C20</f>
        <v>HDFCLIFE</v>
      </c>
      <c r="B25" s="140">
        <f>VLOOKUP($A25,'Data shares'!$C:$FA,7)</f>
        <v>588.35</v>
      </c>
      <c r="C25" s="140">
        <f>VLOOKUP($A25,'Data shares'!$C:$FA,3)</f>
        <v>591.75</v>
      </c>
      <c r="D25" s="50">
        <f>VLOOKUP($A25,'Data shares'!$C:$FA,6)*100</f>
        <v>0.3</v>
      </c>
      <c r="E25" s="51">
        <f>VLOOKUP($A25,'Data shares'!$C:$FA,98)</f>
        <v>66485100</v>
      </c>
      <c r="F25" s="51">
        <f>VLOOKUP($A25,'Data shares'!$C:$FA,99)</f>
        <v>63787900</v>
      </c>
      <c r="G25" s="50">
        <f>VLOOKUP($A25,'Data shares'!$C:$FA,101)*100</f>
        <v>4.2299999999999995</v>
      </c>
      <c r="H25" s="49">
        <f>VLOOKUP($A25,'Data Vlaue (Cr)'!$C:$FB,99)</f>
        <v>3934</v>
      </c>
      <c r="I25" s="49">
        <f>VLOOKUP($A25,'Data Vlaue (Cr)'!$C:$FB,100)</f>
        <v>3775</v>
      </c>
      <c r="J25" s="49">
        <f>VLOOKUP($A25,'Data Vlaue (Cr)'!$C:$FB,102)*100</f>
        <v>4.2299999999999995</v>
      </c>
    </row>
    <row r="26" spans="1:10" x14ac:dyDescent="0.25">
      <c r="A26" s="101" t="str">
        <f>'NIFTY GRP'!C21</f>
        <v>HINDALCO</v>
      </c>
      <c r="B26" s="140">
        <f>VLOOKUP($A26,'Data shares'!$C:$FA,7)</f>
        <v>1042.7</v>
      </c>
      <c r="C26" s="140">
        <f>VLOOKUP($A26,'Data shares'!$C:$FA,3)</f>
        <v>1048.5</v>
      </c>
      <c r="D26" s="50">
        <f>VLOOKUP($A26,'Data shares'!$C:$FA,6)*100</f>
        <v>0.59</v>
      </c>
      <c r="E26" s="51">
        <f>VLOOKUP($A26,'Data shares'!$C:$FA,98)</f>
        <v>45077900</v>
      </c>
      <c r="F26" s="51">
        <f>VLOOKUP($A26,'Data shares'!$C:$FA,99)</f>
        <v>43481200</v>
      </c>
      <c r="G26" s="50">
        <f>VLOOKUP($A26,'Data shares'!$C:$FA,101)*100</f>
        <v>3.6700000000000004</v>
      </c>
      <c r="H26" s="49">
        <f>VLOOKUP($A26,'Data Vlaue (Cr)'!$C:$FB,99)</f>
        <v>4726</v>
      </c>
      <c r="I26" s="49">
        <f>VLOOKUP($A26,'Data Vlaue (Cr)'!$C:$FB,100)</f>
        <v>4559</v>
      </c>
      <c r="J26" s="49">
        <f>VLOOKUP($A26,'Data Vlaue (Cr)'!$C:$FB,102)*100</f>
        <v>3.6700000000000004</v>
      </c>
    </row>
    <row r="27" spans="1:10" x14ac:dyDescent="0.25">
      <c r="A27" s="101" t="str">
        <f>'NIFTY GRP'!C22</f>
        <v>HINDUNILVR</v>
      </c>
      <c r="B27" s="140">
        <f>VLOOKUP($A27,'Data shares'!$C:$FA,7)</f>
        <v>2309.3000000000002</v>
      </c>
      <c r="C27" s="140">
        <f>VLOOKUP($A27,'Data shares'!$C:$FA,3)</f>
        <v>2320.1999999999998</v>
      </c>
      <c r="D27" s="50">
        <f>VLOOKUP($A27,'Data shares'!$C:$FA,6)*100</f>
        <v>2.68</v>
      </c>
      <c r="E27" s="51">
        <f>VLOOKUP($A27,'Data shares'!$C:$FA,98)</f>
        <v>26374200</v>
      </c>
      <c r="F27" s="51">
        <f>VLOOKUP($A27,'Data shares'!$C:$FA,99)</f>
        <v>26981700</v>
      </c>
      <c r="G27" s="50">
        <f>VLOOKUP($A27,'Data shares'!$C:$FA,101)*100</f>
        <v>-2.25</v>
      </c>
      <c r="H27" s="49">
        <f>VLOOKUP($A27,'Data Vlaue (Cr)'!$C:$FB,99)</f>
        <v>6119</v>
      </c>
      <c r="I27" s="49">
        <f>VLOOKUP($A27,'Data Vlaue (Cr)'!$C:$FB,100)</f>
        <v>6260</v>
      </c>
      <c r="J27" s="49">
        <f>VLOOKUP($A27,'Data Vlaue (Cr)'!$C:$FB,102)*100</f>
        <v>-2.25</v>
      </c>
    </row>
    <row r="28" spans="1:10" x14ac:dyDescent="0.25">
      <c r="A28" s="101" t="str">
        <f>'NIFTY GRP'!C23</f>
        <v>ICICIBANK</v>
      </c>
      <c r="B28" s="140">
        <f>VLOOKUP($A28,'Data shares'!$C:$FA,7)</f>
        <v>1270.8</v>
      </c>
      <c r="C28" s="140">
        <f>VLOOKUP($A28,'Data shares'!$C:$FA,3)</f>
        <v>1278.3</v>
      </c>
      <c r="D28" s="50">
        <f>VLOOKUP($A28,'Data shares'!$C:$FA,6)*100</f>
        <v>0.6</v>
      </c>
      <c r="E28" s="51">
        <f>VLOOKUP($A28,'Data shares'!$C:$FA,98)</f>
        <v>189903000</v>
      </c>
      <c r="F28" s="51">
        <f>VLOOKUP($A28,'Data shares'!$C:$FA,99)</f>
        <v>182186200</v>
      </c>
      <c r="G28" s="50">
        <f>VLOOKUP($A28,'Data shares'!$C:$FA,101)*100</f>
        <v>4.24</v>
      </c>
      <c r="H28" s="49">
        <f>VLOOKUP($A28,'Data Vlaue (Cr)'!$C:$FB,99)</f>
        <v>24275</v>
      </c>
      <c r="I28" s="49">
        <f>VLOOKUP($A28,'Data Vlaue (Cr)'!$C:$FB,100)</f>
        <v>23289</v>
      </c>
      <c r="J28" s="49">
        <f>VLOOKUP($A28,'Data Vlaue (Cr)'!$C:$FB,102)*100</f>
        <v>4.24</v>
      </c>
    </row>
    <row r="29" spans="1:10" x14ac:dyDescent="0.25">
      <c r="A29" s="101" t="str">
        <f>'NIFTY GRP'!C24</f>
        <v>INDIGO</v>
      </c>
      <c r="B29" s="140">
        <f>VLOOKUP($A29,'Data shares'!$C:$FA,7)</f>
        <v>4262.3999999999996</v>
      </c>
      <c r="C29" s="140">
        <f>VLOOKUP($A29,'Data shares'!$C:$FA,3)</f>
        <v>4285.3999999999996</v>
      </c>
      <c r="D29" s="50">
        <f>VLOOKUP($A29,'Data shares'!$C:$FA,6)*100</f>
        <v>-0.83</v>
      </c>
      <c r="E29" s="51">
        <f>VLOOKUP($A29,'Data shares'!$C:$FA,98)</f>
        <v>12683250</v>
      </c>
      <c r="F29" s="51">
        <f>VLOOKUP($A29,'Data shares'!$C:$FA,99)</f>
        <v>11652000</v>
      </c>
      <c r="G29" s="50">
        <f>VLOOKUP($A29,'Data shares'!$C:$FA,101)*100</f>
        <v>8.85</v>
      </c>
      <c r="H29" s="49">
        <f>VLOOKUP($A29,'Data Vlaue (Cr)'!$C:$FB,99)</f>
        <v>5435</v>
      </c>
      <c r="I29" s="49">
        <f>VLOOKUP($A29,'Data Vlaue (Cr)'!$C:$FB,100)</f>
        <v>4993</v>
      </c>
      <c r="J29" s="49">
        <f>VLOOKUP($A29,'Data Vlaue (Cr)'!$C:$FB,102)*100</f>
        <v>8.85</v>
      </c>
    </row>
    <row r="30" spans="1:10" x14ac:dyDescent="0.25">
      <c r="A30" s="101" t="str">
        <f>'NIFTY GRP'!C25</f>
        <v>INFY</v>
      </c>
      <c r="B30" s="140">
        <f>VLOOKUP($A30,'Data shares'!$C:$FA,7)</f>
        <v>1168.4000000000001</v>
      </c>
      <c r="C30" s="140">
        <f>VLOOKUP($A30,'Data shares'!$C:$FA,3)</f>
        <v>1173</v>
      </c>
      <c r="D30" s="50">
        <f>VLOOKUP($A30,'Data shares'!$C:$FA,6)*100</f>
        <v>-1.21</v>
      </c>
      <c r="E30" s="51">
        <f>VLOOKUP($A30,'Data shares'!$C:$FA,98)</f>
        <v>139034800</v>
      </c>
      <c r="F30" s="51">
        <f>VLOOKUP($A30,'Data shares'!$C:$FA,99)</f>
        <v>134222400</v>
      </c>
      <c r="G30" s="50">
        <f>VLOOKUP($A30,'Data shares'!$C:$FA,101)*100</f>
        <v>3.5900000000000003</v>
      </c>
      <c r="H30" s="49">
        <f>VLOOKUP($A30,'Data Vlaue (Cr)'!$C:$FB,99)</f>
        <v>16309</v>
      </c>
      <c r="I30" s="49">
        <f>VLOOKUP($A30,'Data Vlaue (Cr)'!$C:$FB,100)</f>
        <v>15744</v>
      </c>
      <c r="J30" s="49">
        <f>VLOOKUP($A30,'Data Vlaue (Cr)'!$C:$FB,102)*100</f>
        <v>3.5900000000000003</v>
      </c>
    </row>
    <row r="31" spans="1:10" x14ac:dyDescent="0.25">
      <c r="A31" s="101" t="str">
        <f>'NIFTY GRP'!C26</f>
        <v>ITC</v>
      </c>
      <c r="B31" s="140">
        <f>VLOOKUP($A31,'Data shares'!$C:$FA,7)</f>
        <v>311.10000000000002</v>
      </c>
      <c r="C31" s="140">
        <f>VLOOKUP($A31,'Data shares'!$C:$FA,3)</f>
        <v>312.60000000000002</v>
      </c>
      <c r="D31" s="50">
        <f>VLOOKUP($A31,'Data shares'!$C:$FA,6)*100</f>
        <v>-1</v>
      </c>
      <c r="E31" s="51">
        <f>VLOOKUP($A31,'Data shares'!$C:$FA,98)</f>
        <v>300419450</v>
      </c>
      <c r="F31" s="51">
        <f>VLOOKUP($A31,'Data shares'!$C:$FA,99)</f>
        <v>281355525</v>
      </c>
      <c r="G31" s="50">
        <f>VLOOKUP($A31,'Data shares'!$C:$FA,101)*100</f>
        <v>6.78</v>
      </c>
      <c r="H31" s="49">
        <f>VLOOKUP($A31,'Data Vlaue (Cr)'!$C:$FB,99)</f>
        <v>9391</v>
      </c>
      <c r="I31" s="49">
        <f>VLOOKUP($A31,'Data Vlaue (Cr)'!$C:$FB,100)</f>
        <v>8795</v>
      </c>
      <c r="J31" s="49">
        <f>VLOOKUP($A31,'Data Vlaue (Cr)'!$C:$FB,102)*100</f>
        <v>6.78</v>
      </c>
    </row>
    <row r="32" spans="1:10" x14ac:dyDescent="0.25">
      <c r="A32" s="101" t="str">
        <f>'NIFTY GRP'!C27</f>
        <v>JIOFIN</v>
      </c>
      <c r="B32" s="140">
        <f>VLOOKUP($A32,'Data shares'!$C:$FA,7)</f>
        <v>252.74</v>
      </c>
      <c r="C32" s="140">
        <f>VLOOKUP($A32,'Data shares'!$C:$FA,3)</f>
        <v>254.4</v>
      </c>
      <c r="D32" s="50">
        <f>VLOOKUP($A32,'Data shares'!$C:$FA,6)*100</f>
        <v>2.9499999999999997</v>
      </c>
      <c r="E32" s="51">
        <f>VLOOKUP($A32,'Data shares'!$C:$FA,98)</f>
        <v>293108450</v>
      </c>
      <c r="F32" s="51">
        <f>VLOOKUP($A32,'Data shares'!$C:$FA,99)</f>
        <v>291700800</v>
      </c>
      <c r="G32" s="50">
        <f>VLOOKUP($A32,'Data shares'!$C:$FA,101)*100</f>
        <v>0.48</v>
      </c>
      <c r="H32" s="49">
        <f>VLOOKUP($A32,'Data Vlaue (Cr)'!$C:$FB,99)</f>
        <v>7457</v>
      </c>
      <c r="I32" s="49">
        <f>VLOOKUP($A32,'Data Vlaue (Cr)'!$C:$FB,100)</f>
        <v>7421</v>
      </c>
      <c r="J32" s="49">
        <f>VLOOKUP($A32,'Data Vlaue (Cr)'!$C:$FB,102)*100</f>
        <v>0.48</v>
      </c>
    </row>
    <row r="33" spans="1:10" x14ac:dyDescent="0.25">
      <c r="A33" s="101" t="str">
        <f>'NIFTY GRP'!C28</f>
        <v>JSWSTEEL</v>
      </c>
      <c r="B33" s="140">
        <f>VLOOKUP($A33,'Data shares'!$C:$FA,7)</f>
        <v>1266.5999999999999</v>
      </c>
      <c r="C33" s="140">
        <f>VLOOKUP($A33,'Data shares'!$C:$FA,3)</f>
        <v>1273.9000000000001</v>
      </c>
      <c r="D33" s="50">
        <f>VLOOKUP($A33,'Data shares'!$C:$FA,6)*100</f>
        <v>0.27999999999999997</v>
      </c>
      <c r="E33" s="51">
        <f>VLOOKUP($A33,'Data shares'!$C:$FA,98)</f>
        <v>57477600</v>
      </c>
      <c r="F33" s="51">
        <f>VLOOKUP($A33,'Data shares'!$C:$FA,99)</f>
        <v>56607525</v>
      </c>
      <c r="G33" s="50">
        <f>VLOOKUP($A33,'Data shares'!$C:$FA,101)*100</f>
        <v>1.54</v>
      </c>
      <c r="H33" s="49">
        <f>VLOOKUP($A33,'Data Vlaue (Cr)'!$C:$FB,99)</f>
        <v>7322</v>
      </c>
      <c r="I33" s="49">
        <f>VLOOKUP($A33,'Data Vlaue (Cr)'!$C:$FB,100)</f>
        <v>7211</v>
      </c>
      <c r="J33" s="49">
        <f>VLOOKUP($A33,'Data Vlaue (Cr)'!$C:$FB,102)*100</f>
        <v>1.54</v>
      </c>
    </row>
    <row r="34" spans="1:10" x14ac:dyDescent="0.25">
      <c r="A34" s="101" t="str">
        <f>'NIFTY GRP'!C29</f>
        <v>KOTAKBANK</v>
      </c>
      <c r="B34" s="140">
        <f>VLOOKUP($A34,'Data shares'!$C:$FA,7)</f>
        <v>371.65</v>
      </c>
      <c r="C34" s="140">
        <f>VLOOKUP($A34,'Data shares'!$C:$FA,3)</f>
        <v>372.5</v>
      </c>
      <c r="D34" s="50">
        <f>VLOOKUP($A34,'Data shares'!$C:$FA,6)*100</f>
        <v>-3.47</v>
      </c>
      <c r="E34" s="51">
        <f>VLOOKUP($A34,'Data shares'!$C:$FA,98)</f>
        <v>308854000</v>
      </c>
      <c r="F34" s="51">
        <f>VLOOKUP($A34,'Data shares'!$C:$FA,99)</f>
        <v>303524000</v>
      </c>
      <c r="G34" s="50">
        <f>VLOOKUP($A34,'Data shares'!$C:$FA,101)*100</f>
        <v>1.76</v>
      </c>
      <c r="H34" s="49">
        <f>VLOOKUP($A34,'Data Vlaue (Cr)'!$C:$FB,99)</f>
        <v>11505</v>
      </c>
      <c r="I34" s="49">
        <f>VLOOKUP($A34,'Data Vlaue (Cr)'!$C:$FB,100)</f>
        <v>11306</v>
      </c>
      <c r="J34" s="49">
        <f>VLOOKUP($A34,'Data Vlaue (Cr)'!$C:$FB,102)*100</f>
        <v>1.76</v>
      </c>
    </row>
    <row r="35" spans="1:10" x14ac:dyDescent="0.25">
      <c r="A35" s="101" t="str">
        <f>'NIFTY GRP'!C30</f>
        <v>LT</v>
      </c>
      <c r="B35" s="140">
        <f>VLOOKUP($A35,'Data shares'!$C:$FA,7)</f>
        <v>4100.8</v>
      </c>
      <c r="C35" s="140">
        <f>VLOOKUP($A35,'Data shares'!$C:$FA,3)</f>
        <v>4120.3</v>
      </c>
      <c r="D35" s="50">
        <f>VLOOKUP($A35,'Data shares'!$C:$FA,6)*100</f>
        <v>2.0500000000000003</v>
      </c>
      <c r="E35" s="51">
        <f>VLOOKUP($A35,'Data shares'!$C:$FA,98)</f>
        <v>23251375</v>
      </c>
      <c r="F35" s="51">
        <f>VLOOKUP($A35,'Data shares'!$C:$FA,99)</f>
        <v>21916475</v>
      </c>
      <c r="G35" s="50">
        <f>VLOOKUP($A35,'Data shares'!$C:$FA,101)*100</f>
        <v>6.09</v>
      </c>
      <c r="H35" s="49">
        <f>VLOOKUP($A35,'Data Vlaue (Cr)'!$C:$FB,99)</f>
        <v>9580</v>
      </c>
      <c r="I35" s="49">
        <f>VLOOKUP($A35,'Data Vlaue (Cr)'!$C:$FB,100)</f>
        <v>9030</v>
      </c>
      <c r="J35" s="49">
        <f>VLOOKUP($A35,'Data Vlaue (Cr)'!$C:$FB,102)*100</f>
        <v>6.09</v>
      </c>
    </row>
    <row r="36" spans="1:10" x14ac:dyDescent="0.25">
      <c r="A36" s="101" t="str">
        <f>'NIFTY GRP'!C31</f>
        <v>M&amp;M</v>
      </c>
      <c r="B36" s="140">
        <f>VLOOKUP($A36,'Data shares'!$C:$FA,7)</f>
        <v>3106.5</v>
      </c>
      <c r="C36" s="140">
        <f>VLOOKUP($A36,'Data shares'!$C:$FA,3)</f>
        <v>3120.2</v>
      </c>
      <c r="D36" s="50">
        <f>VLOOKUP($A36,'Data shares'!$C:$FA,6)*100</f>
        <v>0.16999999999999998</v>
      </c>
      <c r="E36" s="51">
        <f>VLOOKUP($A36,'Data shares'!$C:$FA,98)</f>
        <v>28714600</v>
      </c>
      <c r="F36" s="51">
        <f>VLOOKUP($A36,'Data shares'!$C:$FA,99)</f>
        <v>26667600</v>
      </c>
      <c r="G36" s="50">
        <f>VLOOKUP($A36,'Data shares'!$C:$FA,101)*100</f>
        <v>7.68</v>
      </c>
      <c r="H36" s="49">
        <f>VLOOKUP($A36,'Data Vlaue (Cr)'!$C:$FB,99)</f>
        <v>8960</v>
      </c>
      <c r="I36" s="49">
        <f>VLOOKUP($A36,'Data Vlaue (Cr)'!$C:$FB,100)</f>
        <v>8321</v>
      </c>
      <c r="J36" s="49">
        <f>VLOOKUP($A36,'Data Vlaue (Cr)'!$C:$FB,102)*100</f>
        <v>7.68</v>
      </c>
    </row>
    <row r="37" spans="1:10" x14ac:dyDescent="0.25">
      <c r="A37" s="101" t="str">
        <f>'NIFTY GRP'!C32</f>
        <v>MARUTI</v>
      </c>
      <c r="B37" s="140">
        <f>VLOOKUP($A37,'Data shares'!$C:$FA,7)</f>
        <v>13580</v>
      </c>
      <c r="C37" s="140">
        <f>VLOOKUP($A37,'Data shares'!$C:$FA,3)</f>
        <v>13656</v>
      </c>
      <c r="D37" s="50">
        <f>VLOOKUP($A37,'Data shares'!$C:$FA,6)*100</f>
        <v>2.02</v>
      </c>
      <c r="E37" s="51">
        <f>VLOOKUP($A37,'Data shares'!$C:$FA,98)</f>
        <v>5947550</v>
      </c>
      <c r="F37" s="51">
        <f>VLOOKUP($A37,'Data shares'!$C:$FA,99)</f>
        <v>5463600</v>
      </c>
      <c r="G37" s="50">
        <f>VLOOKUP($A37,'Data shares'!$C:$FA,101)*100</f>
        <v>8.86</v>
      </c>
      <c r="H37" s="49">
        <f>VLOOKUP($A37,'Data Vlaue (Cr)'!$C:$FB,99)</f>
        <v>8122</v>
      </c>
      <c r="I37" s="49">
        <f>VLOOKUP($A37,'Data Vlaue (Cr)'!$C:$FB,100)</f>
        <v>7461</v>
      </c>
      <c r="J37" s="49">
        <f>VLOOKUP($A37,'Data Vlaue (Cr)'!$C:$FB,102)*100</f>
        <v>8.86</v>
      </c>
    </row>
    <row r="38" spans="1:10" x14ac:dyDescent="0.25">
      <c r="A38" s="101" t="str">
        <f>'NIFTY GRP'!C33</f>
        <v>MAXHEALTH</v>
      </c>
      <c r="B38" s="140">
        <f>VLOOKUP($A38,'Data shares'!$C:$FA,7)</f>
        <v>1011.55</v>
      </c>
      <c r="C38" s="140">
        <f>VLOOKUP($A38,'Data shares'!$C:$FA,3)</f>
        <v>1017.65</v>
      </c>
      <c r="D38" s="50">
        <f>VLOOKUP($A38,'Data shares'!$C:$FA,6)*100</f>
        <v>1.87</v>
      </c>
      <c r="E38" s="51">
        <f>VLOOKUP($A38,'Data shares'!$C:$FA,98)</f>
        <v>16648800</v>
      </c>
      <c r="F38" s="51">
        <f>VLOOKUP($A38,'Data shares'!$C:$FA,99)</f>
        <v>15876000</v>
      </c>
      <c r="G38" s="50">
        <f>VLOOKUP($A38,'Data shares'!$C:$FA,101)*100</f>
        <v>4.87</v>
      </c>
      <c r="H38" s="49">
        <f>VLOOKUP($A38,'Data Vlaue (Cr)'!$C:$FB,99)</f>
        <v>1694</v>
      </c>
      <c r="I38" s="49">
        <f>VLOOKUP($A38,'Data Vlaue (Cr)'!$C:$FB,100)</f>
        <v>1616</v>
      </c>
      <c r="J38" s="49">
        <f>VLOOKUP($A38,'Data Vlaue (Cr)'!$C:$FB,102)*100</f>
        <v>4.87</v>
      </c>
    </row>
    <row r="39" spans="1:10" x14ac:dyDescent="0.25">
      <c r="A39" s="101" t="str">
        <f>'NIFTY GRP'!C34</f>
        <v>NESTLEIND</v>
      </c>
      <c r="B39" s="140">
        <f>VLOOKUP($A39,'Data shares'!$C:$FA,7)</f>
        <v>1457.1</v>
      </c>
      <c r="C39" s="140">
        <f>VLOOKUP($A39,'Data shares'!$C:$FA,3)</f>
        <v>1460.1</v>
      </c>
      <c r="D39" s="50">
        <f>VLOOKUP($A39,'Data shares'!$C:$FA,6)*100</f>
        <v>-0.13999999999999999</v>
      </c>
      <c r="E39" s="51">
        <f>VLOOKUP($A39,'Data shares'!$C:$FA,98)</f>
        <v>21420500</v>
      </c>
      <c r="F39" s="51">
        <f>VLOOKUP($A39,'Data shares'!$C:$FA,99)</f>
        <v>21296500</v>
      </c>
      <c r="G39" s="50">
        <f>VLOOKUP($A39,'Data shares'!$C:$FA,101)*100</f>
        <v>0.57999999999999996</v>
      </c>
      <c r="H39" s="49">
        <f>VLOOKUP($A39,'Data Vlaue (Cr)'!$C:$FB,99)</f>
        <v>3128</v>
      </c>
      <c r="I39" s="49">
        <f>VLOOKUP($A39,'Data Vlaue (Cr)'!$C:$FB,100)</f>
        <v>3110</v>
      </c>
      <c r="J39" s="49">
        <f>VLOOKUP($A39,'Data Vlaue (Cr)'!$C:$FB,102)*100</f>
        <v>0.57999999999999996</v>
      </c>
    </row>
    <row r="40" spans="1:10" x14ac:dyDescent="0.25">
      <c r="A40" s="101" t="str">
        <f>'NIFTY GRP'!C35</f>
        <v>NTPC</v>
      </c>
      <c r="B40" s="140">
        <f>VLOOKUP($A40,'Data shares'!$C:$FA,7)</f>
        <v>400.05</v>
      </c>
      <c r="C40" s="140">
        <f>VLOOKUP($A40,'Data shares'!$C:$FA,3)</f>
        <v>402.2</v>
      </c>
      <c r="D40" s="50">
        <f>VLOOKUP($A40,'Data shares'!$C:$FA,6)*100</f>
        <v>0.42</v>
      </c>
      <c r="E40" s="51">
        <f>VLOOKUP($A40,'Data shares'!$C:$FA,98)</f>
        <v>157033500</v>
      </c>
      <c r="F40" s="51">
        <f>VLOOKUP($A40,'Data shares'!$C:$FA,99)</f>
        <v>153456000</v>
      </c>
      <c r="G40" s="50">
        <f>VLOOKUP($A40,'Data shares'!$C:$FA,101)*100</f>
        <v>2.33</v>
      </c>
      <c r="H40" s="49">
        <f>VLOOKUP($A40,'Data Vlaue (Cr)'!$C:$FB,99)</f>
        <v>6316</v>
      </c>
      <c r="I40" s="49">
        <f>VLOOKUP($A40,'Data Vlaue (Cr)'!$C:$FB,100)</f>
        <v>6172</v>
      </c>
      <c r="J40" s="49">
        <f>VLOOKUP($A40,'Data Vlaue (Cr)'!$C:$FB,102)*100</f>
        <v>2.33</v>
      </c>
    </row>
    <row r="41" spans="1:10" x14ac:dyDescent="0.25">
      <c r="A41" s="101" t="str">
        <f>'NIFTY GRP'!C36</f>
        <v>ONGC</v>
      </c>
      <c r="B41" s="140">
        <f>VLOOKUP($A41,'Data shares'!$C:$FA,7)</f>
        <v>292.89999999999998</v>
      </c>
      <c r="C41" s="140">
        <f>VLOOKUP($A41,'Data shares'!$C:$FA,3)</f>
        <v>294.55</v>
      </c>
      <c r="D41" s="50">
        <f>VLOOKUP($A41,'Data shares'!$C:$FA,6)*100</f>
        <v>-2.16</v>
      </c>
      <c r="E41" s="51">
        <f>VLOOKUP($A41,'Data shares'!$C:$FA,98)</f>
        <v>162976500</v>
      </c>
      <c r="F41" s="51">
        <f>VLOOKUP($A41,'Data shares'!$C:$FA,99)</f>
        <v>158334750</v>
      </c>
      <c r="G41" s="50">
        <f>VLOOKUP($A41,'Data shares'!$C:$FA,101)*100</f>
        <v>2.93</v>
      </c>
      <c r="H41" s="49">
        <f>VLOOKUP($A41,'Data Vlaue (Cr)'!$C:$FB,99)</f>
        <v>4800</v>
      </c>
      <c r="I41" s="49">
        <f>VLOOKUP($A41,'Data Vlaue (Cr)'!$C:$FB,100)</f>
        <v>4664</v>
      </c>
      <c r="J41" s="49">
        <f>VLOOKUP($A41,'Data Vlaue (Cr)'!$C:$FB,102)*100</f>
        <v>2.93</v>
      </c>
    </row>
    <row r="42" spans="1:10" x14ac:dyDescent="0.25">
      <c r="A42" s="101" t="str">
        <f>'NIFTY GRP'!C37</f>
        <v>POWERGRID</v>
      </c>
      <c r="B42" s="140">
        <f>VLOOKUP($A42,'Data shares'!$C:$FA,7)</f>
        <v>319.05</v>
      </c>
      <c r="C42" s="140">
        <f>VLOOKUP($A42,'Data shares'!$C:$FA,3)</f>
        <v>320.10000000000002</v>
      </c>
      <c r="D42" s="50">
        <f>VLOOKUP($A42,'Data shares'!$C:$FA,6)*100</f>
        <v>0.3</v>
      </c>
      <c r="E42" s="51">
        <f>VLOOKUP($A42,'Data shares'!$C:$FA,98)</f>
        <v>112037300</v>
      </c>
      <c r="F42" s="51">
        <f>VLOOKUP($A42,'Data shares'!$C:$FA,99)</f>
        <v>107581800</v>
      </c>
      <c r="G42" s="50">
        <f>VLOOKUP($A42,'Data shares'!$C:$FA,101)*100</f>
        <v>4.1399999999999997</v>
      </c>
      <c r="H42" s="49">
        <f>VLOOKUP($A42,'Data Vlaue (Cr)'!$C:$FB,99)</f>
        <v>3586</v>
      </c>
      <c r="I42" s="49">
        <f>VLOOKUP($A42,'Data Vlaue (Cr)'!$C:$FB,100)</f>
        <v>3444</v>
      </c>
      <c r="J42" s="49">
        <f>VLOOKUP($A42,'Data Vlaue (Cr)'!$C:$FB,102)*100</f>
        <v>4.1399999999999997</v>
      </c>
    </row>
    <row r="43" spans="1:10" x14ac:dyDescent="0.25">
      <c r="A43" s="101" t="str">
        <f>'NIFTY GRP'!C38</f>
        <v>RELIANCE</v>
      </c>
      <c r="B43" s="140">
        <f>VLOOKUP($A43,'Data shares'!$C:$FA,7)</f>
        <v>1463.1</v>
      </c>
      <c r="C43" s="140">
        <f>VLOOKUP($A43,'Data shares'!$C:$FA,3)</f>
        <v>1467</v>
      </c>
      <c r="D43" s="50">
        <f>VLOOKUP($A43,'Data shares'!$C:$FA,6)*100</f>
        <v>2.2200000000000002</v>
      </c>
      <c r="E43" s="51">
        <f>VLOOKUP($A43,'Data shares'!$C:$FA,98)</f>
        <v>177046000</v>
      </c>
      <c r="F43" s="51">
        <f>VLOOKUP($A43,'Data shares'!$C:$FA,99)</f>
        <v>175670000</v>
      </c>
      <c r="G43" s="50">
        <f>VLOOKUP($A43,'Data shares'!$C:$FA,101)*100</f>
        <v>0.77999999999999992</v>
      </c>
      <c r="H43" s="49">
        <f>VLOOKUP($A43,'Data Vlaue (Cr)'!$C:$FB,99)</f>
        <v>25973</v>
      </c>
      <c r="I43" s="49">
        <f>VLOOKUP($A43,'Data Vlaue (Cr)'!$C:$FB,100)</f>
        <v>25771</v>
      </c>
      <c r="J43" s="49">
        <f>VLOOKUP($A43,'Data Vlaue (Cr)'!$C:$FB,102)*100</f>
        <v>0.77999999999999992</v>
      </c>
    </row>
    <row r="44" spans="1:10" x14ac:dyDescent="0.25">
      <c r="A44" s="101" t="str">
        <f>'NIFTY GRP'!C39</f>
        <v>SBILIFE</v>
      </c>
      <c r="B44" s="140">
        <f>VLOOKUP($A44,'Data shares'!$C:$FA,7)</f>
        <v>1820.1</v>
      </c>
      <c r="C44" s="140">
        <f>VLOOKUP($A44,'Data shares'!$C:$FA,3)</f>
        <v>1827.4</v>
      </c>
      <c r="D44" s="50">
        <f>VLOOKUP($A44,'Data shares'!$C:$FA,6)*100</f>
        <v>0.19</v>
      </c>
      <c r="E44" s="51">
        <f>VLOOKUP($A44,'Data shares'!$C:$FA,98)</f>
        <v>15378750</v>
      </c>
      <c r="F44" s="51">
        <f>VLOOKUP($A44,'Data shares'!$C:$FA,99)</f>
        <v>14804625</v>
      </c>
      <c r="G44" s="50">
        <f>VLOOKUP($A44,'Data shares'!$C:$FA,101)*100</f>
        <v>3.88</v>
      </c>
      <c r="H44" s="49">
        <f>VLOOKUP($A44,'Data Vlaue (Cr)'!$C:$FB,99)</f>
        <v>2810</v>
      </c>
      <c r="I44" s="49">
        <f>VLOOKUP($A44,'Data Vlaue (Cr)'!$C:$FB,100)</f>
        <v>2705</v>
      </c>
      <c r="J44" s="49">
        <f>VLOOKUP($A44,'Data Vlaue (Cr)'!$C:$FB,102)*100</f>
        <v>3.88</v>
      </c>
    </row>
    <row r="45" spans="1:10" x14ac:dyDescent="0.25">
      <c r="A45" s="101" t="str">
        <f>'NIFTY GRP'!C40</f>
        <v>SBIN</v>
      </c>
      <c r="B45" s="140">
        <f>VLOOKUP($A45,'Data shares'!$C:$FA,7)</f>
        <v>1068.4000000000001</v>
      </c>
      <c r="C45" s="140">
        <f>VLOOKUP($A45,'Data shares'!$C:$FA,3)</f>
        <v>1060</v>
      </c>
      <c r="D45" s="50">
        <f>VLOOKUP($A45,'Data shares'!$C:$FA,6)*100</f>
        <v>-0.38999999999999996</v>
      </c>
      <c r="E45" s="51">
        <f>VLOOKUP($A45,'Data shares'!$C:$FA,98)</f>
        <v>149257500</v>
      </c>
      <c r="F45" s="51">
        <f>VLOOKUP($A45,'Data shares'!$C:$FA,99)</f>
        <v>138456000</v>
      </c>
      <c r="G45" s="50">
        <f>VLOOKUP($A45,'Data shares'!$C:$FA,101)*100</f>
        <v>7.8</v>
      </c>
      <c r="H45" s="49">
        <f>VLOOKUP($A45,'Data Vlaue (Cr)'!$C:$FB,99)</f>
        <v>15821</v>
      </c>
      <c r="I45" s="49">
        <f>VLOOKUP($A45,'Data Vlaue (Cr)'!$C:$FB,100)</f>
        <v>14676</v>
      </c>
      <c r="J45" s="49">
        <f>VLOOKUP($A45,'Data Vlaue (Cr)'!$C:$FB,102)*100</f>
        <v>7.8</v>
      </c>
    </row>
    <row r="46" spans="1:10" x14ac:dyDescent="0.25">
      <c r="A46" s="101" t="str">
        <f>'NIFTY GRP'!C41</f>
        <v>SHRIRAMFIN</v>
      </c>
      <c r="B46" s="140">
        <f>VLOOKUP($A46,'Data shares'!$C:$FA,7)</f>
        <v>960.45</v>
      </c>
      <c r="C46" s="140">
        <f>VLOOKUP($A46,'Data shares'!$C:$FA,3)</f>
        <v>962.95</v>
      </c>
      <c r="D46" s="50">
        <f>VLOOKUP($A46,'Data shares'!$C:$FA,6)*100</f>
        <v>2.4500000000000002</v>
      </c>
      <c r="E46" s="51">
        <f>VLOOKUP($A46,'Data shares'!$C:$FA,98)</f>
        <v>71866575</v>
      </c>
      <c r="F46" s="51">
        <f>VLOOKUP($A46,'Data shares'!$C:$FA,99)</f>
        <v>70616700</v>
      </c>
      <c r="G46" s="50">
        <f>VLOOKUP($A46,'Data shares'!$C:$FA,101)*100</f>
        <v>1.77</v>
      </c>
      <c r="H46" s="49">
        <f>VLOOKUP($A46,'Data Vlaue (Cr)'!$C:$FB,99)</f>
        <v>6920</v>
      </c>
      <c r="I46" s="49">
        <f>VLOOKUP($A46,'Data Vlaue (Cr)'!$C:$FB,100)</f>
        <v>6800</v>
      </c>
      <c r="J46" s="49">
        <f>VLOOKUP($A46,'Data Vlaue (Cr)'!$C:$FB,102)*100</f>
        <v>1.77</v>
      </c>
    </row>
    <row r="47" spans="1:10" x14ac:dyDescent="0.25">
      <c r="A47" s="101" t="str">
        <f>'NIFTY GRP'!C42</f>
        <v>SUNPHARMA</v>
      </c>
      <c r="B47" s="140">
        <f>VLOOKUP($A47,'Data shares'!$C:$FA,7)</f>
        <v>1823.5</v>
      </c>
      <c r="C47" s="140">
        <f>VLOOKUP($A47,'Data shares'!$C:$FA,3)</f>
        <v>1828.1</v>
      </c>
      <c r="D47" s="50">
        <f>VLOOKUP($A47,'Data shares'!$C:$FA,6)*100</f>
        <v>0.72</v>
      </c>
      <c r="E47" s="51">
        <f>VLOOKUP($A47,'Data shares'!$C:$FA,98)</f>
        <v>44591750</v>
      </c>
      <c r="F47" s="51">
        <f>VLOOKUP($A47,'Data shares'!$C:$FA,99)</f>
        <v>42444850</v>
      </c>
      <c r="G47" s="50">
        <f>VLOOKUP($A47,'Data shares'!$C:$FA,101)*100</f>
        <v>5.0599999999999996</v>
      </c>
      <c r="H47" s="49">
        <f>VLOOKUP($A47,'Data Vlaue (Cr)'!$C:$FB,99)</f>
        <v>8152</v>
      </c>
      <c r="I47" s="49">
        <f>VLOOKUP($A47,'Data Vlaue (Cr)'!$C:$FB,100)</f>
        <v>7759</v>
      </c>
      <c r="J47" s="49">
        <f>VLOOKUP($A47,'Data Vlaue (Cr)'!$C:$FB,102)*100</f>
        <v>5.0599999999999996</v>
      </c>
    </row>
    <row r="48" spans="1:10" x14ac:dyDescent="0.25">
      <c r="A48" s="101" t="str">
        <f>'NIFTY GRP'!C43</f>
        <v>TATACONSUM</v>
      </c>
      <c r="B48" s="140">
        <f>VLOOKUP($A48,'Data shares'!$C:$FA,7)</f>
        <v>1160.4000000000001</v>
      </c>
      <c r="C48" s="140">
        <f>VLOOKUP($A48,'Data shares'!$C:$FA,3)</f>
        <v>1163.4000000000001</v>
      </c>
      <c r="D48" s="50">
        <f>VLOOKUP($A48,'Data shares'!$C:$FA,6)*100</f>
        <v>1.1599999999999999</v>
      </c>
      <c r="E48" s="51">
        <f>VLOOKUP($A48,'Data shares'!$C:$FA,98)</f>
        <v>13016850</v>
      </c>
      <c r="F48" s="51">
        <f>VLOOKUP($A48,'Data shares'!$C:$FA,99)</f>
        <v>12482800</v>
      </c>
      <c r="G48" s="50">
        <f>VLOOKUP($A48,'Data shares'!$C:$FA,101)*100</f>
        <v>4.2799999999999994</v>
      </c>
      <c r="H48" s="49">
        <f>VLOOKUP($A48,'Data Vlaue (Cr)'!$C:$FB,99)</f>
        <v>1514</v>
      </c>
      <c r="I48" s="49">
        <f>VLOOKUP($A48,'Data Vlaue (Cr)'!$C:$FB,100)</f>
        <v>1452</v>
      </c>
      <c r="J48" s="49">
        <f>VLOOKUP($A48,'Data Vlaue (Cr)'!$C:$FB,102)*100</f>
        <v>4.2799999999999994</v>
      </c>
    </row>
    <row r="49" spans="1:10" x14ac:dyDescent="0.25">
      <c r="A49" s="101" t="str">
        <f>'NIFTY GRP'!C44</f>
        <v>TATASTEEL</v>
      </c>
      <c r="B49" s="140">
        <f>VLOOKUP($A49,'Data shares'!$C:$FA,7)</f>
        <v>212.24</v>
      </c>
      <c r="C49" s="140">
        <f>VLOOKUP($A49,'Data shares'!$C:$FA,3)</f>
        <v>212.87</v>
      </c>
      <c r="D49" s="50">
        <f>VLOOKUP($A49,'Data shares'!$C:$FA,6)*100</f>
        <v>0.38</v>
      </c>
      <c r="E49" s="51">
        <f>VLOOKUP($A49,'Data shares'!$C:$FA,98)</f>
        <v>318406000</v>
      </c>
      <c r="F49" s="51">
        <f>VLOOKUP($A49,'Data shares'!$C:$FA,99)</f>
        <v>311283500</v>
      </c>
      <c r="G49" s="50">
        <f>VLOOKUP($A49,'Data shares'!$C:$FA,101)*100</f>
        <v>2.29</v>
      </c>
      <c r="H49" s="49">
        <f>VLOOKUP($A49,'Data Vlaue (Cr)'!$C:$FB,99)</f>
        <v>6778</v>
      </c>
      <c r="I49" s="49">
        <f>VLOOKUP($A49,'Data Vlaue (Cr)'!$C:$FB,100)</f>
        <v>6626</v>
      </c>
      <c r="J49" s="49">
        <f>VLOOKUP($A49,'Data Vlaue (Cr)'!$C:$FB,102)*100</f>
        <v>2.29</v>
      </c>
    </row>
    <row r="50" spans="1:10" x14ac:dyDescent="0.25">
      <c r="A50" s="101" t="str">
        <f>'NIFTY GRP'!C45</f>
        <v>TCS</v>
      </c>
      <c r="B50" s="140">
        <f>VLOOKUP($A50,'Data shares'!$C:$FA,7)</f>
        <v>2431.3000000000002</v>
      </c>
      <c r="C50" s="140">
        <f>VLOOKUP($A50,'Data shares'!$C:$FA,3)</f>
        <v>2421.8000000000002</v>
      </c>
      <c r="D50" s="50">
        <f>VLOOKUP($A50,'Data shares'!$C:$FA,6)*100</f>
        <v>-0.77</v>
      </c>
      <c r="E50" s="51">
        <f>VLOOKUP($A50,'Data shares'!$C:$FA,98)</f>
        <v>57707625</v>
      </c>
      <c r="F50" s="51">
        <f>VLOOKUP($A50,'Data shares'!$C:$FA,99)</f>
        <v>55866875</v>
      </c>
      <c r="G50" s="50">
        <f>VLOOKUP($A50,'Data shares'!$C:$FA,101)*100</f>
        <v>3.29</v>
      </c>
      <c r="H50" s="49">
        <f>VLOOKUP($A50,'Data Vlaue (Cr)'!$C:$FB,99)</f>
        <v>13976</v>
      </c>
      <c r="I50" s="49">
        <f>VLOOKUP($A50,'Data Vlaue (Cr)'!$C:$FB,100)</f>
        <v>13530</v>
      </c>
      <c r="J50" s="49">
        <f>VLOOKUP($A50,'Data Vlaue (Cr)'!$C:$FB,102)*100</f>
        <v>3.29</v>
      </c>
    </row>
    <row r="51" spans="1:10" x14ac:dyDescent="0.25">
      <c r="A51" s="101" t="str">
        <f>'NIFTY GRP'!C46</f>
        <v>TECHM</v>
      </c>
      <c r="B51" s="140">
        <f>VLOOKUP($A51,'Data shares'!$C:$FA,7)</f>
        <v>1471.6</v>
      </c>
      <c r="C51" s="140">
        <f>VLOOKUP($A51,'Data shares'!$C:$FA,3)</f>
        <v>1467.3</v>
      </c>
      <c r="D51" s="50">
        <f>VLOOKUP($A51,'Data shares'!$C:$FA,6)*100</f>
        <v>-0.51</v>
      </c>
      <c r="E51" s="51">
        <f>VLOOKUP($A51,'Data shares'!$C:$FA,98)</f>
        <v>30587400</v>
      </c>
      <c r="F51" s="51">
        <f>VLOOKUP($A51,'Data shares'!$C:$FA,99)</f>
        <v>29618400</v>
      </c>
      <c r="G51" s="50">
        <f>VLOOKUP($A51,'Data shares'!$C:$FA,101)*100</f>
        <v>3.27</v>
      </c>
      <c r="H51" s="49">
        <f>VLOOKUP($A51,'Data Vlaue (Cr)'!$C:$FB,99)</f>
        <v>4488</v>
      </c>
      <c r="I51" s="49">
        <f>VLOOKUP($A51,'Data Vlaue (Cr)'!$C:$FB,100)</f>
        <v>4346</v>
      </c>
      <c r="J51" s="49">
        <f>VLOOKUP($A51,'Data Vlaue (Cr)'!$C:$FB,102)*100</f>
        <v>3.27</v>
      </c>
    </row>
    <row r="52" spans="1:10" x14ac:dyDescent="0.25">
      <c r="A52" s="101" t="str">
        <f>'NIFTY GRP'!C47</f>
        <v>TITAN</v>
      </c>
      <c r="B52" s="140">
        <f>VLOOKUP($A52,'Data shares'!$C:$FA,7)</f>
        <v>4363</v>
      </c>
      <c r="C52" s="140">
        <f>VLOOKUP($A52,'Data shares'!$C:$FA,3)</f>
        <v>4382.3</v>
      </c>
      <c r="D52" s="50">
        <f>VLOOKUP($A52,'Data shares'!$C:$FA,6)*100</f>
        <v>-0.44999999999999996</v>
      </c>
      <c r="E52" s="51">
        <f>VLOOKUP($A52,'Data shares'!$C:$FA,98)</f>
        <v>11642050</v>
      </c>
      <c r="F52" s="51">
        <f>VLOOKUP($A52,'Data shares'!$C:$FA,99)</f>
        <v>11190550</v>
      </c>
      <c r="G52" s="50">
        <f>VLOOKUP($A52,'Data shares'!$C:$FA,101)*100</f>
        <v>4.03</v>
      </c>
      <c r="H52" s="49">
        <f>VLOOKUP($A52,'Data Vlaue (Cr)'!$C:$FB,99)</f>
        <v>5102</v>
      </c>
      <c r="I52" s="49">
        <f>VLOOKUP($A52,'Data Vlaue (Cr)'!$C:$FB,100)</f>
        <v>4904</v>
      </c>
      <c r="J52" s="49">
        <f>VLOOKUP($A52,'Data Vlaue (Cr)'!$C:$FB,102)*100</f>
        <v>4.03</v>
      </c>
    </row>
    <row r="53" spans="1:10" x14ac:dyDescent="0.25">
      <c r="A53" s="101" t="str">
        <f>'NIFTY GRP'!C48</f>
        <v>TMPV</v>
      </c>
      <c r="B53" s="140">
        <f>VLOOKUP($A53,'Data shares'!$C:$FA,7)</f>
        <v>343.05</v>
      </c>
      <c r="C53" s="140">
        <f>VLOOKUP($A53,'Data shares'!$C:$FA,3)</f>
        <v>345.2</v>
      </c>
      <c r="D53" s="50">
        <f>VLOOKUP($A53,'Data shares'!$C:$FA,6)*100</f>
        <v>0.6</v>
      </c>
      <c r="E53" s="51">
        <f>VLOOKUP($A53,'Data shares'!$C:$FA,98)</f>
        <v>107888000</v>
      </c>
      <c r="F53" s="51">
        <f>VLOOKUP($A53,'Data shares'!$C:$FA,99)</f>
        <v>100018400</v>
      </c>
      <c r="G53" s="50">
        <f>VLOOKUP($A53,'Data shares'!$C:$FA,101)*100</f>
        <v>7.870000000000001</v>
      </c>
      <c r="H53" s="49">
        <f>VLOOKUP($A53,'Data Vlaue (Cr)'!$C:$FB,99)</f>
        <v>3724</v>
      </c>
      <c r="I53" s="49">
        <f>VLOOKUP($A53,'Data Vlaue (Cr)'!$C:$FB,100)</f>
        <v>3453</v>
      </c>
      <c r="J53" s="49">
        <f>VLOOKUP($A53,'Data Vlaue (Cr)'!$C:$FB,102)*100</f>
        <v>7.870000000000001</v>
      </c>
    </row>
    <row r="54" spans="1:10" x14ac:dyDescent="0.25">
      <c r="A54" s="101" t="str">
        <f>'NIFTY GRP'!C49</f>
        <v>TRENT</v>
      </c>
      <c r="B54" s="140">
        <f>VLOOKUP($A54,'Data shares'!$C:$FA,7)</f>
        <v>4158.5</v>
      </c>
      <c r="C54" s="140">
        <f>VLOOKUP($A54,'Data shares'!$C:$FA,3)</f>
        <v>4181.8</v>
      </c>
      <c r="D54" s="50">
        <f>VLOOKUP($A54,'Data shares'!$C:$FA,6)*100</f>
        <v>0.37</v>
      </c>
      <c r="E54" s="51">
        <f>VLOOKUP($A54,'Data shares'!$C:$FA,98)</f>
        <v>11758400</v>
      </c>
      <c r="F54" s="51">
        <f>VLOOKUP($A54,'Data shares'!$C:$FA,99)</f>
        <v>11514200</v>
      </c>
      <c r="G54" s="50">
        <f>VLOOKUP($A54,'Data shares'!$C:$FA,101)*100</f>
        <v>2.12</v>
      </c>
      <c r="H54" s="49">
        <f>VLOOKUP($A54,'Data Vlaue (Cr)'!$C:$FB,99)</f>
        <v>4917</v>
      </c>
      <c r="I54" s="49">
        <f>VLOOKUP($A54,'Data Vlaue (Cr)'!$C:$FB,100)</f>
        <v>4815</v>
      </c>
      <c r="J54" s="49">
        <f>VLOOKUP($A54,'Data Vlaue (Cr)'!$C:$FB,102)*100</f>
        <v>2.12</v>
      </c>
    </row>
    <row r="55" spans="1:10" x14ac:dyDescent="0.25">
      <c r="A55" s="101" t="str">
        <f>'NIFTY GRP'!C50</f>
        <v>ULTRACEMCO</v>
      </c>
      <c r="B55" s="140">
        <f>VLOOKUP($A55,'Data shares'!$C:$FA,7)</f>
        <v>11758</v>
      </c>
      <c r="C55" s="140">
        <f>VLOOKUP($A55,'Data shares'!$C:$FA,3)</f>
        <v>11820</v>
      </c>
      <c r="D55" s="50">
        <f>VLOOKUP($A55,'Data shares'!$C:$FA,6)*100</f>
        <v>1.4200000000000002</v>
      </c>
      <c r="E55" s="51">
        <f>VLOOKUP($A55,'Data shares'!$C:$FA,98)</f>
        <v>4445350</v>
      </c>
      <c r="F55" s="51">
        <f>VLOOKUP($A55,'Data shares'!$C:$FA,99)</f>
        <v>4450550</v>
      </c>
      <c r="G55" s="50">
        <f>VLOOKUP($A55,'Data shares'!$C:$FA,101)*100</f>
        <v>-0.12</v>
      </c>
      <c r="H55" s="49">
        <f>VLOOKUP($A55,'Data Vlaue (Cr)'!$C:$FB,99)</f>
        <v>5254</v>
      </c>
      <c r="I55" s="49">
        <f>VLOOKUP($A55,'Data Vlaue (Cr)'!$C:$FB,100)</f>
        <v>5261</v>
      </c>
      <c r="J55" s="49">
        <f>VLOOKUP($A55,'Data Vlaue (Cr)'!$C:$FB,102)*100</f>
        <v>-0.12</v>
      </c>
    </row>
    <row r="56" spans="1:10" x14ac:dyDescent="0.25">
      <c r="A56" s="101" t="str">
        <f>'NIFTY GRP'!C51</f>
        <v>WIPRO</v>
      </c>
      <c r="B56" s="140">
        <f>VLOOKUP($A56,'Data shares'!$C:$FA,7)</f>
        <v>200.75</v>
      </c>
      <c r="C56" s="140">
        <f>VLOOKUP($A56,'Data shares'!$C:$FA,3)</f>
        <v>195.91</v>
      </c>
      <c r="D56" s="50">
        <f>VLOOKUP($A56,'Data shares'!$C:$FA,6)*100</f>
        <v>-0.43</v>
      </c>
      <c r="E56" s="51">
        <f>VLOOKUP($A56,'Data shares'!$C:$FA,98)</f>
        <v>494934000</v>
      </c>
      <c r="F56" s="51">
        <f>VLOOKUP($A56,'Data shares'!$C:$FA,99)</f>
        <v>479250000</v>
      </c>
      <c r="G56" s="50">
        <f>VLOOKUP($A56,'Data shares'!$C:$FA,101)*100</f>
        <v>3.27</v>
      </c>
      <c r="H56" s="49">
        <f>VLOOKUP($A56,'Data Vlaue (Cr)'!$C:$FB,99)</f>
        <v>9696</v>
      </c>
      <c r="I56" s="49">
        <f>VLOOKUP($A56,'Data Vlaue (Cr)'!$C:$FB,100)</f>
        <v>9389</v>
      </c>
      <c r="J56" s="49">
        <f>VLOOKUP($A56,'Data Vlaue (Cr)'!$C:$FB,102)*100</f>
        <v>3.27</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2"/>
      <c r="B62" s="17"/>
      <c r="C62" s="17"/>
      <c r="D62" s="17"/>
      <c r="E62" s="17"/>
      <c r="F62" s="17"/>
      <c r="G62" s="17"/>
      <c r="H62" s="17"/>
      <c r="I62" s="17"/>
      <c r="J62" s="17"/>
    </row>
    <row r="63" spans="1:10" x14ac:dyDescent="0.25">
      <c r="A63" s="102"/>
      <c r="B63" s="17"/>
      <c r="C63" s="17"/>
      <c r="D63" s="17"/>
      <c r="E63" s="17"/>
      <c r="F63" s="17"/>
      <c r="G63" s="17"/>
      <c r="H63" s="17"/>
      <c r="I63" s="17"/>
      <c r="J63" s="17"/>
    </row>
    <row r="64" spans="1:10" x14ac:dyDescent="0.25">
      <c r="A64" s="126" t="s">
        <v>391</v>
      </c>
      <c r="B64" s="122"/>
      <c r="C64" s="122"/>
      <c r="D64" s="122"/>
      <c r="E64" s="127">
        <f>SUM(E7:E62)</f>
        <v>5076060424</v>
      </c>
      <c r="F64" s="127">
        <f>SUM(F7:F62)</f>
        <v>4916218980</v>
      </c>
      <c r="G64" s="128">
        <f>(E64-F64)/F64</f>
        <v>3.2513084679559982E-2</v>
      </c>
      <c r="H64" s="127">
        <f>SUM(H7:H62)</f>
        <v>404027</v>
      </c>
      <c r="I64" s="127">
        <f>SUM(I7:I62)</f>
        <v>388364</v>
      </c>
      <c r="J64" s="128">
        <f>(H64-I64)/I64</f>
        <v>4.0330720664119225E-2</v>
      </c>
    </row>
    <row r="65" spans="1:10" x14ac:dyDescent="0.25">
      <c r="A65" s="126" t="s">
        <v>398</v>
      </c>
      <c r="B65" s="122"/>
      <c r="C65" s="122"/>
      <c r="D65" s="122"/>
      <c r="E65" s="125">
        <f>E64/10000000</f>
        <v>507.60604239999998</v>
      </c>
      <c r="F65" s="125">
        <f>F64/10000000</f>
        <v>491.62189799999999</v>
      </c>
      <c r="G65" s="128">
        <f>(E65-F65)/F65</f>
        <v>3.2513084679559962E-2</v>
      </c>
      <c r="H65" s="129">
        <f>H64/10000000</f>
        <v>4.04027E-2</v>
      </c>
      <c r="I65" s="129">
        <f>I64/10000000</f>
        <v>3.88364E-2</v>
      </c>
      <c r="J65" s="128">
        <f>(H65-I65)/I65</f>
        <v>4.0330720664119218E-2</v>
      </c>
    </row>
    <row r="70" spans="1:10" x14ac:dyDescent="0.25">
      <c r="A70" s="43"/>
      <c r="B70" s="43"/>
      <c r="C70" s="44"/>
    </row>
    <row r="71" spans="1:10" ht="34.5" x14ac:dyDescent="0.25">
      <c r="A71" s="95" t="s">
        <v>411</v>
      </c>
      <c r="B71" s="45"/>
      <c r="C71" s="45" t="s">
        <v>385</v>
      </c>
    </row>
    <row r="72" spans="1:10" x14ac:dyDescent="0.25">
      <c r="A72" s="22" t="s">
        <v>412</v>
      </c>
      <c r="B72" s="22" t="s">
        <v>413</v>
      </c>
      <c r="C72" s="22" t="s">
        <v>414</v>
      </c>
    </row>
    <row r="73" spans="1:10" x14ac:dyDescent="0.25">
      <c r="A73" s="38">
        <f>H64</f>
        <v>404027</v>
      </c>
      <c r="B73" s="38">
        <f>I64</f>
        <v>388364</v>
      </c>
      <c r="C73" s="42">
        <f>J64</f>
        <v>4.0330720664119225E-2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08" activePane="bottomLeft" state="frozen"/>
      <selection pane="bottomLeft" activeCell="A222" sqref="A222:O22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8" t="s">
        <v>356</v>
      </c>
      <c r="B3" s="299"/>
      <c r="C3" s="299"/>
      <c r="D3" s="299"/>
      <c r="E3" s="299"/>
      <c r="F3" s="299"/>
      <c r="G3" s="299"/>
      <c r="H3" s="299"/>
      <c r="I3" s="299"/>
      <c r="J3" s="299"/>
      <c r="K3" s="299"/>
      <c r="L3" s="299"/>
      <c r="M3" s="299"/>
      <c r="N3" s="299"/>
      <c r="O3" s="300"/>
    </row>
    <row r="4" spans="1:15" s="93" customFormat="1" x14ac:dyDescent="0.25">
      <c r="A4" s="285" t="s">
        <v>330</v>
      </c>
      <c r="B4" s="287" t="s">
        <v>308</v>
      </c>
      <c r="C4" s="289"/>
      <c r="D4" s="287" t="s">
        <v>357</v>
      </c>
      <c r="E4" s="288"/>
      <c r="F4" s="288"/>
      <c r="G4" s="288"/>
      <c r="H4" s="288"/>
      <c r="I4" s="288"/>
      <c r="J4" s="288"/>
      <c r="K4" s="288"/>
      <c r="L4" s="288"/>
      <c r="M4" s="288"/>
      <c r="N4" s="288"/>
      <c r="O4" s="289"/>
    </row>
    <row r="5" spans="1:15" s="93" customFormat="1" x14ac:dyDescent="0.25">
      <c r="A5" s="286"/>
      <c r="B5" s="301" t="s">
        <v>312</v>
      </c>
      <c r="C5" s="291"/>
      <c r="D5" s="301" t="s">
        <v>357</v>
      </c>
      <c r="E5" s="290"/>
      <c r="F5" s="291"/>
      <c r="G5" s="301" t="s">
        <v>358</v>
      </c>
      <c r="H5" s="290"/>
      <c r="I5" s="291"/>
      <c r="J5" s="301" t="s">
        <v>359</v>
      </c>
      <c r="K5" s="290"/>
      <c r="L5" s="291"/>
      <c r="M5" s="301" t="s">
        <v>360</v>
      </c>
      <c r="N5" s="290"/>
      <c r="O5" s="291"/>
    </row>
    <row r="6" spans="1:15" s="93" customFormat="1" x14ac:dyDescent="0.25">
      <c r="A6" s="76" t="s">
        <v>318</v>
      </c>
      <c r="B6" s="3">
        <f>'Nifty Baskets'!B6</f>
        <v>46146</v>
      </c>
      <c r="C6" s="76" t="s">
        <v>328</v>
      </c>
      <c r="D6" s="3">
        <f>B6</f>
        <v>46146</v>
      </c>
      <c r="E6" s="76" t="s">
        <v>322</v>
      </c>
      <c r="F6" s="76" t="s">
        <v>328</v>
      </c>
      <c r="G6" s="3">
        <f>D6</f>
        <v>46146</v>
      </c>
      <c r="H6" s="76" t="s">
        <v>322</v>
      </c>
      <c r="I6" s="76" t="s">
        <v>328</v>
      </c>
      <c r="J6" s="3">
        <f>D6</f>
        <v>46146</v>
      </c>
      <c r="K6" s="76" t="s">
        <v>322</v>
      </c>
      <c r="L6" s="76" t="s">
        <v>328</v>
      </c>
      <c r="M6" s="3">
        <f>D6</f>
        <v>46146</v>
      </c>
      <c r="N6" s="76" t="s">
        <v>322</v>
      </c>
      <c r="O6" s="76" t="s">
        <v>328</v>
      </c>
    </row>
    <row r="7" spans="1:15" x14ac:dyDescent="0.25">
      <c r="A7" s="101" t="str">
        <f>'Data Vlaue (Cr)'!C2</f>
        <v>360ONE</v>
      </c>
      <c r="B7" s="50">
        <f>VLOOKUP($A7,'Data Vlaue (Cr)'!$C:$FB,8)</f>
        <v>1066.5</v>
      </c>
      <c r="C7" s="50">
        <f>VLOOKUP($A7,'Data Vlaue (Cr)'!$C:$FB,11)*100</f>
        <v>3.08</v>
      </c>
      <c r="D7" s="50">
        <f>VLOOKUP($A7,'Data Vlaue (Cr)'!$C:$FB,143)</f>
        <v>410.97</v>
      </c>
      <c r="E7" s="50">
        <f>VLOOKUP($A7,'Data Vlaue (Cr)'!$C:$FB,144)</f>
        <v>238.63</v>
      </c>
      <c r="F7" s="50">
        <f>VLOOKUP($A7,'Data Vlaue (Cr)'!$C:$FB,146)*100</f>
        <v>72.23</v>
      </c>
      <c r="G7" s="49">
        <f>VLOOKUP($A7,'Data Vlaue (Cr)'!$C:$FB,43)</f>
        <v>131</v>
      </c>
      <c r="H7" s="49">
        <f>VLOOKUP($A7,'Data Vlaue (Cr)'!$C:$FB,44)</f>
        <v>77</v>
      </c>
      <c r="I7" s="49">
        <f>VLOOKUP($A7,'Data Vlaue (Cr)'!$C:$FB,46)*100</f>
        <v>69.13</v>
      </c>
      <c r="J7" s="51">
        <f>VLOOKUP($A7,'Data Vlaue (Cr)'!$C:$FB,59)</f>
        <v>176</v>
      </c>
      <c r="K7" s="51">
        <f>VLOOKUP($A7,'Data Vlaue (Cr)'!$C:$FB,60)</f>
        <v>95</v>
      </c>
      <c r="L7" s="51">
        <f>VLOOKUP($A7,'Data Vlaue (Cr)'!$C:$FB,62)*100</f>
        <v>84.81</v>
      </c>
      <c r="M7" s="51">
        <f>VLOOKUP($A7,'Data Vlaue (Cr)'!$C:$FB,63)</f>
        <v>97</v>
      </c>
      <c r="N7" s="51">
        <f>VLOOKUP($A7,'Data Vlaue (Cr)'!$C:$FB,64)</f>
        <v>68</v>
      </c>
      <c r="O7" s="51">
        <f>VLOOKUP($A7,'Data Vlaue (Cr)'!$C:$FB,66)*100</f>
        <v>43.25</v>
      </c>
    </row>
    <row r="8" spans="1:15" x14ac:dyDescent="0.25">
      <c r="A8" s="101" t="str">
        <f>'Data Vlaue (Cr)'!C3</f>
        <v>ABB</v>
      </c>
      <c r="B8" s="50">
        <f>VLOOKUP($A8,'Data Vlaue (Cr)'!$C:$FB,8)</f>
        <v>7236.5</v>
      </c>
      <c r="C8" s="50">
        <f>VLOOKUP($A8,'Data Vlaue (Cr)'!$C:$FB,11)*100</f>
        <v>0.09</v>
      </c>
      <c r="D8" s="50">
        <f>VLOOKUP($A8,'Data Vlaue (Cr)'!$C:$FB,143)</f>
        <v>2032.22</v>
      </c>
      <c r="E8" s="50">
        <f>VLOOKUP($A8,'Data Vlaue (Cr)'!$C:$FB,144)</f>
        <v>1278.04</v>
      </c>
      <c r="F8" s="50">
        <f>VLOOKUP($A8,'Data Vlaue (Cr)'!$C:$FB,146)*100</f>
        <v>59.01</v>
      </c>
      <c r="G8" s="49">
        <f>VLOOKUP($A8,'Data Vlaue (Cr)'!$C:$FB,43)</f>
        <v>358</v>
      </c>
      <c r="H8" s="49">
        <f>VLOOKUP($A8,'Data Vlaue (Cr)'!$C:$FB,44)</f>
        <v>318</v>
      </c>
      <c r="I8" s="49">
        <f>VLOOKUP($A8,'Data Vlaue (Cr)'!$C:$FB,46)*100</f>
        <v>12.78</v>
      </c>
      <c r="J8" s="51">
        <f>VLOOKUP($A8,'Data Vlaue (Cr)'!$C:$FB,59)</f>
        <v>1207</v>
      </c>
      <c r="K8" s="51">
        <f>VLOOKUP($A8,'Data Vlaue (Cr)'!$C:$FB,60)</f>
        <v>535</v>
      </c>
      <c r="L8" s="51">
        <f>VLOOKUP($A8,'Data Vlaue (Cr)'!$C:$FB,62)*100</f>
        <v>125.51</v>
      </c>
      <c r="M8" s="51">
        <f>VLOOKUP($A8,'Data Vlaue (Cr)'!$C:$FB,63)</f>
        <v>356</v>
      </c>
      <c r="N8" s="51">
        <f>VLOOKUP($A8,'Data Vlaue (Cr)'!$C:$FB,64)</f>
        <v>401</v>
      </c>
      <c r="O8" s="51">
        <f>VLOOKUP($A8,'Data Vlaue (Cr)'!$C:$FB,66)*100</f>
        <v>-11.06</v>
      </c>
    </row>
    <row r="9" spans="1:15" x14ac:dyDescent="0.25">
      <c r="A9" s="101" t="str">
        <f>'Data Vlaue (Cr)'!C4</f>
        <v>ABCAPITAL</v>
      </c>
      <c r="B9" s="50">
        <f>VLOOKUP($A9,'Data Vlaue (Cr)'!$C:$FB,8)</f>
        <v>345.85</v>
      </c>
      <c r="C9" s="50">
        <f>VLOOKUP($A9,'Data Vlaue (Cr)'!$C:$FB,11)*100</f>
        <v>0.1</v>
      </c>
      <c r="D9" s="50">
        <f>VLOOKUP($A9,'Data Vlaue (Cr)'!$C:$FB,143)</f>
        <v>6218.62</v>
      </c>
      <c r="E9" s="50">
        <f>VLOOKUP($A9,'Data Vlaue (Cr)'!$C:$FB,144)</f>
        <v>939.27</v>
      </c>
      <c r="F9" s="50">
        <f>VLOOKUP($A9,'Data Vlaue (Cr)'!$C:$FB,146)*100</f>
        <v>562.07000000000005</v>
      </c>
      <c r="G9" s="49">
        <f>VLOOKUP($A9,'Data Vlaue (Cr)'!$C:$FB,43)</f>
        <v>1384</v>
      </c>
      <c r="H9" s="49">
        <f>VLOOKUP($A9,'Data Vlaue (Cr)'!$C:$FB,44)</f>
        <v>390</v>
      </c>
      <c r="I9" s="49">
        <f>VLOOKUP($A9,'Data Vlaue (Cr)'!$C:$FB,46)*100</f>
        <v>254.85000000000002</v>
      </c>
      <c r="J9" s="51">
        <f>VLOOKUP($A9,'Data Vlaue (Cr)'!$C:$FB,59)</f>
        <v>3085</v>
      </c>
      <c r="K9" s="51">
        <f>VLOOKUP($A9,'Data Vlaue (Cr)'!$C:$FB,60)</f>
        <v>328</v>
      </c>
      <c r="L9" s="51">
        <f>VLOOKUP($A9,'Data Vlaue (Cr)'!$C:$FB,62)*100</f>
        <v>840.92000000000007</v>
      </c>
      <c r="M9" s="51">
        <f>VLOOKUP($A9,'Data Vlaue (Cr)'!$C:$FB,63)</f>
        <v>1450</v>
      </c>
      <c r="N9" s="51">
        <f>VLOOKUP($A9,'Data Vlaue (Cr)'!$C:$FB,64)</f>
        <v>199</v>
      </c>
      <c r="O9" s="51">
        <f>VLOOKUP($A9,'Data Vlaue (Cr)'!$C:$FB,66)*100</f>
        <v>629.62</v>
      </c>
    </row>
    <row r="10" spans="1:15" x14ac:dyDescent="0.25">
      <c r="A10" s="101" t="str">
        <f>'Data Vlaue (Cr)'!C5</f>
        <v>ADANIENSOL</v>
      </c>
      <c r="B10" s="50">
        <f>VLOOKUP($A10,'Data Vlaue (Cr)'!$C:$FB,8)</f>
        <v>1398.4</v>
      </c>
      <c r="C10" s="50">
        <f>VLOOKUP($A10,'Data Vlaue (Cr)'!$C:$FB,11)*100</f>
        <v>4.18</v>
      </c>
      <c r="D10" s="50">
        <f>VLOOKUP($A10,'Data Vlaue (Cr)'!$C:$FB,143)</f>
        <v>3817.46</v>
      </c>
      <c r="E10" s="50">
        <f>VLOOKUP($A10,'Data Vlaue (Cr)'!$C:$FB,144)</f>
        <v>3737.46</v>
      </c>
      <c r="F10" s="50">
        <f>VLOOKUP($A10,'Data Vlaue (Cr)'!$C:$FB,146)*100</f>
        <v>2.1399999999999997</v>
      </c>
      <c r="G10" s="49">
        <f>VLOOKUP($A10,'Data Vlaue (Cr)'!$C:$FB,43)</f>
        <v>834</v>
      </c>
      <c r="H10" s="49">
        <f>VLOOKUP($A10,'Data Vlaue (Cr)'!$C:$FB,44)</f>
        <v>1124</v>
      </c>
      <c r="I10" s="49">
        <f>VLOOKUP($A10,'Data Vlaue (Cr)'!$C:$FB,46)*100</f>
        <v>-25.840000000000003</v>
      </c>
      <c r="J10" s="51">
        <f>VLOOKUP($A10,'Data Vlaue (Cr)'!$C:$FB,59)</f>
        <v>1913</v>
      </c>
      <c r="K10" s="51">
        <f>VLOOKUP($A10,'Data Vlaue (Cr)'!$C:$FB,60)</f>
        <v>1626</v>
      </c>
      <c r="L10" s="51">
        <f>VLOOKUP($A10,'Data Vlaue (Cr)'!$C:$FB,62)*100</f>
        <v>17.630000000000003</v>
      </c>
      <c r="M10" s="51">
        <f>VLOOKUP($A10,'Data Vlaue (Cr)'!$C:$FB,63)</f>
        <v>1000</v>
      </c>
      <c r="N10" s="51">
        <f>VLOOKUP($A10,'Data Vlaue (Cr)'!$C:$FB,64)</f>
        <v>1018</v>
      </c>
      <c r="O10" s="51">
        <f>VLOOKUP($A10,'Data Vlaue (Cr)'!$C:$FB,66)*100</f>
        <v>-1.76</v>
      </c>
    </row>
    <row r="11" spans="1:15" x14ac:dyDescent="0.25">
      <c r="A11" s="101" t="str">
        <f>'Data Vlaue (Cr)'!C6</f>
        <v>ADANIENT</v>
      </c>
      <c r="B11" s="50">
        <f>VLOOKUP($A11,'Data Vlaue (Cr)'!$C:$FB,8)</f>
        <v>2485.6999999999998</v>
      </c>
      <c r="C11" s="50">
        <f>VLOOKUP($A11,'Data Vlaue (Cr)'!$C:$FB,11)*100</f>
        <v>3.2099999999999995</v>
      </c>
      <c r="D11" s="50">
        <f>VLOOKUP($A11,'Data Vlaue (Cr)'!$C:$FB,143)</f>
        <v>12169.58</v>
      </c>
      <c r="E11" s="50">
        <f>VLOOKUP($A11,'Data Vlaue (Cr)'!$C:$FB,144)</f>
        <v>6414.38</v>
      </c>
      <c r="F11" s="50">
        <f>VLOOKUP($A11,'Data Vlaue (Cr)'!$C:$FB,146)*100</f>
        <v>89.72</v>
      </c>
      <c r="G11" s="49">
        <f>VLOOKUP($A11,'Data Vlaue (Cr)'!$C:$FB,43)</f>
        <v>2104</v>
      </c>
      <c r="H11" s="49">
        <f>VLOOKUP($A11,'Data Vlaue (Cr)'!$C:$FB,44)</f>
        <v>1392</v>
      </c>
      <c r="I11" s="49">
        <f>VLOOKUP($A11,'Data Vlaue (Cr)'!$C:$FB,46)*100</f>
        <v>51.11</v>
      </c>
      <c r="J11" s="51">
        <f>VLOOKUP($A11,'Data Vlaue (Cr)'!$C:$FB,59)</f>
        <v>6190</v>
      </c>
      <c r="K11" s="51">
        <f>VLOOKUP($A11,'Data Vlaue (Cr)'!$C:$FB,60)</f>
        <v>3335</v>
      </c>
      <c r="L11" s="51">
        <f>VLOOKUP($A11,'Data Vlaue (Cr)'!$C:$FB,62)*100</f>
        <v>85.6</v>
      </c>
      <c r="M11" s="51">
        <f>VLOOKUP($A11,'Data Vlaue (Cr)'!$C:$FB,63)</f>
        <v>3707</v>
      </c>
      <c r="N11" s="51">
        <f>VLOOKUP($A11,'Data Vlaue (Cr)'!$C:$FB,64)</f>
        <v>1744</v>
      </c>
      <c r="O11" s="51">
        <f>VLOOKUP($A11,'Data Vlaue (Cr)'!$C:$FB,66)*100</f>
        <v>112.58999999999999</v>
      </c>
    </row>
    <row r="12" spans="1:15" x14ac:dyDescent="0.25">
      <c r="A12" s="101" t="str">
        <f>'Data Vlaue (Cr)'!C7</f>
        <v>ADANIGREEN</v>
      </c>
      <c r="B12" s="50">
        <f>VLOOKUP($A12,'Data Vlaue (Cr)'!$C:$FB,8)</f>
        <v>1290.7</v>
      </c>
      <c r="C12" s="50">
        <f>VLOOKUP($A12,'Data Vlaue (Cr)'!$C:$FB,11)*100</f>
        <v>5.18</v>
      </c>
      <c r="D12" s="50">
        <f>VLOOKUP($A12,'Data Vlaue (Cr)'!$C:$FB,143)</f>
        <v>4089.34</v>
      </c>
      <c r="E12" s="50">
        <f>VLOOKUP($A12,'Data Vlaue (Cr)'!$C:$FB,144)</f>
        <v>1465.54</v>
      </c>
      <c r="F12" s="50">
        <f>VLOOKUP($A12,'Data Vlaue (Cr)'!$C:$FB,146)*100</f>
        <v>179.03</v>
      </c>
      <c r="G12" s="49">
        <f>VLOOKUP($A12,'Data Vlaue (Cr)'!$C:$FB,43)</f>
        <v>893</v>
      </c>
      <c r="H12" s="49">
        <f>VLOOKUP($A12,'Data Vlaue (Cr)'!$C:$FB,44)</f>
        <v>400</v>
      </c>
      <c r="I12" s="49">
        <f>VLOOKUP($A12,'Data Vlaue (Cr)'!$C:$FB,46)*100</f>
        <v>123.25999999999999</v>
      </c>
      <c r="J12" s="51">
        <f>VLOOKUP($A12,'Data Vlaue (Cr)'!$C:$FB,59)</f>
        <v>2185</v>
      </c>
      <c r="K12" s="51">
        <f>VLOOKUP($A12,'Data Vlaue (Cr)'!$C:$FB,60)</f>
        <v>609</v>
      </c>
      <c r="L12" s="51">
        <f>VLOOKUP($A12,'Data Vlaue (Cr)'!$C:$FB,62)*100</f>
        <v>259.03000000000003</v>
      </c>
      <c r="M12" s="51">
        <f>VLOOKUP($A12,'Data Vlaue (Cr)'!$C:$FB,63)</f>
        <v>946</v>
      </c>
      <c r="N12" s="51">
        <f>VLOOKUP($A12,'Data Vlaue (Cr)'!$C:$FB,64)</f>
        <v>496</v>
      </c>
      <c r="O12" s="51">
        <f>VLOOKUP($A12,'Data Vlaue (Cr)'!$C:$FB,66)*100</f>
        <v>90.78</v>
      </c>
    </row>
    <row r="13" spans="1:15" x14ac:dyDescent="0.25">
      <c r="A13" s="101" t="str">
        <f>'Data Vlaue (Cr)'!C8</f>
        <v>ADANIPORTS</v>
      </c>
      <c r="B13" s="50">
        <f>VLOOKUP($A13,'Data Vlaue (Cr)'!$C:$FB,8)</f>
        <v>1742.6</v>
      </c>
      <c r="C13" s="50">
        <f>VLOOKUP($A13,'Data Vlaue (Cr)'!$C:$FB,11)*100</f>
        <v>5.1499999999999995</v>
      </c>
      <c r="D13" s="50">
        <f>VLOOKUP($A13,'Data Vlaue (Cr)'!$C:$FB,143)</f>
        <v>13160.75</v>
      </c>
      <c r="E13" s="50">
        <f>VLOOKUP($A13,'Data Vlaue (Cr)'!$C:$FB,144)</f>
        <v>9027.11</v>
      </c>
      <c r="F13" s="50">
        <f>VLOOKUP($A13,'Data Vlaue (Cr)'!$C:$FB,146)*100</f>
        <v>45.79</v>
      </c>
      <c r="G13" s="49">
        <f>VLOOKUP($A13,'Data Vlaue (Cr)'!$C:$FB,43)</f>
        <v>1654</v>
      </c>
      <c r="H13" s="49">
        <f>VLOOKUP($A13,'Data Vlaue (Cr)'!$C:$FB,44)</f>
        <v>1749</v>
      </c>
      <c r="I13" s="49">
        <f>VLOOKUP($A13,'Data Vlaue (Cr)'!$C:$FB,46)*100</f>
        <v>-5.43</v>
      </c>
      <c r="J13" s="51">
        <f>VLOOKUP($A13,'Data Vlaue (Cr)'!$C:$FB,59)</f>
        <v>7651</v>
      </c>
      <c r="K13" s="51">
        <f>VLOOKUP($A13,'Data Vlaue (Cr)'!$C:$FB,60)</f>
        <v>4790</v>
      </c>
      <c r="L13" s="51">
        <f>VLOOKUP($A13,'Data Vlaue (Cr)'!$C:$FB,62)*100</f>
        <v>59.730000000000004</v>
      </c>
      <c r="M13" s="51">
        <f>VLOOKUP($A13,'Data Vlaue (Cr)'!$C:$FB,63)</f>
        <v>3778</v>
      </c>
      <c r="N13" s="51">
        <f>VLOOKUP($A13,'Data Vlaue (Cr)'!$C:$FB,64)</f>
        <v>2850</v>
      </c>
      <c r="O13" s="51">
        <f>VLOOKUP($A13,'Data Vlaue (Cr)'!$C:$FB,66)*100</f>
        <v>32.56</v>
      </c>
    </row>
    <row r="14" spans="1:15" x14ac:dyDescent="0.25">
      <c r="A14" s="101" t="str">
        <f>'Data Vlaue (Cr)'!C9</f>
        <v>ADANIPOWER</v>
      </c>
      <c r="B14" s="50">
        <f>VLOOKUP($A14,'Data Vlaue (Cr)'!$C:$FB,8)</f>
        <v>227.3</v>
      </c>
      <c r="C14" s="50">
        <f>VLOOKUP($A14,'Data Vlaue (Cr)'!$C:$FB,11)*100</f>
        <v>2.46</v>
      </c>
      <c r="D14" s="50">
        <f>VLOOKUP($A14,'Data Vlaue (Cr)'!$C:$FB,143)</f>
        <v>3727.21</v>
      </c>
      <c r="E14" s="50">
        <f>VLOOKUP($A14,'Data Vlaue (Cr)'!$C:$FB,144)</f>
        <v>3793.31</v>
      </c>
      <c r="F14" s="50">
        <f>VLOOKUP($A14,'Data Vlaue (Cr)'!$C:$FB,146)*100</f>
        <v>-1.7399999999999998</v>
      </c>
      <c r="G14" s="49">
        <f>VLOOKUP($A14,'Data Vlaue (Cr)'!$C:$FB,43)</f>
        <v>961</v>
      </c>
      <c r="H14" s="49">
        <f>VLOOKUP($A14,'Data Vlaue (Cr)'!$C:$FB,44)</f>
        <v>1054</v>
      </c>
      <c r="I14" s="49">
        <f>VLOOKUP($A14,'Data Vlaue (Cr)'!$C:$FB,46)*100</f>
        <v>-8.76</v>
      </c>
      <c r="J14" s="51">
        <f>VLOOKUP($A14,'Data Vlaue (Cr)'!$C:$FB,59)</f>
        <v>1869</v>
      </c>
      <c r="K14" s="51">
        <f>VLOOKUP($A14,'Data Vlaue (Cr)'!$C:$FB,60)</f>
        <v>1890</v>
      </c>
      <c r="L14" s="51">
        <f>VLOOKUP($A14,'Data Vlaue (Cr)'!$C:$FB,62)*100</f>
        <v>-1.1299999999999999</v>
      </c>
      <c r="M14" s="51">
        <f>VLOOKUP($A14,'Data Vlaue (Cr)'!$C:$FB,63)</f>
        <v>800</v>
      </c>
      <c r="N14" s="51">
        <f>VLOOKUP($A14,'Data Vlaue (Cr)'!$C:$FB,64)</f>
        <v>830</v>
      </c>
      <c r="O14" s="51">
        <f>VLOOKUP($A14,'Data Vlaue (Cr)'!$C:$FB,66)*100</f>
        <v>-3.61</v>
      </c>
    </row>
    <row r="15" spans="1:15" x14ac:dyDescent="0.25">
      <c r="A15" s="101" t="str">
        <f>'Data Vlaue (Cr)'!C10</f>
        <v>ALKEM</v>
      </c>
      <c r="B15" s="50">
        <f>VLOOKUP($A15,'Data Vlaue (Cr)'!$C:$FB,8)</f>
        <v>5360.5</v>
      </c>
      <c r="C15" s="50">
        <f>VLOOKUP($A15,'Data Vlaue (Cr)'!$C:$FB,11)*100</f>
        <v>-0.73</v>
      </c>
      <c r="D15" s="50">
        <f>VLOOKUP($A15,'Data Vlaue (Cr)'!$C:$FB,143)</f>
        <v>204.92</v>
      </c>
      <c r="E15" s="50">
        <f>VLOOKUP($A15,'Data Vlaue (Cr)'!$C:$FB,144)</f>
        <v>247.73</v>
      </c>
      <c r="F15" s="50">
        <f>VLOOKUP($A15,'Data Vlaue (Cr)'!$C:$FB,146)*100</f>
        <v>-17.28</v>
      </c>
      <c r="G15" s="49">
        <f>VLOOKUP($A15,'Data Vlaue (Cr)'!$C:$FB,43)</f>
        <v>64</v>
      </c>
      <c r="H15" s="49">
        <f>VLOOKUP($A15,'Data Vlaue (Cr)'!$C:$FB,44)</f>
        <v>96</v>
      </c>
      <c r="I15" s="49">
        <f>VLOOKUP($A15,'Data Vlaue (Cr)'!$C:$FB,46)*100</f>
        <v>-32.96</v>
      </c>
      <c r="J15" s="51">
        <f>VLOOKUP($A15,'Data Vlaue (Cr)'!$C:$FB,59)</f>
        <v>96</v>
      </c>
      <c r="K15" s="51">
        <f>VLOOKUP($A15,'Data Vlaue (Cr)'!$C:$FB,60)</f>
        <v>98</v>
      </c>
      <c r="L15" s="51">
        <f>VLOOKUP($A15,'Data Vlaue (Cr)'!$C:$FB,62)*100</f>
        <v>-1.8399999999999999</v>
      </c>
      <c r="M15" s="51">
        <f>VLOOKUP($A15,'Data Vlaue (Cr)'!$C:$FB,63)</f>
        <v>37</v>
      </c>
      <c r="N15" s="51">
        <f>VLOOKUP($A15,'Data Vlaue (Cr)'!$C:$FB,64)</f>
        <v>48</v>
      </c>
      <c r="O15" s="51">
        <f>VLOOKUP($A15,'Data Vlaue (Cr)'!$C:$FB,66)*100</f>
        <v>-22.88</v>
      </c>
    </row>
    <row r="16" spans="1:15" x14ac:dyDescent="0.25">
      <c r="A16" s="101" t="str">
        <f>'Data Vlaue (Cr)'!C11</f>
        <v>AMBER</v>
      </c>
      <c r="B16" s="50">
        <f>VLOOKUP($A16,'Data Vlaue (Cr)'!$C:$FB,8)</f>
        <v>8007</v>
      </c>
      <c r="C16" s="50">
        <f>VLOOKUP($A16,'Data Vlaue (Cr)'!$C:$FB,11)*100</f>
        <v>-0.21</v>
      </c>
      <c r="D16" s="50">
        <f>VLOOKUP($A16,'Data Vlaue (Cr)'!$C:$FB,143)</f>
        <v>519.99</v>
      </c>
      <c r="E16" s="50">
        <f>VLOOKUP($A16,'Data Vlaue (Cr)'!$C:$FB,144)</f>
        <v>796.09</v>
      </c>
      <c r="F16" s="50">
        <f>VLOOKUP($A16,'Data Vlaue (Cr)'!$C:$FB,146)*100</f>
        <v>-34.68</v>
      </c>
      <c r="G16" s="49">
        <f>VLOOKUP($A16,'Data Vlaue (Cr)'!$C:$FB,43)</f>
        <v>163</v>
      </c>
      <c r="H16" s="49">
        <f>VLOOKUP($A16,'Data Vlaue (Cr)'!$C:$FB,44)</f>
        <v>191</v>
      </c>
      <c r="I16" s="49">
        <f>VLOOKUP($A16,'Data Vlaue (Cr)'!$C:$FB,46)*100</f>
        <v>-15.02</v>
      </c>
      <c r="J16" s="51">
        <f>VLOOKUP($A16,'Data Vlaue (Cr)'!$C:$FB,59)</f>
        <v>233</v>
      </c>
      <c r="K16" s="51">
        <f>VLOOKUP($A16,'Data Vlaue (Cr)'!$C:$FB,60)</f>
        <v>338</v>
      </c>
      <c r="L16" s="51">
        <f>VLOOKUP($A16,'Data Vlaue (Cr)'!$C:$FB,62)*100</f>
        <v>-31.04</v>
      </c>
      <c r="M16" s="51">
        <f>VLOOKUP($A16,'Data Vlaue (Cr)'!$C:$FB,63)</f>
        <v>109</v>
      </c>
      <c r="N16" s="51">
        <f>VLOOKUP($A16,'Data Vlaue (Cr)'!$C:$FB,64)</f>
        <v>249</v>
      </c>
      <c r="O16" s="51">
        <f>VLOOKUP($A16,'Data Vlaue (Cr)'!$C:$FB,66)*100</f>
        <v>-56.34</v>
      </c>
    </row>
    <row r="17" spans="1:15" x14ac:dyDescent="0.25">
      <c r="A17" s="101" t="str">
        <f>'Data Vlaue (Cr)'!C12</f>
        <v>AMBUJACEM</v>
      </c>
      <c r="B17" s="50">
        <f>VLOOKUP($A17,'Data Vlaue (Cr)'!$C:$FB,8)</f>
        <v>445.3</v>
      </c>
      <c r="C17" s="50">
        <f>VLOOKUP($A17,'Data Vlaue (Cr)'!$C:$FB,11)*100</f>
        <v>0.25</v>
      </c>
      <c r="D17" s="50">
        <f>VLOOKUP($A17,'Data Vlaue (Cr)'!$C:$FB,143)</f>
        <v>6901.55</v>
      </c>
      <c r="E17" s="50">
        <f>VLOOKUP($A17,'Data Vlaue (Cr)'!$C:$FB,144)</f>
        <v>733.15</v>
      </c>
      <c r="F17" s="50">
        <f>VLOOKUP($A17,'Data Vlaue (Cr)'!$C:$FB,146)*100</f>
        <v>841.35000000000014</v>
      </c>
      <c r="G17" s="49">
        <f>VLOOKUP($A17,'Data Vlaue (Cr)'!$C:$FB,43)</f>
        <v>1488</v>
      </c>
      <c r="H17" s="49">
        <f>VLOOKUP($A17,'Data Vlaue (Cr)'!$C:$FB,44)</f>
        <v>217</v>
      </c>
      <c r="I17" s="49">
        <f>VLOOKUP($A17,'Data Vlaue (Cr)'!$C:$FB,46)*100</f>
        <v>586.91000000000008</v>
      </c>
      <c r="J17" s="51">
        <f>VLOOKUP($A17,'Data Vlaue (Cr)'!$C:$FB,59)</f>
        <v>3520</v>
      </c>
      <c r="K17" s="51">
        <f>VLOOKUP($A17,'Data Vlaue (Cr)'!$C:$FB,60)</f>
        <v>341</v>
      </c>
      <c r="L17" s="51">
        <f>VLOOKUP($A17,'Data Vlaue (Cr)'!$C:$FB,62)*100</f>
        <v>931.49</v>
      </c>
      <c r="M17" s="51">
        <f>VLOOKUP($A17,'Data Vlaue (Cr)'!$C:$FB,63)</f>
        <v>1604</v>
      </c>
      <c r="N17" s="51">
        <f>VLOOKUP($A17,'Data Vlaue (Cr)'!$C:$FB,64)</f>
        <v>146</v>
      </c>
      <c r="O17" s="51">
        <f>VLOOKUP($A17,'Data Vlaue (Cr)'!$C:$FB,66)*100</f>
        <v>1001.13</v>
      </c>
    </row>
    <row r="18" spans="1:15" x14ac:dyDescent="0.25">
      <c r="A18" s="101" t="str">
        <f>'Data Vlaue (Cr)'!C13</f>
        <v>ANGELONE</v>
      </c>
      <c r="B18" s="50">
        <f>VLOOKUP($A18,'Data Vlaue (Cr)'!$C:$FB,8)</f>
        <v>307.7</v>
      </c>
      <c r="C18" s="50">
        <f>VLOOKUP($A18,'Data Vlaue (Cr)'!$C:$FB,11)*100</f>
        <v>-0.33</v>
      </c>
      <c r="D18" s="50">
        <f>VLOOKUP($A18,'Data Vlaue (Cr)'!$C:$FB,143)</f>
        <v>886.5</v>
      </c>
      <c r="E18" s="50">
        <f>VLOOKUP($A18,'Data Vlaue (Cr)'!$C:$FB,144)</f>
        <v>688.54</v>
      </c>
      <c r="F18" s="50">
        <f>VLOOKUP($A18,'Data Vlaue (Cr)'!$C:$FB,146)*100</f>
        <v>28.749999999999996</v>
      </c>
      <c r="G18" s="49">
        <f>VLOOKUP($A18,'Data Vlaue (Cr)'!$C:$FB,43)</f>
        <v>195</v>
      </c>
      <c r="H18" s="49">
        <f>VLOOKUP($A18,'Data Vlaue (Cr)'!$C:$FB,44)</f>
        <v>173</v>
      </c>
      <c r="I18" s="49">
        <f>VLOOKUP($A18,'Data Vlaue (Cr)'!$C:$FB,46)*100</f>
        <v>12.43</v>
      </c>
      <c r="J18" s="51">
        <f>VLOOKUP($A18,'Data Vlaue (Cr)'!$C:$FB,59)</f>
        <v>424</v>
      </c>
      <c r="K18" s="51">
        <f>VLOOKUP($A18,'Data Vlaue (Cr)'!$C:$FB,60)</f>
        <v>311</v>
      </c>
      <c r="L18" s="51">
        <f>VLOOKUP($A18,'Data Vlaue (Cr)'!$C:$FB,62)*100</f>
        <v>36.42</v>
      </c>
      <c r="M18" s="51">
        <f>VLOOKUP($A18,'Data Vlaue (Cr)'!$C:$FB,63)</f>
        <v>237</v>
      </c>
      <c r="N18" s="51">
        <f>VLOOKUP($A18,'Data Vlaue (Cr)'!$C:$FB,64)</f>
        <v>179</v>
      </c>
      <c r="O18" s="51">
        <f>VLOOKUP($A18,'Data Vlaue (Cr)'!$C:$FB,66)*100</f>
        <v>32.08</v>
      </c>
    </row>
    <row r="19" spans="1:15" x14ac:dyDescent="0.25">
      <c r="A19" s="101" t="str">
        <f>'Data Vlaue (Cr)'!C14</f>
        <v>APLAPOLLO</v>
      </c>
      <c r="B19" s="50">
        <f>VLOOKUP($A19,'Data Vlaue (Cr)'!$C:$FB,8)</f>
        <v>1873</v>
      </c>
      <c r="C19" s="50">
        <f>VLOOKUP($A19,'Data Vlaue (Cr)'!$C:$FB,11)*100</f>
        <v>-1.68</v>
      </c>
      <c r="D19" s="50">
        <f>VLOOKUP($A19,'Data Vlaue (Cr)'!$C:$FB,143)</f>
        <v>2162.0300000000002</v>
      </c>
      <c r="E19" s="50">
        <f>VLOOKUP($A19,'Data Vlaue (Cr)'!$C:$FB,144)</f>
        <v>576.98</v>
      </c>
      <c r="F19" s="50">
        <f>VLOOKUP($A19,'Data Vlaue (Cr)'!$C:$FB,146)*100</f>
        <v>274.71999999999997</v>
      </c>
      <c r="G19" s="49">
        <f>VLOOKUP($A19,'Data Vlaue (Cr)'!$C:$FB,43)</f>
        <v>462</v>
      </c>
      <c r="H19" s="49">
        <f>VLOOKUP($A19,'Data Vlaue (Cr)'!$C:$FB,44)</f>
        <v>159</v>
      </c>
      <c r="I19" s="49">
        <f>VLOOKUP($A19,'Data Vlaue (Cr)'!$C:$FB,46)*100</f>
        <v>190.75</v>
      </c>
      <c r="J19" s="51">
        <f>VLOOKUP($A19,'Data Vlaue (Cr)'!$C:$FB,59)</f>
        <v>1102</v>
      </c>
      <c r="K19" s="51">
        <f>VLOOKUP($A19,'Data Vlaue (Cr)'!$C:$FB,60)</f>
        <v>220</v>
      </c>
      <c r="L19" s="51">
        <f>VLOOKUP($A19,'Data Vlaue (Cr)'!$C:$FB,62)*100</f>
        <v>401.49999999999994</v>
      </c>
      <c r="M19" s="51">
        <f>VLOOKUP($A19,'Data Vlaue (Cr)'!$C:$FB,63)</f>
        <v>520</v>
      </c>
      <c r="N19" s="51">
        <f>VLOOKUP($A19,'Data Vlaue (Cr)'!$C:$FB,64)</f>
        <v>168</v>
      </c>
      <c r="O19" s="51">
        <f>VLOOKUP($A19,'Data Vlaue (Cr)'!$C:$FB,66)*100</f>
        <v>209.58</v>
      </c>
    </row>
    <row r="20" spans="1:15" x14ac:dyDescent="0.25">
      <c r="A20" s="101" t="str">
        <f>'Data Vlaue (Cr)'!C15</f>
        <v>APOLLOHOSP</v>
      </c>
      <c r="B20" s="50">
        <f>VLOOKUP($A20,'Data Vlaue (Cr)'!$C:$FB,8)</f>
        <v>7737.5</v>
      </c>
      <c r="C20" s="50">
        <f>VLOOKUP($A20,'Data Vlaue (Cr)'!$C:$FB,11)*100</f>
        <v>1.32</v>
      </c>
      <c r="D20" s="50">
        <f>VLOOKUP($A20,'Data Vlaue (Cr)'!$C:$FB,143)</f>
        <v>1149.51</v>
      </c>
      <c r="E20" s="50">
        <f>VLOOKUP($A20,'Data Vlaue (Cr)'!$C:$FB,144)</f>
        <v>1089.4100000000001</v>
      </c>
      <c r="F20" s="50">
        <f>VLOOKUP($A20,'Data Vlaue (Cr)'!$C:$FB,146)*100</f>
        <v>5.52</v>
      </c>
      <c r="G20" s="49">
        <f>VLOOKUP($A20,'Data Vlaue (Cr)'!$C:$FB,43)</f>
        <v>174</v>
      </c>
      <c r="H20" s="49">
        <f>VLOOKUP($A20,'Data Vlaue (Cr)'!$C:$FB,44)</f>
        <v>203</v>
      </c>
      <c r="I20" s="49">
        <f>VLOOKUP($A20,'Data Vlaue (Cr)'!$C:$FB,46)*100</f>
        <v>-14.360000000000001</v>
      </c>
      <c r="J20" s="51">
        <f>VLOOKUP($A20,'Data Vlaue (Cr)'!$C:$FB,59)</f>
        <v>592</v>
      </c>
      <c r="K20" s="51">
        <f>VLOOKUP($A20,'Data Vlaue (Cr)'!$C:$FB,60)</f>
        <v>491</v>
      </c>
      <c r="L20" s="51">
        <f>VLOOKUP($A20,'Data Vlaue (Cr)'!$C:$FB,62)*100</f>
        <v>20.669999999999998</v>
      </c>
      <c r="M20" s="51">
        <f>VLOOKUP($A20,'Data Vlaue (Cr)'!$C:$FB,63)</f>
        <v>368</v>
      </c>
      <c r="N20" s="51">
        <f>VLOOKUP($A20,'Data Vlaue (Cr)'!$C:$FB,64)</f>
        <v>401</v>
      </c>
      <c r="O20" s="51">
        <f>VLOOKUP($A20,'Data Vlaue (Cr)'!$C:$FB,66)*100</f>
        <v>-8.129999999999999</v>
      </c>
    </row>
    <row r="21" spans="1:15" x14ac:dyDescent="0.25">
      <c r="A21" s="101" t="str">
        <f>'Data Vlaue (Cr)'!C16</f>
        <v>ASHOKLEY</v>
      </c>
      <c r="B21" s="50">
        <f>VLOOKUP($A21,'Data Vlaue (Cr)'!$C:$FB,8)</f>
        <v>160.77000000000001</v>
      </c>
      <c r="C21" s="50">
        <f>VLOOKUP($A21,'Data Vlaue (Cr)'!$C:$FB,11)*100</f>
        <v>-0.80999999999999994</v>
      </c>
      <c r="D21" s="50">
        <f>VLOOKUP($A21,'Data Vlaue (Cr)'!$C:$FB,143)</f>
        <v>2209.25</v>
      </c>
      <c r="E21" s="50">
        <f>VLOOKUP($A21,'Data Vlaue (Cr)'!$C:$FB,144)</f>
        <v>2282.15</v>
      </c>
      <c r="F21" s="50">
        <f>VLOOKUP($A21,'Data Vlaue (Cr)'!$C:$FB,146)*100</f>
        <v>-3.19</v>
      </c>
      <c r="G21" s="49">
        <f>VLOOKUP($A21,'Data Vlaue (Cr)'!$C:$FB,43)</f>
        <v>525</v>
      </c>
      <c r="H21" s="49">
        <f>VLOOKUP($A21,'Data Vlaue (Cr)'!$C:$FB,44)</f>
        <v>486</v>
      </c>
      <c r="I21" s="49">
        <f>VLOOKUP($A21,'Data Vlaue (Cr)'!$C:$FB,46)*100</f>
        <v>8.0500000000000007</v>
      </c>
      <c r="J21" s="51">
        <f>VLOOKUP($A21,'Data Vlaue (Cr)'!$C:$FB,59)</f>
        <v>1086</v>
      </c>
      <c r="K21" s="51">
        <f>VLOOKUP($A21,'Data Vlaue (Cr)'!$C:$FB,60)</f>
        <v>1118</v>
      </c>
      <c r="L21" s="51">
        <f>VLOOKUP($A21,'Data Vlaue (Cr)'!$C:$FB,62)*100</f>
        <v>-2.9000000000000004</v>
      </c>
      <c r="M21" s="51">
        <f>VLOOKUP($A21,'Data Vlaue (Cr)'!$C:$FB,63)</f>
        <v>464</v>
      </c>
      <c r="N21" s="51">
        <f>VLOOKUP($A21,'Data Vlaue (Cr)'!$C:$FB,64)</f>
        <v>521</v>
      </c>
      <c r="O21" s="51">
        <f>VLOOKUP($A21,'Data Vlaue (Cr)'!$C:$FB,66)*100</f>
        <v>-10.979999999999999</v>
      </c>
    </row>
    <row r="22" spans="1:15" x14ac:dyDescent="0.25">
      <c r="A22" s="101" t="str">
        <f>'Data Vlaue (Cr)'!C17</f>
        <v>ASIANPAINT</v>
      </c>
      <c r="B22" s="50">
        <f>VLOOKUP($A22,'Data Vlaue (Cr)'!$C:$FB,8)</f>
        <v>2448.1</v>
      </c>
      <c r="C22" s="50">
        <f>VLOOKUP($A22,'Data Vlaue (Cr)'!$C:$FB,11)*100</f>
        <v>0.15</v>
      </c>
      <c r="D22" s="50">
        <f>VLOOKUP($A22,'Data Vlaue (Cr)'!$C:$FB,143)</f>
        <v>2852.84</v>
      </c>
      <c r="E22" s="50">
        <f>VLOOKUP($A22,'Data Vlaue (Cr)'!$C:$FB,144)</f>
        <v>2331.06</v>
      </c>
      <c r="F22" s="50">
        <f>VLOOKUP($A22,'Data Vlaue (Cr)'!$C:$FB,146)*100</f>
        <v>22.38</v>
      </c>
      <c r="G22" s="49">
        <f>VLOOKUP($A22,'Data Vlaue (Cr)'!$C:$FB,43)</f>
        <v>292</v>
      </c>
      <c r="H22" s="49">
        <f>VLOOKUP($A22,'Data Vlaue (Cr)'!$C:$FB,44)</f>
        <v>439</v>
      </c>
      <c r="I22" s="49">
        <f>VLOOKUP($A22,'Data Vlaue (Cr)'!$C:$FB,46)*100</f>
        <v>-33.31</v>
      </c>
      <c r="J22" s="51">
        <f>VLOOKUP($A22,'Data Vlaue (Cr)'!$C:$FB,59)</f>
        <v>1505</v>
      </c>
      <c r="K22" s="51">
        <f>VLOOKUP($A22,'Data Vlaue (Cr)'!$C:$FB,60)</f>
        <v>894</v>
      </c>
      <c r="L22" s="51">
        <f>VLOOKUP($A22,'Data Vlaue (Cr)'!$C:$FB,62)*100</f>
        <v>68.37</v>
      </c>
      <c r="M22" s="51">
        <f>VLOOKUP($A22,'Data Vlaue (Cr)'!$C:$FB,63)</f>
        <v>971</v>
      </c>
      <c r="N22" s="51">
        <f>VLOOKUP($A22,'Data Vlaue (Cr)'!$C:$FB,64)</f>
        <v>985</v>
      </c>
      <c r="O22" s="51">
        <f>VLOOKUP($A22,'Data Vlaue (Cr)'!$C:$FB,66)*100</f>
        <v>-1.48</v>
      </c>
    </row>
    <row r="23" spans="1:15" x14ac:dyDescent="0.25">
      <c r="A23" s="101" t="str">
        <f>'Data Vlaue (Cr)'!C18</f>
        <v>ASTRAL</v>
      </c>
      <c r="B23" s="50">
        <f>VLOOKUP($A23,'Data Vlaue (Cr)'!$C:$FB,8)</f>
        <v>1559.6</v>
      </c>
      <c r="C23" s="50">
        <f>VLOOKUP($A23,'Data Vlaue (Cr)'!$C:$FB,11)*100</f>
        <v>1.95</v>
      </c>
      <c r="D23" s="50">
        <f>VLOOKUP($A23,'Data Vlaue (Cr)'!$C:$FB,143)</f>
        <v>560.1</v>
      </c>
      <c r="E23" s="50">
        <f>VLOOKUP($A23,'Data Vlaue (Cr)'!$C:$FB,144)</f>
        <v>523.02</v>
      </c>
      <c r="F23" s="50">
        <f>VLOOKUP($A23,'Data Vlaue (Cr)'!$C:$FB,146)*100</f>
        <v>7.0900000000000007</v>
      </c>
      <c r="G23" s="49">
        <f>VLOOKUP($A23,'Data Vlaue (Cr)'!$C:$FB,43)</f>
        <v>196</v>
      </c>
      <c r="H23" s="49">
        <f>VLOOKUP($A23,'Data Vlaue (Cr)'!$C:$FB,44)</f>
        <v>170</v>
      </c>
      <c r="I23" s="49">
        <f>VLOOKUP($A23,'Data Vlaue (Cr)'!$C:$FB,46)*100</f>
        <v>15.57</v>
      </c>
      <c r="J23" s="51">
        <f>VLOOKUP($A23,'Data Vlaue (Cr)'!$C:$FB,59)</f>
        <v>239</v>
      </c>
      <c r="K23" s="51">
        <f>VLOOKUP($A23,'Data Vlaue (Cr)'!$C:$FB,60)</f>
        <v>226</v>
      </c>
      <c r="L23" s="51">
        <f>VLOOKUP($A23,'Data Vlaue (Cr)'!$C:$FB,62)*100</f>
        <v>5.71</v>
      </c>
      <c r="M23" s="51">
        <f>VLOOKUP($A23,'Data Vlaue (Cr)'!$C:$FB,63)</f>
        <v>110</v>
      </c>
      <c r="N23" s="51">
        <f>VLOOKUP($A23,'Data Vlaue (Cr)'!$C:$FB,64)</f>
        <v>120</v>
      </c>
      <c r="O23" s="51">
        <f>VLOOKUP($A23,'Data Vlaue (Cr)'!$C:$FB,66)*100</f>
        <v>-8.36</v>
      </c>
    </row>
    <row r="24" spans="1:15" x14ac:dyDescent="0.25">
      <c r="A24" s="101" t="str">
        <f>'Data Vlaue (Cr)'!C19</f>
        <v>AUBANK</v>
      </c>
      <c r="B24" s="50">
        <f>VLOOKUP($A24,'Data Vlaue (Cr)'!$C:$FB,8)</f>
        <v>1015</v>
      </c>
      <c r="C24" s="50">
        <f>VLOOKUP($A24,'Data Vlaue (Cr)'!$C:$FB,11)*100</f>
        <v>-0.09</v>
      </c>
      <c r="D24" s="50">
        <f>VLOOKUP($A24,'Data Vlaue (Cr)'!$C:$FB,143)</f>
        <v>1303.6199999999999</v>
      </c>
      <c r="E24" s="50">
        <f>VLOOKUP($A24,'Data Vlaue (Cr)'!$C:$FB,144)</f>
        <v>1847.76</v>
      </c>
      <c r="F24" s="50">
        <f>VLOOKUP($A24,'Data Vlaue (Cr)'!$C:$FB,146)*100</f>
        <v>-29.45</v>
      </c>
      <c r="G24" s="49">
        <f>VLOOKUP($A24,'Data Vlaue (Cr)'!$C:$FB,43)</f>
        <v>345</v>
      </c>
      <c r="H24" s="49">
        <f>VLOOKUP($A24,'Data Vlaue (Cr)'!$C:$FB,44)</f>
        <v>427</v>
      </c>
      <c r="I24" s="49">
        <f>VLOOKUP($A24,'Data Vlaue (Cr)'!$C:$FB,46)*100</f>
        <v>-19.36</v>
      </c>
      <c r="J24" s="51">
        <f>VLOOKUP($A24,'Data Vlaue (Cr)'!$C:$FB,59)</f>
        <v>603</v>
      </c>
      <c r="K24" s="51">
        <f>VLOOKUP($A24,'Data Vlaue (Cr)'!$C:$FB,60)</f>
        <v>884</v>
      </c>
      <c r="L24" s="51">
        <f>VLOOKUP($A24,'Data Vlaue (Cr)'!$C:$FB,62)*100</f>
        <v>-31.77</v>
      </c>
      <c r="M24" s="51">
        <f>VLOOKUP($A24,'Data Vlaue (Cr)'!$C:$FB,63)</f>
        <v>316</v>
      </c>
      <c r="N24" s="51">
        <f>VLOOKUP($A24,'Data Vlaue (Cr)'!$C:$FB,64)</f>
        <v>486</v>
      </c>
      <c r="O24" s="51">
        <f>VLOOKUP($A24,'Data Vlaue (Cr)'!$C:$FB,66)*100</f>
        <v>-35.14</v>
      </c>
    </row>
    <row r="25" spans="1:15" x14ac:dyDescent="0.25">
      <c r="A25" s="101" t="str">
        <f>'Data Vlaue (Cr)'!C20</f>
        <v>AUROPHARMA</v>
      </c>
      <c r="B25" s="50">
        <f>VLOOKUP($A25,'Data Vlaue (Cr)'!$C:$FB,8)</f>
        <v>1376</v>
      </c>
      <c r="C25" s="50">
        <f>VLOOKUP($A25,'Data Vlaue (Cr)'!$C:$FB,11)*100</f>
        <v>-0.97</v>
      </c>
      <c r="D25" s="50">
        <f>VLOOKUP($A25,'Data Vlaue (Cr)'!$C:$FB,143)</f>
        <v>579.29999999999995</v>
      </c>
      <c r="E25" s="50">
        <f>VLOOKUP($A25,'Data Vlaue (Cr)'!$C:$FB,144)</f>
        <v>380.46</v>
      </c>
      <c r="F25" s="50">
        <f>VLOOKUP($A25,'Data Vlaue (Cr)'!$C:$FB,146)*100</f>
        <v>52.26</v>
      </c>
      <c r="G25" s="49">
        <f>VLOOKUP($A25,'Data Vlaue (Cr)'!$C:$FB,43)</f>
        <v>205</v>
      </c>
      <c r="H25" s="49">
        <f>VLOOKUP($A25,'Data Vlaue (Cr)'!$C:$FB,44)</f>
        <v>90</v>
      </c>
      <c r="I25" s="49">
        <f>VLOOKUP($A25,'Data Vlaue (Cr)'!$C:$FB,46)*100</f>
        <v>128.47</v>
      </c>
      <c r="J25" s="51">
        <f>VLOOKUP($A25,'Data Vlaue (Cr)'!$C:$FB,59)</f>
        <v>234</v>
      </c>
      <c r="K25" s="51">
        <f>VLOOKUP($A25,'Data Vlaue (Cr)'!$C:$FB,60)</f>
        <v>174</v>
      </c>
      <c r="L25" s="51">
        <f>VLOOKUP($A25,'Data Vlaue (Cr)'!$C:$FB,62)*100</f>
        <v>34.119999999999997</v>
      </c>
      <c r="M25" s="51">
        <f>VLOOKUP($A25,'Data Vlaue (Cr)'!$C:$FB,63)</f>
        <v>123</v>
      </c>
      <c r="N25" s="51">
        <f>VLOOKUP($A25,'Data Vlaue (Cr)'!$C:$FB,64)</f>
        <v>104</v>
      </c>
      <c r="O25" s="51">
        <f>VLOOKUP($A25,'Data Vlaue (Cr)'!$C:$FB,66)*100</f>
        <v>18.68</v>
      </c>
    </row>
    <row r="26" spans="1:15" x14ac:dyDescent="0.25">
      <c r="A26" s="101" t="str">
        <f>'Data Vlaue (Cr)'!C21</f>
        <v>AXISBANK</v>
      </c>
      <c r="B26" s="50">
        <f>VLOOKUP($A26,'Data Vlaue (Cr)'!$C:$FB,8)</f>
        <v>1275.0999999999999</v>
      </c>
      <c r="C26" s="50">
        <f>VLOOKUP($A26,'Data Vlaue (Cr)'!$C:$FB,11)*100</f>
        <v>0.54</v>
      </c>
      <c r="D26" s="50">
        <f>VLOOKUP($A26,'Data Vlaue (Cr)'!$C:$FB,143)</f>
        <v>4865.96</v>
      </c>
      <c r="E26" s="50">
        <f>VLOOKUP($A26,'Data Vlaue (Cr)'!$C:$FB,144)</f>
        <v>6846.44</v>
      </c>
      <c r="F26" s="50">
        <f>VLOOKUP($A26,'Data Vlaue (Cr)'!$C:$FB,146)*100</f>
        <v>-28.93</v>
      </c>
      <c r="G26" s="49">
        <f>VLOOKUP($A26,'Data Vlaue (Cr)'!$C:$FB,43)</f>
        <v>940</v>
      </c>
      <c r="H26" s="49">
        <f>VLOOKUP($A26,'Data Vlaue (Cr)'!$C:$FB,44)</f>
        <v>1336</v>
      </c>
      <c r="I26" s="49">
        <f>VLOOKUP($A26,'Data Vlaue (Cr)'!$C:$FB,46)*100</f>
        <v>-29.68</v>
      </c>
      <c r="J26" s="51">
        <f>VLOOKUP($A26,'Data Vlaue (Cr)'!$C:$FB,59)</f>
        <v>2545</v>
      </c>
      <c r="K26" s="51">
        <f>VLOOKUP($A26,'Data Vlaue (Cr)'!$C:$FB,60)</f>
        <v>3155</v>
      </c>
      <c r="L26" s="51">
        <f>VLOOKUP($A26,'Data Vlaue (Cr)'!$C:$FB,62)*100</f>
        <v>-19.309999999999999</v>
      </c>
      <c r="M26" s="51">
        <f>VLOOKUP($A26,'Data Vlaue (Cr)'!$C:$FB,63)</f>
        <v>1260</v>
      </c>
      <c r="N26" s="51">
        <f>VLOOKUP($A26,'Data Vlaue (Cr)'!$C:$FB,64)</f>
        <v>2232</v>
      </c>
      <c r="O26" s="51">
        <f>VLOOKUP($A26,'Data Vlaue (Cr)'!$C:$FB,66)*100</f>
        <v>-43.56</v>
      </c>
    </row>
    <row r="27" spans="1:15" x14ac:dyDescent="0.25">
      <c r="A27" s="101" t="str">
        <f>'Data Vlaue (Cr)'!C22</f>
        <v>BAJAJ-AUTO</v>
      </c>
      <c r="B27" s="50">
        <f>VLOOKUP($A27,'Data Vlaue (Cr)'!$C:$FB,8)</f>
        <v>10132</v>
      </c>
      <c r="C27" s="50">
        <f>VLOOKUP($A27,'Data Vlaue (Cr)'!$C:$FB,11)*100</f>
        <v>1.38</v>
      </c>
      <c r="D27" s="50">
        <f>VLOOKUP($A27,'Data Vlaue (Cr)'!$C:$FB,143)</f>
        <v>10437.620000000001</v>
      </c>
      <c r="E27" s="50">
        <f>VLOOKUP($A27,'Data Vlaue (Cr)'!$C:$FB,144)</f>
        <v>13232.37</v>
      </c>
      <c r="F27" s="50">
        <f>VLOOKUP($A27,'Data Vlaue (Cr)'!$C:$FB,146)*100</f>
        <v>-21.12</v>
      </c>
      <c r="G27" s="49">
        <f>VLOOKUP($A27,'Data Vlaue (Cr)'!$C:$FB,43)</f>
        <v>836</v>
      </c>
      <c r="H27" s="49">
        <f>VLOOKUP($A27,'Data Vlaue (Cr)'!$C:$FB,44)</f>
        <v>1725</v>
      </c>
      <c r="I27" s="49">
        <f>VLOOKUP($A27,'Data Vlaue (Cr)'!$C:$FB,46)*100</f>
        <v>-51.51</v>
      </c>
      <c r="J27" s="51">
        <f>VLOOKUP($A27,'Data Vlaue (Cr)'!$C:$FB,59)</f>
        <v>5945</v>
      </c>
      <c r="K27" s="51">
        <f>VLOOKUP($A27,'Data Vlaue (Cr)'!$C:$FB,60)</f>
        <v>8147</v>
      </c>
      <c r="L27" s="51">
        <f>VLOOKUP($A27,'Data Vlaue (Cr)'!$C:$FB,62)*100</f>
        <v>-27.029999999999998</v>
      </c>
      <c r="M27" s="51">
        <f>VLOOKUP($A27,'Data Vlaue (Cr)'!$C:$FB,63)</f>
        <v>3315</v>
      </c>
      <c r="N27" s="51">
        <f>VLOOKUP($A27,'Data Vlaue (Cr)'!$C:$FB,64)</f>
        <v>3413</v>
      </c>
      <c r="O27" s="51">
        <f>VLOOKUP($A27,'Data Vlaue (Cr)'!$C:$FB,66)*100</f>
        <v>-2.85</v>
      </c>
    </row>
    <row r="28" spans="1:15" x14ac:dyDescent="0.25">
      <c r="A28" s="101" t="str">
        <f>'Data Vlaue (Cr)'!C23</f>
        <v>BAJAJFINSV</v>
      </c>
      <c r="B28" s="50">
        <f>VLOOKUP($A28,'Data Vlaue (Cr)'!$C:$FB,8)</f>
        <v>1770.4</v>
      </c>
      <c r="C28" s="50">
        <f>VLOOKUP($A28,'Data Vlaue (Cr)'!$C:$FB,11)*100</f>
        <v>1.3299999999999998</v>
      </c>
      <c r="D28" s="50">
        <f>VLOOKUP($A28,'Data Vlaue (Cr)'!$C:$FB,143)</f>
        <v>1769.28</v>
      </c>
      <c r="E28" s="50">
        <f>VLOOKUP($A28,'Data Vlaue (Cr)'!$C:$FB,144)</f>
        <v>3525.04</v>
      </c>
      <c r="F28" s="50">
        <f>VLOOKUP($A28,'Data Vlaue (Cr)'!$C:$FB,146)*100</f>
        <v>-49.81</v>
      </c>
      <c r="G28" s="49">
        <f>VLOOKUP($A28,'Data Vlaue (Cr)'!$C:$FB,43)</f>
        <v>248</v>
      </c>
      <c r="H28" s="49">
        <f>VLOOKUP($A28,'Data Vlaue (Cr)'!$C:$FB,44)</f>
        <v>464</v>
      </c>
      <c r="I28" s="49">
        <f>VLOOKUP($A28,'Data Vlaue (Cr)'!$C:$FB,46)*100</f>
        <v>-46.47</v>
      </c>
      <c r="J28" s="51">
        <f>VLOOKUP($A28,'Data Vlaue (Cr)'!$C:$FB,59)</f>
        <v>899</v>
      </c>
      <c r="K28" s="51">
        <f>VLOOKUP($A28,'Data Vlaue (Cr)'!$C:$FB,60)</f>
        <v>1831</v>
      </c>
      <c r="L28" s="51">
        <f>VLOOKUP($A28,'Data Vlaue (Cr)'!$C:$FB,62)*100</f>
        <v>-50.91</v>
      </c>
      <c r="M28" s="51">
        <f>VLOOKUP($A28,'Data Vlaue (Cr)'!$C:$FB,63)</f>
        <v>590</v>
      </c>
      <c r="N28" s="51">
        <f>VLOOKUP($A28,'Data Vlaue (Cr)'!$C:$FB,64)</f>
        <v>1155</v>
      </c>
      <c r="O28" s="51">
        <f>VLOOKUP($A28,'Data Vlaue (Cr)'!$C:$FB,66)*100</f>
        <v>-48.96</v>
      </c>
    </row>
    <row r="29" spans="1:15" x14ac:dyDescent="0.25">
      <c r="A29" s="101" t="str">
        <f>'Data Vlaue (Cr)'!C24</f>
        <v>BAJAJHLDNG</v>
      </c>
      <c r="B29" s="50">
        <f>VLOOKUP($A29,'Data Vlaue (Cr)'!$C:$FB,8)</f>
        <v>10376</v>
      </c>
      <c r="C29" s="50">
        <f>VLOOKUP($A29,'Data Vlaue (Cr)'!$C:$FB,11)*100</f>
        <v>1.06</v>
      </c>
      <c r="D29" s="50">
        <f>VLOOKUP($A29,'Data Vlaue (Cr)'!$C:$FB,143)</f>
        <v>301.76</v>
      </c>
      <c r="E29" s="50">
        <f>VLOOKUP($A29,'Data Vlaue (Cr)'!$C:$FB,144)</f>
        <v>104.42</v>
      </c>
      <c r="F29" s="50">
        <f>VLOOKUP($A29,'Data Vlaue (Cr)'!$C:$FB,146)*100</f>
        <v>188.98999999999998</v>
      </c>
      <c r="G29" s="49">
        <f>VLOOKUP($A29,'Data Vlaue (Cr)'!$C:$FB,43)</f>
        <v>44</v>
      </c>
      <c r="H29" s="49">
        <f>VLOOKUP($A29,'Data Vlaue (Cr)'!$C:$FB,44)</f>
        <v>26</v>
      </c>
      <c r="I29" s="49">
        <f>VLOOKUP($A29,'Data Vlaue (Cr)'!$C:$FB,46)*100</f>
        <v>73.47</v>
      </c>
      <c r="J29" s="51">
        <f>VLOOKUP($A29,'Data Vlaue (Cr)'!$C:$FB,59)</f>
        <v>209</v>
      </c>
      <c r="K29" s="51">
        <f>VLOOKUP($A29,'Data Vlaue (Cr)'!$C:$FB,60)</f>
        <v>61</v>
      </c>
      <c r="L29" s="51">
        <f>VLOOKUP($A29,'Data Vlaue (Cr)'!$C:$FB,62)*100</f>
        <v>241.27999999999997</v>
      </c>
      <c r="M29" s="51">
        <f>VLOOKUP($A29,'Data Vlaue (Cr)'!$C:$FB,63)</f>
        <v>31</v>
      </c>
      <c r="N29" s="51">
        <f>VLOOKUP($A29,'Data Vlaue (Cr)'!$C:$FB,64)</f>
        <v>14</v>
      </c>
      <c r="O29" s="51">
        <f>VLOOKUP($A29,'Data Vlaue (Cr)'!$C:$FB,66)*100</f>
        <v>112.94999999999999</v>
      </c>
    </row>
    <row r="30" spans="1:15" x14ac:dyDescent="0.25">
      <c r="A30" s="101" t="str">
        <f>'Data Vlaue (Cr)'!C25</f>
        <v>BAJFINANCE</v>
      </c>
      <c r="B30" s="50">
        <f>VLOOKUP($A30,'Data Vlaue (Cr)'!$C:$FB,8)</f>
        <v>950.2</v>
      </c>
      <c r="C30" s="50">
        <f>VLOOKUP($A30,'Data Vlaue (Cr)'!$C:$FB,11)*100</f>
        <v>1.41</v>
      </c>
      <c r="D30" s="50">
        <f>VLOOKUP($A30,'Data Vlaue (Cr)'!$C:$FB,143)</f>
        <v>5395.1</v>
      </c>
      <c r="E30" s="50">
        <f>VLOOKUP($A30,'Data Vlaue (Cr)'!$C:$FB,144)</f>
        <v>17150.7</v>
      </c>
      <c r="F30" s="50">
        <f>VLOOKUP($A30,'Data Vlaue (Cr)'!$C:$FB,146)*100</f>
        <v>-68.540000000000006</v>
      </c>
      <c r="G30" s="49">
        <f>VLOOKUP($A30,'Data Vlaue (Cr)'!$C:$FB,43)</f>
        <v>785</v>
      </c>
      <c r="H30" s="49">
        <f>VLOOKUP($A30,'Data Vlaue (Cr)'!$C:$FB,44)</f>
        <v>2747</v>
      </c>
      <c r="I30" s="49">
        <f>VLOOKUP($A30,'Data Vlaue (Cr)'!$C:$FB,46)*100</f>
        <v>-71.44</v>
      </c>
      <c r="J30" s="51">
        <f>VLOOKUP($A30,'Data Vlaue (Cr)'!$C:$FB,59)</f>
        <v>2766</v>
      </c>
      <c r="K30" s="51">
        <f>VLOOKUP($A30,'Data Vlaue (Cr)'!$C:$FB,60)</f>
        <v>9011</v>
      </c>
      <c r="L30" s="51">
        <f>VLOOKUP($A30,'Data Vlaue (Cr)'!$C:$FB,62)*100</f>
        <v>-69.31</v>
      </c>
      <c r="M30" s="51">
        <f>VLOOKUP($A30,'Data Vlaue (Cr)'!$C:$FB,63)</f>
        <v>1739</v>
      </c>
      <c r="N30" s="51">
        <f>VLOOKUP($A30,'Data Vlaue (Cr)'!$C:$FB,64)</f>
        <v>4994</v>
      </c>
      <c r="O30" s="51">
        <f>VLOOKUP($A30,'Data Vlaue (Cr)'!$C:$FB,66)*100</f>
        <v>-65.169999999999987</v>
      </c>
    </row>
    <row r="31" spans="1:15" x14ac:dyDescent="0.25">
      <c r="A31" s="101" t="str">
        <f>'Data Vlaue (Cr)'!C26</f>
        <v>BANDHANBNK</v>
      </c>
      <c r="B31" s="50">
        <f>VLOOKUP($A31,'Data Vlaue (Cr)'!$C:$FB,8)</f>
        <v>206.76</v>
      </c>
      <c r="C31" s="50">
        <f>VLOOKUP($A31,'Data Vlaue (Cr)'!$C:$FB,11)*100</f>
        <v>3.52</v>
      </c>
      <c r="D31" s="50">
        <f>VLOOKUP($A31,'Data Vlaue (Cr)'!$C:$FB,143)</f>
        <v>6188.26</v>
      </c>
      <c r="E31" s="50">
        <f>VLOOKUP($A31,'Data Vlaue (Cr)'!$C:$FB,144)</f>
        <v>3416.49</v>
      </c>
      <c r="F31" s="50">
        <f>VLOOKUP($A31,'Data Vlaue (Cr)'!$C:$FB,146)*100</f>
        <v>81.13</v>
      </c>
      <c r="G31" s="49">
        <f>VLOOKUP($A31,'Data Vlaue (Cr)'!$C:$FB,43)</f>
        <v>866</v>
      </c>
      <c r="H31" s="49">
        <f>VLOOKUP($A31,'Data Vlaue (Cr)'!$C:$FB,44)</f>
        <v>684</v>
      </c>
      <c r="I31" s="49">
        <f>VLOOKUP($A31,'Data Vlaue (Cr)'!$C:$FB,46)*100</f>
        <v>26.63</v>
      </c>
      <c r="J31" s="51">
        <f>VLOOKUP($A31,'Data Vlaue (Cr)'!$C:$FB,59)</f>
        <v>3555</v>
      </c>
      <c r="K31" s="51">
        <f>VLOOKUP($A31,'Data Vlaue (Cr)'!$C:$FB,60)</f>
        <v>1761</v>
      </c>
      <c r="L31" s="51">
        <f>VLOOKUP($A31,'Data Vlaue (Cr)'!$C:$FB,62)*100</f>
        <v>101.95</v>
      </c>
      <c r="M31" s="51">
        <f>VLOOKUP($A31,'Data Vlaue (Cr)'!$C:$FB,63)</f>
        <v>1578</v>
      </c>
      <c r="N31" s="51">
        <f>VLOOKUP($A31,'Data Vlaue (Cr)'!$C:$FB,64)</f>
        <v>1025</v>
      </c>
      <c r="O31" s="51">
        <f>VLOOKUP($A31,'Data Vlaue (Cr)'!$C:$FB,66)*100</f>
        <v>53.97</v>
      </c>
    </row>
    <row r="32" spans="1:15" x14ac:dyDescent="0.25">
      <c r="A32" s="101" t="str">
        <f>'Data Vlaue (Cr)'!C27</f>
        <v>BANKBARODA</v>
      </c>
      <c r="B32" s="50">
        <f>VLOOKUP($A32,'Data Vlaue (Cr)'!$C:$FB,8)</f>
        <v>265.10000000000002</v>
      </c>
      <c r="C32" s="50">
        <f>VLOOKUP($A32,'Data Vlaue (Cr)'!$C:$FB,11)*100</f>
        <v>0.62</v>
      </c>
      <c r="D32" s="50">
        <f>VLOOKUP($A32,'Data Vlaue (Cr)'!$C:$FB,143)</f>
        <v>1393.19</v>
      </c>
      <c r="E32" s="50">
        <f>VLOOKUP($A32,'Data Vlaue (Cr)'!$C:$FB,144)</f>
        <v>1436.65</v>
      </c>
      <c r="F32" s="50">
        <f>VLOOKUP($A32,'Data Vlaue (Cr)'!$C:$FB,146)*100</f>
        <v>-3.0300000000000002</v>
      </c>
      <c r="G32" s="49">
        <f>VLOOKUP($A32,'Data Vlaue (Cr)'!$C:$FB,43)</f>
        <v>337</v>
      </c>
      <c r="H32" s="49">
        <f>VLOOKUP($A32,'Data Vlaue (Cr)'!$C:$FB,44)</f>
        <v>455</v>
      </c>
      <c r="I32" s="49">
        <f>VLOOKUP($A32,'Data Vlaue (Cr)'!$C:$FB,46)*100</f>
        <v>-25.900000000000002</v>
      </c>
      <c r="J32" s="51">
        <f>VLOOKUP($A32,'Data Vlaue (Cr)'!$C:$FB,59)</f>
        <v>673</v>
      </c>
      <c r="K32" s="51">
        <f>VLOOKUP($A32,'Data Vlaue (Cr)'!$C:$FB,60)</f>
        <v>595</v>
      </c>
      <c r="L32" s="51">
        <f>VLOOKUP($A32,'Data Vlaue (Cr)'!$C:$FB,62)*100</f>
        <v>13.059999999999999</v>
      </c>
      <c r="M32" s="51">
        <f>VLOOKUP($A32,'Data Vlaue (Cr)'!$C:$FB,63)</f>
        <v>320</v>
      </c>
      <c r="N32" s="51">
        <f>VLOOKUP($A32,'Data Vlaue (Cr)'!$C:$FB,64)</f>
        <v>351</v>
      </c>
      <c r="O32" s="51">
        <f>VLOOKUP($A32,'Data Vlaue (Cr)'!$C:$FB,66)*100</f>
        <v>-8.75</v>
      </c>
    </row>
    <row r="33" spans="1:15" x14ac:dyDescent="0.25">
      <c r="A33" s="101" t="str">
        <f>'Data Vlaue (Cr)'!C28</f>
        <v>BANKINDIA</v>
      </c>
      <c r="B33" s="50">
        <f>VLOOKUP($A33,'Data Vlaue (Cr)'!$C:$FB,8)</f>
        <v>138.66</v>
      </c>
      <c r="C33" s="50">
        <f>VLOOKUP($A33,'Data Vlaue (Cr)'!$C:$FB,11)*100</f>
        <v>-0.86999999999999988</v>
      </c>
      <c r="D33" s="50">
        <f>VLOOKUP($A33,'Data Vlaue (Cr)'!$C:$FB,143)</f>
        <v>484.38</v>
      </c>
      <c r="E33" s="50">
        <f>VLOOKUP($A33,'Data Vlaue (Cr)'!$C:$FB,144)</f>
        <v>456.56</v>
      </c>
      <c r="F33" s="50">
        <f>VLOOKUP($A33,'Data Vlaue (Cr)'!$C:$FB,146)*100</f>
        <v>6.09</v>
      </c>
      <c r="G33" s="49">
        <f>VLOOKUP($A33,'Data Vlaue (Cr)'!$C:$FB,43)</f>
        <v>128</v>
      </c>
      <c r="H33" s="49">
        <f>VLOOKUP($A33,'Data Vlaue (Cr)'!$C:$FB,44)</f>
        <v>137</v>
      </c>
      <c r="I33" s="49">
        <f>VLOOKUP($A33,'Data Vlaue (Cr)'!$C:$FB,46)*100</f>
        <v>-6.61</v>
      </c>
      <c r="J33" s="51">
        <f>VLOOKUP($A33,'Data Vlaue (Cr)'!$C:$FB,59)</f>
        <v>230</v>
      </c>
      <c r="K33" s="51">
        <f>VLOOKUP($A33,'Data Vlaue (Cr)'!$C:$FB,60)</f>
        <v>164</v>
      </c>
      <c r="L33" s="51">
        <f>VLOOKUP($A33,'Data Vlaue (Cr)'!$C:$FB,62)*100</f>
        <v>39.94</v>
      </c>
      <c r="M33" s="51">
        <f>VLOOKUP($A33,'Data Vlaue (Cr)'!$C:$FB,63)</f>
        <v>105</v>
      </c>
      <c r="N33" s="51">
        <f>VLOOKUP($A33,'Data Vlaue (Cr)'!$C:$FB,64)</f>
        <v>136</v>
      </c>
      <c r="O33" s="51">
        <f>VLOOKUP($A33,'Data Vlaue (Cr)'!$C:$FB,66)*100</f>
        <v>-22.34</v>
      </c>
    </row>
    <row r="34" spans="1:15" x14ac:dyDescent="0.25">
      <c r="A34" s="101" t="str">
        <f>'Data Vlaue (Cr)'!C29</f>
        <v>BANKNIFTY</v>
      </c>
      <c r="B34" s="50">
        <f>VLOOKUP($A34,'Data Vlaue (Cr)'!$C:$FB,8)</f>
        <v>54878.5</v>
      </c>
      <c r="C34" s="50">
        <f>VLOOKUP($A34,'Data Vlaue (Cr)'!$C:$FB,11)*100</f>
        <v>0.03</v>
      </c>
      <c r="D34" s="50">
        <f>VLOOKUP($A34,'Data Vlaue (Cr)'!$C:$FB,143)</f>
        <v>290358.2</v>
      </c>
      <c r="E34" s="50">
        <f>VLOOKUP($A34,'Data Vlaue (Cr)'!$C:$FB,144)</f>
        <v>280096.13</v>
      </c>
      <c r="F34" s="50">
        <f>VLOOKUP($A34,'Data Vlaue (Cr)'!$C:$FB,146)*100</f>
        <v>3.66</v>
      </c>
      <c r="G34" s="49">
        <f>VLOOKUP($A34,'Data Vlaue (Cr)'!$C:$FB,43)</f>
        <v>5537</v>
      </c>
      <c r="H34" s="49">
        <f>VLOOKUP($A34,'Data Vlaue (Cr)'!$C:$FB,44)</f>
        <v>5892</v>
      </c>
      <c r="I34" s="49">
        <f>VLOOKUP($A34,'Data Vlaue (Cr)'!$C:$FB,46)*100</f>
        <v>-6.02</v>
      </c>
      <c r="J34" s="51">
        <f>VLOOKUP($A34,'Data Vlaue (Cr)'!$C:$FB,59)</f>
        <v>159515</v>
      </c>
      <c r="K34" s="51">
        <f>VLOOKUP($A34,'Data Vlaue (Cr)'!$C:$FB,60)</f>
        <v>139073</v>
      </c>
      <c r="L34" s="51">
        <f>VLOOKUP($A34,'Data Vlaue (Cr)'!$C:$FB,62)*100</f>
        <v>14.7</v>
      </c>
      <c r="M34" s="51">
        <f>VLOOKUP($A34,'Data Vlaue (Cr)'!$C:$FB,63)</f>
        <v>119012</v>
      </c>
      <c r="N34" s="51">
        <f>VLOOKUP($A34,'Data Vlaue (Cr)'!$C:$FB,64)</f>
        <v>131038</v>
      </c>
      <c r="O34" s="51">
        <f>VLOOKUP($A34,'Data Vlaue (Cr)'!$C:$FB,66)*100</f>
        <v>-9.1800000000000015</v>
      </c>
    </row>
    <row r="35" spans="1:15" x14ac:dyDescent="0.25">
      <c r="A35" s="101" t="str">
        <f>'Data Vlaue (Cr)'!C30</f>
        <v>BDL</v>
      </c>
      <c r="B35" s="50">
        <f>VLOOKUP($A35,'Data Vlaue (Cr)'!$C:$FB,8)</f>
        <v>1372.4</v>
      </c>
      <c r="C35" s="50">
        <f>VLOOKUP($A35,'Data Vlaue (Cr)'!$C:$FB,11)*100</f>
        <v>0.61</v>
      </c>
      <c r="D35" s="50">
        <f>VLOOKUP($A35,'Data Vlaue (Cr)'!$C:$FB,143)</f>
        <v>692.94</v>
      </c>
      <c r="E35" s="50">
        <f>VLOOKUP($A35,'Data Vlaue (Cr)'!$C:$FB,144)</f>
        <v>511.35</v>
      </c>
      <c r="F35" s="50">
        <f>VLOOKUP($A35,'Data Vlaue (Cr)'!$C:$FB,146)*100</f>
        <v>35.510000000000005</v>
      </c>
      <c r="G35" s="49">
        <f>VLOOKUP($A35,'Data Vlaue (Cr)'!$C:$FB,43)</f>
        <v>156</v>
      </c>
      <c r="H35" s="49">
        <f>VLOOKUP($A35,'Data Vlaue (Cr)'!$C:$FB,44)</f>
        <v>140</v>
      </c>
      <c r="I35" s="49">
        <f>VLOOKUP($A35,'Data Vlaue (Cr)'!$C:$FB,46)*100</f>
        <v>11.87</v>
      </c>
      <c r="J35" s="51">
        <f>VLOOKUP($A35,'Data Vlaue (Cr)'!$C:$FB,59)</f>
        <v>387</v>
      </c>
      <c r="K35" s="51">
        <f>VLOOKUP($A35,'Data Vlaue (Cr)'!$C:$FB,60)</f>
        <v>213</v>
      </c>
      <c r="L35" s="51">
        <f>VLOOKUP($A35,'Data Vlaue (Cr)'!$C:$FB,62)*100</f>
        <v>81.37</v>
      </c>
      <c r="M35" s="51">
        <f>VLOOKUP($A35,'Data Vlaue (Cr)'!$C:$FB,63)</f>
        <v>119</v>
      </c>
      <c r="N35" s="51">
        <f>VLOOKUP($A35,'Data Vlaue (Cr)'!$C:$FB,64)</f>
        <v>154</v>
      </c>
      <c r="O35" s="51">
        <f>VLOOKUP($A35,'Data Vlaue (Cr)'!$C:$FB,66)*100</f>
        <v>-22.6</v>
      </c>
    </row>
    <row r="36" spans="1:15" x14ac:dyDescent="0.25">
      <c r="A36" s="101" t="str">
        <f>'Data Vlaue (Cr)'!C31</f>
        <v>BEL</v>
      </c>
      <c r="B36" s="50">
        <f>VLOOKUP($A36,'Data Vlaue (Cr)'!$C:$FB,8)</f>
        <v>433.55</v>
      </c>
      <c r="C36" s="50">
        <f>VLOOKUP($A36,'Data Vlaue (Cr)'!$C:$FB,11)*100</f>
        <v>0.52</v>
      </c>
      <c r="D36" s="50">
        <f>VLOOKUP($A36,'Data Vlaue (Cr)'!$C:$FB,143)</f>
        <v>2699.39</v>
      </c>
      <c r="E36" s="50">
        <f>VLOOKUP($A36,'Data Vlaue (Cr)'!$C:$FB,144)</f>
        <v>2990.71</v>
      </c>
      <c r="F36" s="50">
        <f>VLOOKUP($A36,'Data Vlaue (Cr)'!$C:$FB,146)*100</f>
        <v>-9.74</v>
      </c>
      <c r="G36" s="49">
        <f>VLOOKUP($A36,'Data Vlaue (Cr)'!$C:$FB,43)</f>
        <v>511</v>
      </c>
      <c r="H36" s="49">
        <f>VLOOKUP($A36,'Data Vlaue (Cr)'!$C:$FB,44)</f>
        <v>624</v>
      </c>
      <c r="I36" s="49">
        <f>VLOOKUP($A36,'Data Vlaue (Cr)'!$C:$FB,46)*100</f>
        <v>-18.060000000000002</v>
      </c>
      <c r="J36" s="51">
        <f>VLOOKUP($A36,'Data Vlaue (Cr)'!$C:$FB,59)</f>
        <v>1458</v>
      </c>
      <c r="K36" s="51">
        <f>VLOOKUP($A36,'Data Vlaue (Cr)'!$C:$FB,60)</f>
        <v>1567</v>
      </c>
      <c r="L36" s="51">
        <f>VLOOKUP($A36,'Data Vlaue (Cr)'!$C:$FB,62)*100</f>
        <v>-6.9099999999999993</v>
      </c>
      <c r="M36" s="51">
        <f>VLOOKUP($A36,'Data Vlaue (Cr)'!$C:$FB,63)</f>
        <v>635</v>
      </c>
      <c r="N36" s="51">
        <f>VLOOKUP($A36,'Data Vlaue (Cr)'!$C:$FB,64)</f>
        <v>708</v>
      </c>
      <c r="O36" s="51">
        <f>VLOOKUP($A36,'Data Vlaue (Cr)'!$C:$FB,66)*100</f>
        <v>-10.24</v>
      </c>
    </row>
    <row r="37" spans="1:15" x14ac:dyDescent="0.25">
      <c r="A37" s="101" t="str">
        <f>'Data Vlaue (Cr)'!C32</f>
        <v>BHARATFORG</v>
      </c>
      <c r="B37" s="50">
        <f>VLOOKUP($A37,'Data Vlaue (Cr)'!$C:$FB,8)</f>
        <v>1845.8</v>
      </c>
      <c r="C37" s="50">
        <f>VLOOKUP($A37,'Data Vlaue (Cr)'!$C:$FB,11)*100</f>
        <v>-1.9</v>
      </c>
      <c r="D37" s="50">
        <f>VLOOKUP($A37,'Data Vlaue (Cr)'!$C:$FB,143)</f>
        <v>1716.69</v>
      </c>
      <c r="E37" s="50">
        <f>VLOOKUP($A37,'Data Vlaue (Cr)'!$C:$FB,144)</f>
        <v>1369.05</v>
      </c>
      <c r="F37" s="50">
        <f>VLOOKUP($A37,'Data Vlaue (Cr)'!$C:$FB,146)*100</f>
        <v>25.39</v>
      </c>
      <c r="G37" s="49">
        <f>VLOOKUP($A37,'Data Vlaue (Cr)'!$C:$FB,43)</f>
        <v>340</v>
      </c>
      <c r="H37" s="49">
        <f>VLOOKUP($A37,'Data Vlaue (Cr)'!$C:$FB,44)</f>
        <v>339</v>
      </c>
      <c r="I37" s="49">
        <f>VLOOKUP($A37,'Data Vlaue (Cr)'!$C:$FB,46)*100</f>
        <v>0.44</v>
      </c>
      <c r="J37" s="51">
        <f>VLOOKUP($A37,'Data Vlaue (Cr)'!$C:$FB,59)</f>
        <v>766</v>
      </c>
      <c r="K37" s="51">
        <f>VLOOKUP($A37,'Data Vlaue (Cr)'!$C:$FB,60)</f>
        <v>529</v>
      </c>
      <c r="L37" s="51">
        <f>VLOOKUP($A37,'Data Vlaue (Cr)'!$C:$FB,62)*100</f>
        <v>44.71</v>
      </c>
      <c r="M37" s="51">
        <f>VLOOKUP($A37,'Data Vlaue (Cr)'!$C:$FB,63)</f>
        <v>535</v>
      </c>
      <c r="N37" s="51">
        <f>VLOOKUP($A37,'Data Vlaue (Cr)'!$C:$FB,64)</f>
        <v>442</v>
      </c>
      <c r="O37" s="51">
        <f>VLOOKUP($A37,'Data Vlaue (Cr)'!$C:$FB,66)*100</f>
        <v>21.07</v>
      </c>
    </row>
    <row r="38" spans="1:15" x14ac:dyDescent="0.25">
      <c r="A38" s="101" t="str">
        <f>'Data Vlaue (Cr)'!C33</f>
        <v>BHARTIARTL</v>
      </c>
      <c r="B38" s="50">
        <f>VLOOKUP($A38,'Data Vlaue (Cr)'!$C:$FB,8)</f>
        <v>1827.1</v>
      </c>
      <c r="C38" s="50">
        <f>VLOOKUP($A38,'Data Vlaue (Cr)'!$C:$FB,11)*100</f>
        <v>-3.16</v>
      </c>
      <c r="D38" s="50">
        <f>VLOOKUP($A38,'Data Vlaue (Cr)'!$C:$FB,143)</f>
        <v>8317.75</v>
      </c>
      <c r="E38" s="50">
        <f>VLOOKUP($A38,'Data Vlaue (Cr)'!$C:$FB,144)</f>
        <v>6634.75</v>
      </c>
      <c r="F38" s="50">
        <f>VLOOKUP($A38,'Data Vlaue (Cr)'!$C:$FB,146)*100</f>
        <v>25.369999999999997</v>
      </c>
      <c r="G38" s="49">
        <f>VLOOKUP($A38,'Data Vlaue (Cr)'!$C:$FB,43)</f>
        <v>1381</v>
      </c>
      <c r="H38" s="49">
        <f>VLOOKUP($A38,'Data Vlaue (Cr)'!$C:$FB,44)</f>
        <v>1355</v>
      </c>
      <c r="I38" s="49">
        <f>VLOOKUP($A38,'Data Vlaue (Cr)'!$C:$FB,46)*100</f>
        <v>1.91</v>
      </c>
      <c r="J38" s="51">
        <f>VLOOKUP($A38,'Data Vlaue (Cr)'!$C:$FB,59)</f>
        <v>4224</v>
      </c>
      <c r="K38" s="51">
        <f>VLOOKUP($A38,'Data Vlaue (Cr)'!$C:$FB,60)</f>
        <v>3331</v>
      </c>
      <c r="L38" s="51">
        <f>VLOOKUP($A38,'Data Vlaue (Cr)'!$C:$FB,62)*100</f>
        <v>26.8</v>
      </c>
      <c r="M38" s="51">
        <f>VLOOKUP($A38,'Data Vlaue (Cr)'!$C:$FB,63)</f>
        <v>2420</v>
      </c>
      <c r="N38" s="51">
        <f>VLOOKUP($A38,'Data Vlaue (Cr)'!$C:$FB,64)</f>
        <v>1647</v>
      </c>
      <c r="O38" s="51">
        <f>VLOOKUP($A38,'Data Vlaue (Cr)'!$C:$FB,66)*100</f>
        <v>46.93</v>
      </c>
    </row>
    <row r="39" spans="1:15" x14ac:dyDescent="0.25">
      <c r="A39" s="101" t="str">
        <f>'Data Vlaue (Cr)'!C34</f>
        <v>BHEL</v>
      </c>
      <c r="B39" s="50">
        <f>VLOOKUP($A39,'Data Vlaue (Cr)'!$C:$FB,8)</f>
        <v>377.05</v>
      </c>
      <c r="C39" s="50">
        <f>VLOOKUP($A39,'Data Vlaue (Cr)'!$C:$FB,11)*100</f>
        <v>6.99</v>
      </c>
      <c r="D39" s="50">
        <f>VLOOKUP($A39,'Data Vlaue (Cr)'!$C:$FB,143)</f>
        <v>25526.36</v>
      </c>
      <c r="E39" s="50">
        <f>VLOOKUP($A39,'Data Vlaue (Cr)'!$C:$FB,144)</f>
        <v>3059.98</v>
      </c>
      <c r="F39" s="50">
        <f>VLOOKUP($A39,'Data Vlaue (Cr)'!$C:$FB,146)*100</f>
        <v>734.19999999999993</v>
      </c>
      <c r="G39" s="49">
        <f>VLOOKUP($A39,'Data Vlaue (Cr)'!$C:$FB,43)</f>
        <v>4194</v>
      </c>
      <c r="H39" s="49">
        <f>VLOOKUP($A39,'Data Vlaue (Cr)'!$C:$FB,44)</f>
        <v>1022</v>
      </c>
      <c r="I39" s="49">
        <f>VLOOKUP($A39,'Data Vlaue (Cr)'!$C:$FB,46)*100</f>
        <v>310.34000000000003</v>
      </c>
      <c r="J39" s="51">
        <f>VLOOKUP($A39,'Data Vlaue (Cr)'!$C:$FB,59)</f>
        <v>12498</v>
      </c>
      <c r="K39" s="51">
        <f>VLOOKUP($A39,'Data Vlaue (Cr)'!$C:$FB,60)</f>
        <v>1447</v>
      </c>
      <c r="L39" s="51">
        <f>VLOOKUP($A39,'Data Vlaue (Cr)'!$C:$FB,62)*100</f>
        <v>763.92</v>
      </c>
      <c r="M39" s="51">
        <f>VLOOKUP($A39,'Data Vlaue (Cr)'!$C:$FB,63)</f>
        <v>8249</v>
      </c>
      <c r="N39" s="51">
        <f>VLOOKUP($A39,'Data Vlaue (Cr)'!$C:$FB,64)</f>
        <v>781</v>
      </c>
      <c r="O39" s="51">
        <f>VLOOKUP($A39,'Data Vlaue (Cr)'!$C:$FB,66)*100</f>
        <v>955.99000000000012</v>
      </c>
    </row>
    <row r="40" spans="1:15" x14ac:dyDescent="0.25">
      <c r="A40" s="101" t="str">
        <f>'Data Vlaue (Cr)'!C35</f>
        <v>BIOCON</v>
      </c>
      <c r="B40" s="50">
        <f>VLOOKUP($A40,'Data Vlaue (Cr)'!$C:$FB,8)</f>
        <v>360.6</v>
      </c>
      <c r="C40" s="50">
        <f>VLOOKUP($A40,'Data Vlaue (Cr)'!$C:$FB,11)*100</f>
        <v>0.26</v>
      </c>
      <c r="D40" s="50">
        <f>VLOOKUP($A40,'Data Vlaue (Cr)'!$C:$FB,143)</f>
        <v>848.86</v>
      </c>
      <c r="E40" s="50">
        <f>VLOOKUP($A40,'Data Vlaue (Cr)'!$C:$FB,144)</f>
        <v>859.26</v>
      </c>
      <c r="F40" s="50">
        <f>VLOOKUP($A40,'Data Vlaue (Cr)'!$C:$FB,146)*100</f>
        <v>-1.21</v>
      </c>
      <c r="G40" s="49">
        <f>VLOOKUP($A40,'Data Vlaue (Cr)'!$C:$FB,43)</f>
        <v>154</v>
      </c>
      <c r="H40" s="49">
        <f>VLOOKUP($A40,'Data Vlaue (Cr)'!$C:$FB,44)</f>
        <v>144</v>
      </c>
      <c r="I40" s="49">
        <f>VLOOKUP($A40,'Data Vlaue (Cr)'!$C:$FB,46)*100</f>
        <v>7.12</v>
      </c>
      <c r="J40" s="51">
        <f>VLOOKUP($A40,'Data Vlaue (Cr)'!$C:$FB,59)</f>
        <v>478</v>
      </c>
      <c r="K40" s="51">
        <f>VLOOKUP($A40,'Data Vlaue (Cr)'!$C:$FB,60)</f>
        <v>519</v>
      </c>
      <c r="L40" s="51">
        <f>VLOOKUP($A40,'Data Vlaue (Cr)'!$C:$FB,62)*100</f>
        <v>-7.7799999999999994</v>
      </c>
      <c r="M40" s="51">
        <f>VLOOKUP($A40,'Data Vlaue (Cr)'!$C:$FB,63)</f>
        <v>178</v>
      </c>
      <c r="N40" s="51">
        <f>VLOOKUP($A40,'Data Vlaue (Cr)'!$C:$FB,64)</f>
        <v>156</v>
      </c>
      <c r="O40" s="51">
        <f>VLOOKUP($A40,'Data Vlaue (Cr)'!$C:$FB,66)*100</f>
        <v>14.249999999999998</v>
      </c>
    </row>
    <row r="41" spans="1:15" x14ac:dyDescent="0.25">
      <c r="A41" s="101" t="str">
        <f>'Data Vlaue (Cr)'!C36</f>
        <v>BLUESTARCO</v>
      </c>
      <c r="B41" s="50">
        <f>VLOOKUP($A41,'Data Vlaue (Cr)'!$C:$FB,8)</f>
        <v>1802.2</v>
      </c>
      <c r="C41" s="50">
        <f>VLOOKUP($A41,'Data Vlaue (Cr)'!$C:$FB,11)*100</f>
        <v>1.1900000000000002</v>
      </c>
      <c r="D41" s="50">
        <f>VLOOKUP($A41,'Data Vlaue (Cr)'!$C:$FB,143)</f>
        <v>340.31</v>
      </c>
      <c r="E41" s="50">
        <f>VLOOKUP($A41,'Data Vlaue (Cr)'!$C:$FB,144)</f>
        <v>576.46</v>
      </c>
      <c r="F41" s="50">
        <f>VLOOKUP($A41,'Data Vlaue (Cr)'!$C:$FB,146)*100</f>
        <v>-40.97</v>
      </c>
      <c r="G41" s="49">
        <f>VLOOKUP($A41,'Data Vlaue (Cr)'!$C:$FB,43)</f>
        <v>119</v>
      </c>
      <c r="H41" s="49">
        <f>VLOOKUP($A41,'Data Vlaue (Cr)'!$C:$FB,44)</f>
        <v>230</v>
      </c>
      <c r="I41" s="49">
        <f>VLOOKUP($A41,'Data Vlaue (Cr)'!$C:$FB,46)*100</f>
        <v>-48.38</v>
      </c>
      <c r="J41" s="51">
        <f>VLOOKUP($A41,'Data Vlaue (Cr)'!$C:$FB,59)</f>
        <v>142</v>
      </c>
      <c r="K41" s="51">
        <f>VLOOKUP($A41,'Data Vlaue (Cr)'!$C:$FB,60)</f>
        <v>202</v>
      </c>
      <c r="L41" s="51">
        <f>VLOOKUP($A41,'Data Vlaue (Cr)'!$C:$FB,62)*100</f>
        <v>-29.43</v>
      </c>
      <c r="M41" s="51">
        <f>VLOOKUP($A41,'Data Vlaue (Cr)'!$C:$FB,63)</f>
        <v>70</v>
      </c>
      <c r="N41" s="51">
        <f>VLOOKUP($A41,'Data Vlaue (Cr)'!$C:$FB,64)</f>
        <v>127</v>
      </c>
      <c r="O41" s="51">
        <f>VLOOKUP($A41,'Data Vlaue (Cr)'!$C:$FB,66)*100</f>
        <v>-44.879999999999995</v>
      </c>
    </row>
    <row r="42" spans="1:15" x14ac:dyDescent="0.25">
      <c r="A42" s="101" t="str">
        <f>'Data Vlaue (Cr)'!C37</f>
        <v>BOSCHLTD</v>
      </c>
      <c r="B42" s="50">
        <f>VLOOKUP($A42,'Data Vlaue (Cr)'!$C:$FB,8)</f>
        <v>35850</v>
      </c>
      <c r="C42" s="50">
        <f>VLOOKUP($A42,'Data Vlaue (Cr)'!$C:$FB,11)*100</f>
        <v>-0.4</v>
      </c>
      <c r="D42" s="50">
        <f>VLOOKUP($A42,'Data Vlaue (Cr)'!$C:$FB,143)</f>
        <v>340.66</v>
      </c>
      <c r="E42" s="50">
        <f>VLOOKUP($A42,'Data Vlaue (Cr)'!$C:$FB,144)</f>
        <v>347.36</v>
      </c>
      <c r="F42" s="50">
        <f>VLOOKUP($A42,'Data Vlaue (Cr)'!$C:$FB,146)*100</f>
        <v>-1.9300000000000002</v>
      </c>
      <c r="G42" s="49">
        <f>VLOOKUP($A42,'Data Vlaue (Cr)'!$C:$FB,43)</f>
        <v>122</v>
      </c>
      <c r="H42" s="49">
        <f>VLOOKUP($A42,'Data Vlaue (Cr)'!$C:$FB,44)</f>
        <v>90</v>
      </c>
      <c r="I42" s="49">
        <f>VLOOKUP($A42,'Data Vlaue (Cr)'!$C:$FB,46)*100</f>
        <v>35.089999999999996</v>
      </c>
      <c r="J42" s="51">
        <f>VLOOKUP($A42,'Data Vlaue (Cr)'!$C:$FB,59)</f>
        <v>123</v>
      </c>
      <c r="K42" s="51">
        <f>VLOOKUP($A42,'Data Vlaue (Cr)'!$C:$FB,60)</f>
        <v>115</v>
      </c>
      <c r="L42" s="51">
        <f>VLOOKUP($A42,'Data Vlaue (Cr)'!$C:$FB,62)*100</f>
        <v>6.98</v>
      </c>
      <c r="M42" s="51">
        <f>VLOOKUP($A42,'Data Vlaue (Cr)'!$C:$FB,63)</f>
        <v>86</v>
      </c>
      <c r="N42" s="51">
        <f>VLOOKUP($A42,'Data Vlaue (Cr)'!$C:$FB,64)</f>
        <v>133</v>
      </c>
      <c r="O42" s="51">
        <f>VLOOKUP($A42,'Data Vlaue (Cr)'!$C:$FB,66)*100</f>
        <v>-35.31</v>
      </c>
    </row>
    <row r="43" spans="1:15" x14ac:dyDescent="0.25">
      <c r="A43" s="101" t="str">
        <f>'Data Vlaue (Cr)'!C38</f>
        <v>BPCL</v>
      </c>
      <c r="B43" s="50">
        <f>VLOOKUP($A43,'Data Vlaue (Cr)'!$C:$FB,8)</f>
        <v>301.7</v>
      </c>
      <c r="C43" s="50">
        <f>VLOOKUP($A43,'Data Vlaue (Cr)'!$C:$FB,11)*100</f>
        <v>0.42</v>
      </c>
      <c r="D43" s="50">
        <f>VLOOKUP($A43,'Data Vlaue (Cr)'!$C:$FB,143)</f>
        <v>876.73</v>
      </c>
      <c r="E43" s="50">
        <f>VLOOKUP($A43,'Data Vlaue (Cr)'!$C:$FB,144)</f>
        <v>1100.57</v>
      </c>
      <c r="F43" s="50">
        <f>VLOOKUP($A43,'Data Vlaue (Cr)'!$C:$FB,146)*100</f>
        <v>-20.34</v>
      </c>
      <c r="G43" s="49">
        <f>VLOOKUP($A43,'Data Vlaue (Cr)'!$C:$FB,43)</f>
        <v>148</v>
      </c>
      <c r="H43" s="49">
        <f>VLOOKUP($A43,'Data Vlaue (Cr)'!$C:$FB,44)</f>
        <v>300</v>
      </c>
      <c r="I43" s="49">
        <f>VLOOKUP($A43,'Data Vlaue (Cr)'!$C:$FB,46)*100</f>
        <v>-50.67</v>
      </c>
      <c r="J43" s="51">
        <f>VLOOKUP($A43,'Data Vlaue (Cr)'!$C:$FB,59)</f>
        <v>399</v>
      </c>
      <c r="K43" s="51">
        <f>VLOOKUP($A43,'Data Vlaue (Cr)'!$C:$FB,60)</f>
        <v>458</v>
      </c>
      <c r="L43" s="51">
        <f>VLOOKUP($A43,'Data Vlaue (Cr)'!$C:$FB,62)*100</f>
        <v>-12.839999999999998</v>
      </c>
      <c r="M43" s="51">
        <f>VLOOKUP($A43,'Data Vlaue (Cr)'!$C:$FB,63)</f>
        <v>299</v>
      </c>
      <c r="N43" s="51">
        <f>VLOOKUP($A43,'Data Vlaue (Cr)'!$C:$FB,64)</f>
        <v>311</v>
      </c>
      <c r="O43" s="51">
        <f>VLOOKUP($A43,'Data Vlaue (Cr)'!$C:$FB,66)*100</f>
        <v>-3.93</v>
      </c>
    </row>
    <row r="44" spans="1:15" x14ac:dyDescent="0.25">
      <c r="A44" s="101" t="str">
        <f>'Data Vlaue (Cr)'!C39</f>
        <v>BRITANNIA</v>
      </c>
      <c r="B44" s="50">
        <f>VLOOKUP($A44,'Data Vlaue (Cr)'!$C:$FB,8)</f>
        <v>5792.5</v>
      </c>
      <c r="C44" s="50">
        <f>VLOOKUP($A44,'Data Vlaue (Cr)'!$C:$FB,11)*100</f>
        <v>1.1599999999999999</v>
      </c>
      <c r="D44" s="50">
        <f>VLOOKUP($A44,'Data Vlaue (Cr)'!$C:$FB,143)</f>
        <v>1205.0999999999999</v>
      </c>
      <c r="E44" s="50">
        <f>VLOOKUP($A44,'Data Vlaue (Cr)'!$C:$FB,144)</f>
        <v>833.83</v>
      </c>
      <c r="F44" s="50">
        <f>VLOOKUP($A44,'Data Vlaue (Cr)'!$C:$FB,146)*100</f>
        <v>44.529999999999994</v>
      </c>
      <c r="G44" s="49">
        <f>VLOOKUP($A44,'Data Vlaue (Cr)'!$C:$FB,43)</f>
        <v>267</v>
      </c>
      <c r="H44" s="49">
        <f>VLOOKUP($A44,'Data Vlaue (Cr)'!$C:$FB,44)</f>
        <v>227</v>
      </c>
      <c r="I44" s="49">
        <f>VLOOKUP($A44,'Data Vlaue (Cr)'!$C:$FB,46)*100</f>
        <v>17.2</v>
      </c>
      <c r="J44" s="51">
        <f>VLOOKUP($A44,'Data Vlaue (Cr)'!$C:$FB,59)</f>
        <v>651</v>
      </c>
      <c r="K44" s="51">
        <f>VLOOKUP($A44,'Data Vlaue (Cr)'!$C:$FB,60)</f>
        <v>393</v>
      </c>
      <c r="L44" s="51">
        <f>VLOOKUP($A44,'Data Vlaue (Cr)'!$C:$FB,62)*100</f>
        <v>65.649999999999991</v>
      </c>
      <c r="M44" s="51">
        <f>VLOOKUP($A44,'Data Vlaue (Cr)'!$C:$FB,63)</f>
        <v>259</v>
      </c>
      <c r="N44" s="51">
        <f>VLOOKUP($A44,'Data Vlaue (Cr)'!$C:$FB,64)</f>
        <v>209</v>
      </c>
      <c r="O44" s="51">
        <f>VLOOKUP($A44,'Data Vlaue (Cr)'!$C:$FB,66)*100</f>
        <v>24.240000000000002</v>
      </c>
    </row>
    <row r="45" spans="1:15" x14ac:dyDescent="0.25">
      <c r="A45" s="101" t="str">
        <f>'Data Vlaue (Cr)'!C40</f>
        <v>BSE</v>
      </c>
      <c r="B45" s="50">
        <f>VLOOKUP($A45,'Data Vlaue (Cr)'!$C:$FB,8)</f>
        <v>3711.3</v>
      </c>
      <c r="C45" s="50">
        <f>VLOOKUP($A45,'Data Vlaue (Cr)'!$C:$FB,11)*100</f>
        <v>1.94</v>
      </c>
      <c r="D45" s="50">
        <f>VLOOKUP($A45,'Data Vlaue (Cr)'!$C:$FB,143)</f>
        <v>8218.6</v>
      </c>
      <c r="E45" s="50">
        <f>VLOOKUP($A45,'Data Vlaue (Cr)'!$C:$FB,144)</f>
        <v>5223.8599999999997</v>
      </c>
      <c r="F45" s="50">
        <f>VLOOKUP($A45,'Data Vlaue (Cr)'!$C:$FB,146)*100</f>
        <v>57.330000000000005</v>
      </c>
      <c r="G45" s="49">
        <f>VLOOKUP($A45,'Data Vlaue (Cr)'!$C:$FB,43)</f>
        <v>1000</v>
      </c>
      <c r="H45" s="49">
        <f>VLOOKUP($A45,'Data Vlaue (Cr)'!$C:$FB,44)</f>
        <v>814</v>
      </c>
      <c r="I45" s="49">
        <f>VLOOKUP($A45,'Data Vlaue (Cr)'!$C:$FB,46)*100</f>
        <v>22.93</v>
      </c>
      <c r="J45" s="51">
        <f>VLOOKUP($A45,'Data Vlaue (Cr)'!$C:$FB,59)</f>
        <v>4346</v>
      </c>
      <c r="K45" s="51">
        <f>VLOOKUP($A45,'Data Vlaue (Cr)'!$C:$FB,60)</f>
        <v>2254</v>
      </c>
      <c r="L45" s="51">
        <f>VLOOKUP($A45,'Data Vlaue (Cr)'!$C:$FB,62)*100</f>
        <v>92.83</v>
      </c>
      <c r="M45" s="51">
        <f>VLOOKUP($A45,'Data Vlaue (Cr)'!$C:$FB,63)</f>
        <v>2713</v>
      </c>
      <c r="N45" s="51">
        <f>VLOOKUP($A45,'Data Vlaue (Cr)'!$C:$FB,64)</f>
        <v>2206</v>
      </c>
      <c r="O45" s="51">
        <f>VLOOKUP($A45,'Data Vlaue (Cr)'!$C:$FB,66)*100</f>
        <v>23</v>
      </c>
    </row>
    <row r="46" spans="1:15" x14ac:dyDescent="0.25">
      <c r="A46" s="101" t="str">
        <f>'Data Vlaue (Cr)'!C41</f>
        <v>CAMS</v>
      </c>
      <c r="B46" s="50">
        <f>VLOOKUP($A46,'Data Vlaue (Cr)'!$C:$FB,8)</f>
        <v>730.85</v>
      </c>
      <c r="C46" s="50">
        <f>VLOOKUP($A46,'Data Vlaue (Cr)'!$C:$FB,11)*100</f>
        <v>-1.05</v>
      </c>
      <c r="D46" s="50">
        <f>VLOOKUP($A46,'Data Vlaue (Cr)'!$C:$FB,143)</f>
        <v>816.72</v>
      </c>
      <c r="E46" s="50">
        <f>VLOOKUP($A46,'Data Vlaue (Cr)'!$C:$FB,144)</f>
        <v>883.7</v>
      </c>
      <c r="F46" s="50">
        <f>VLOOKUP($A46,'Data Vlaue (Cr)'!$C:$FB,146)*100</f>
        <v>-7.580000000000001</v>
      </c>
      <c r="G46" s="49">
        <f>VLOOKUP($A46,'Data Vlaue (Cr)'!$C:$FB,43)</f>
        <v>123</v>
      </c>
      <c r="H46" s="49">
        <f>VLOOKUP($A46,'Data Vlaue (Cr)'!$C:$FB,44)</f>
        <v>315</v>
      </c>
      <c r="I46" s="49">
        <f>VLOOKUP($A46,'Data Vlaue (Cr)'!$C:$FB,46)*100</f>
        <v>-60.88</v>
      </c>
      <c r="J46" s="51">
        <f>VLOOKUP($A46,'Data Vlaue (Cr)'!$C:$FB,59)</f>
        <v>375</v>
      </c>
      <c r="K46" s="51">
        <f>VLOOKUP($A46,'Data Vlaue (Cr)'!$C:$FB,60)</f>
        <v>237</v>
      </c>
      <c r="L46" s="51">
        <f>VLOOKUP($A46,'Data Vlaue (Cr)'!$C:$FB,62)*100</f>
        <v>58.41</v>
      </c>
      <c r="M46" s="51">
        <f>VLOOKUP($A46,'Data Vlaue (Cr)'!$C:$FB,63)</f>
        <v>291</v>
      </c>
      <c r="N46" s="51">
        <f>VLOOKUP($A46,'Data Vlaue (Cr)'!$C:$FB,64)</f>
        <v>312</v>
      </c>
      <c r="O46" s="51">
        <f>VLOOKUP($A46,'Data Vlaue (Cr)'!$C:$FB,66)*100</f>
        <v>-6.76</v>
      </c>
    </row>
    <row r="47" spans="1:15" x14ac:dyDescent="0.25">
      <c r="A47" s="101" t="str">
        <f>'Data Vlaue (Cr)'!C42</f>
        <v>CANBK</v>
      </c>
      <c r="B47" s="50">
        <f>VLOOKUP($A47,'Data Vlaue (Cr)'!$C:$FB,8)</f>
        <v>134.80000000000001</v>
      </c>
      <c r="C47" s="50">
        <f>VLOOKUP($A47,'Data Vlaue (Cr)'!$C:$FB,11)*100</f>
        <v>0.11</v>
      </c>
      <c r="D47" s="50">
        <f>VLOOKUP($A47,'Data Vlaue (Cr)'!$C:$FB,143)</f>
        <v>1633.69</v>
      </c>
      <c r="E47" s="50">
        <f>VLOOKUP($A47,'Data Vlaue (Cr)'!$C:$FB,144)</f>
        <v>1743.4</v>
      </c>
      <c r="F47" s="50">
        <f>VLOOKUP($A47,'Data Vlaue (Cr)'!$C:$FB,146)*100</f>
        <v>-6.29</v>
      </c>
      <c r="G47" s="49">
        <f>VLOOKUP($A47,'Data Vlaue (Cr)'!$C:$FB,43)</f>
        <v>329</v>
      </c>
      <c r="H47" s="49">
        <f>VLOOKUP($A47,'Data Vlaue (Cr)'!$C:$FB,44)</f>
        <v>436</v>
      </c>
      <c r="I47" s="49">
        <f>VLOOKUP($A47,'Data Vlaue (Cr)'!$C:$FB,46)*100</f>
        <v>-24.62</v>
      </c>
      <c r="J47" s="51">
        <f>VLOOKUP($A47,'Data Vlaue (Cr)'!$C:$FB,59)</f>
        <v>772</v>
      </c>
      <c r="K47" s="51">
        <f>VLOOKUP($A47,'Data Vlaue (Cr)'!$C:$FB,60)</f>
        <v>695</v>
      </c>
      <c r="L47" s="51">
        <f>VLOOKUP($A47,'Data Vlaue (Cr)'!$C:$FB,62)*100</f>
        <v>11</v>
      </c>
      <c r="M47" s="51">
        <f>VLOOKUP($A47,'Data Vlaue (Cr)'!$C:$FB,63)</f>
        <v>473</v>
      </c>
      <c r="N47" s="51">
        <f>VLOOKUP($A47,'Data Vlaue (Cr)'!$C:$FB,64)</f>
        <v>557</v>
      </c>
      <c r="O47" s="51">
        <f>VLOOKUP($A47,'Data Vlaue (Cr)'!$C:$FB,66)*100</f>
        <v>-15.07</v>
      </c>
    </row>
    <row r="48" spans="1:15" x14ac:dyDescent="0.25">
      <c r="A48" s="101" t="str">
        <f>'Data Vlaue (Cr)'!C43</f>
        <v>CDSL</v>
      </c>
      <c r="B48" s="50">
        <f>VLOOKUP($A48,'Data Vlaue (Cr)'!$C:$FB,8)</f>
        <v>1238.3</v>
      </c>
      <c r="C48" s="50">
        <f>VLOOKUP($A48,'Data Vlaue (Cr)'!$C:$FB,11)*100</f>
        <v>-2.65</v>
      </c>
      <c r="D48" s="50">
        <f>VLOOKUP($A48,'Data Vlaue (Cr)'!$C:$FB,143)</f>
        <v>3762.77</v>
      </c>
      <c r="E48" s="50">
        <f>VLOOKUP($A48,'Data Vlaue (Cr)'!$C:$FB,144)</f>
        <v>1757.01</v>
      </c>
      <c r="F48" s="50">
        <f>VLOOKUP($A48,'Data Vlaue (Cr)'!$C:$FB,146)*100</f>
        <v>114.16</v>
      </c>
      <c r="G48" s="49">
        <f>VLOOKUP($A48,'Data Vlaue (Cr)'!$C:$FB,43)</f>
        <v>629</v>
      </c>
      <c r="H48" s="49">
        <f>VLOOKUP($A48,'Data Vlaue (Cr)'!$C:$FB,44)</f>
        <v>343</v>
      </c>
      <c r="I48" s="49">
        <f>VLOOKUP($A48,'Data Vlaue (Cr)'!$C:$FB,46)*100</f>
        <v>83.45</v>
      </c>
      <c r="J48" s="51">
        <f>VLOOKUP($A48,'Data Vlaue (Cr)'!$C:$FB,59)</f>
        <v>1596</v>
      </c>
      <c r="K48" s="51">
        <f>VLOOKUP($A48,'Data Vlaue (Cr)'!$C:$FB,60)</f>
        <v>734</v>
      </c>
      <c r="L48" s="51">
        <f>VLOOKUP($A48,'Data Vlaue (Cr)'!$C:$FB,62)*100</f>
        <v>117.60999999999999</v>
      </c>
      <c r="M48" s="51">
        <f>VLOOKUP($A48,'Data Vlaue (Cr)'!$C:$FB,63)</f>
        <v>1408</v>
      </c>
      <c r="N48" s="51">
        <f>VLOOKUP($A48,'Data Vlaue (Cr)'!$C:$FB,64)</f>
        <v>578</v>
      </c>
      <c r="O48" s="51">
        <f>VLOOKUP($A48,'Data Vlaue (Cr)'!$C:$FB,66)*100</f>
        <v>143.6</v>
      </c>
    </row>
    <row r="49" spans="1:15" x14ac:dyDescent="0.25">
      <c r="A49" s="101" t="str">
        <f>'Data Vlaue (Cr)'!C44</f>
        <v>CGPOWER</v>
      </c>
      <c r="B49" s="50">
        <f>VLOOKUP($A49,'Data Vlaue (Cr)'!$C:$FB,8)</f>
        <v>802.3</v>
      </c>
      <c r="C49" s="50">
        <f>VLOOKUP($A49,'Data Vlaue (Cr)'!$C:$FB,11)*100</f>
        <v>-1.3599999999999999</v>
      </c>
      <c r="D49" s="50">
        <f>VLOOKUP($A49,'Data Vlaue (Cr)'!$C:$FB,143)</f>
        <v>908.84</v>
      </c>
      <c r="E49" s="50">
        <f>VLOOKUP($A49,'Data Vlaue (Cr)'!$C:$FB,144)</f>
        <v>729.35</v>
      </c>
      <c r="F49" s="50">
        <f>VLOOKUP($A49,'Data Vlaue (Cr)'!$C:$FB,146)*100</f>
        <v>24.610000000000003</v>
      </c>
      <c r="G49" s="49">
        <f>VLOOKUP($A49,'Data Vlaue (Cr)'!$C:$FB,43)</f>
        <v>260</v>
      </c>
      <c r="H49" s="49">
        <f>VLOOKUP($A49,'Data Vlaue (Cr)'!$C:$FB,44)</f>
        <v>270</v>
      </c>
      <c r="I49" s="49">
        <f>VLOOKUP($A49,'Data Vlaue (Cr)'!$C:$FB,46)*100</f>
        <v>-3.7600000000000002</v>
      </c>
      <c r="J49" s="51">
        <f>VLOOKUP($A49,'Data Vlaue (Cr)'!$C:$FB,59)</f>
        <v>429</v>
      </c>
      <c r="K49" s="51">
        <f>VLOOKUP($A49,'Data Vlaue (Cr)'!$C:$FB,60)</f>
        <v>256</v>
      </c>
      <c r="L49" s="51">
        <f>VLOOKUP($A49,'Data Vlaue (Cr)'!$C:$FB,62)*100</f>
        <v>67.820000000000007</v>
      </c>
      <c r="M49" s="51">
        <f>VLOOKUP($A49,'Data Vlaue (Cr)'!$C:$FB,63)</f>
        <v>178</v>
      </c>
      <c r="N49" s="51">
        <f>VLOOKUP($A49,'Data Vlaue (Cr)'!$C:$FB,64)</f>
        <v>179</v>
      </c>
      <c r="O49" s="51">
        <f>VLOOKUP($A49,'Data Vlaue (Cr)'!$C:$FB,66)*100</f>
        <v>-0.33999999999999997</v>
      </c>
    </row>
    <row r="50" spans="1:15" x14ac:dyDescent="0.25">
      <c r="A50" s="101" t="str">
        <f>'Data Vlaue (Cr)'!C45</f>
        <v>CHOLAFIN</v>
      </c>
      <c r="B50" s="50">
        <f>VLOOKUP($A50,'Data Vlaue (Cr)'!$C:$FB,8)</f>
        <v>1639.5</v>
      </c>
      <c r="C50" s="50">
        <f>VLOOKUP($A50,'Data Vlaue (Cr)'!$C:$FB,11)*100</f>
        <v>4.9000000000000004</v>
      </c>
      <c r="D50" s="50">
        <f>VLOOKUP($A50,'Data Vlaue (Cr)'!$C:$FB,143)</f>
        <v>4488.6899999999996</v>
      </c>
      <c r="E50" s="50">
        <f>VLOOKUP($A50,'Data Vlaue (Cr)'!$C:$FB,144)</f>
        <v>5995.33</v>
      </c>
      <c r="F50" s="50">
        <f>VLOOKUP($A50,'Data Vlaue (Cr)'!$C:$FB,146)*100</f>
        <v>-25.130000000000003</v>
      </c>
      <c r="G50" s="49">
        <f>VLOOKUP($A50,'Data Vlaue (Cr)'!$C:$FB,43)</f>
        <v>976</v>
      </c>
      <c r="H50" s="49">
        <f>VLOOKUP($A50,'Data Vlaue (Cr)'!$C:$FB,44)</f>
        <v>1524</v>
      </c>
      <c r="I50" s="49">
        <f>VLOOKUP($A50,'Data Vlaue (Cr)'!$C:$FB,46)*100</f>
        <v>-35.96</v>
      </c>
      <c r="J50" s="51">
        <f>VLOOKUP($A50,'Data Vlaue (Cr)'!$C:$FB,59)</f>
        <v>2340</v>
      </c>
      <c r="K50" s="51">
        <f>VLOOKUP($A50,'Data Vlaue (Cr)'!$C:$FB,60)</f>
        <v>2985</v>
      </c>
      <c r="L50" s="51">
        <f>VLOOKUP($A50,'Data Vlaue (Cr)'!$C:$FB,62)*100</f>
        <v>-21.6</v>
      </c>
      <c r="M50" s="51">
        <f>VLOOKUP($A50,'Data Vlaue (Cr)'!$C:$FB,63)</f>
        <v>1122</v>
      </c>
      <c r="N50" s="51">
        <f>VLOOKUP($A50,'Data Vlaue (Cr)'!$C:$FB,64)</f>
        <v>1699</v>
      </c>
      <c r="O50" s="51">
        <f>VLOOKUP($A50,'Data Vlaue (Cr)'!$C:$FB,66)*100</f>
        <v>-33.950000000000003</v>
      </c>
    </row>
    <row r="51" spans="1:15" x14ac:dyDescent="0.25">
      <c r="A51" s="101" t="str">
        <f>'Data Vlaue (Cr)'!C46</f>
        <v>CIPLA</v>
      </c>
      <c r="B51" s="50">
        <f>VLOOKUP($A51,'Data Vlaue (Cr)'!$C:$FB,8)</f>
        <v>1335</v>
      </c>
      <c r="C51" s="50">
        <f>VLOOKUP($A51,'Data Vlaue (Cr)'!$C:$FB,11)*100</f>
        <v>1.94</v>
      </c>
      <c r="D51" s="50">
        <f>VLOOKUP($A51,'Data Vlaue (Cr)'!$C:$FB,143)</f>
        <v>1077.93</v>
      </c>
      <c r="E51" s="50">
        <f>VLOOKUP($A51,'Data Vlaue (Cr)'!$C:$FB,144)</f>
        <v>1097.45</v>
      </c>
      <c r="F51" s="50">
        <f>VLOOKUP($A51,'Data Vlaue (Cr)'!$C:$FB,146)*100</f>
        <v>-1.78</v>
      </c>
      <c r="G51" s="49">
        <f>VLOOKUP($A51,'Data Vlaue (Cr)'!$C:$FB,43)</f>
        <v>173</v>
      </c>
      <c r="H51" s="49">
        <f>VLOOKUP($A51,'Data Vlaue (Cr)'!$C:$FB,44)</f>
        <v>188</v>
      </c>
      <c r="I51" s="49">
        <f>VLOOKUP($A51,'Data Vlaue (Cr)'!$C:$FB,46)*100</f>
        <v>-8.0500000000000007</v>
      </c>
      <c r="J51" s="51">
        <f>VLOOKUP($A51,'Data Vlaue (Cr)'!$C:$FB,59)</f>
        <v>646</v>
      </c>
      <c r="K51" s="51">
        <f>VLOOKUP($A51,'Data Vlaue (Cr)'!$C:$FB,60)</f>
        <v>667</v>
      </c>
      <c r="L51" s="51">
        <f>VLOOKUP($A51,'Data Vlaue (Cr)'!$C:$FB,62)*100</f>
        <v>-3.11</v>
      </c>
      <c r="M51" s="51">
        <f>VLOOKUP($A51,'Data Vlaue (Cr)'!$C:$FB,63)</f>
        <v>242</v>
      </c>
      <c r="N51" s="51">
        <f>VLOOKUP($A51,'Data Vlaue (Cr)'!$C:$FB,64)</f>
        <v>230</v>
      </c>
      <c r="O51" s="51">
        <f>VLOOKUP($A51,'Data Vlaue (Cr)'!$C:$FB,66)*100</f>
        <v>5.0200000000000005</v>
      </c>
    </row>
    <row r="52" spans="1:15" x14ac:dyDescent="0.25">
      <c r="A52" s="101" t="str">
        <f>'Data Vlaue (Cr)'!C47</f>
        <v>COALINDIA</v>
      </c>
      <c r="B52" s="50">
        <f>VLOOKUP($A52,'Data Vlaue (Cr)'!$C:$FB,8)</f>
        <v>479.95</v>
      </c>
      <c r="C52" s="50">
        <f>VLOOKUP($A52,'Data Vlaue (Cr)'!$C:$FB,11)*100</f>
        <v>-0.31</v>
      </c>
      <c r="D52" s="50">
        <f>VLOOKUP($A52,'Data Vlaue (Cr)'!$C:$FB,143)</f>
        <v>2741.42</v>
      </c>
      <c r="E52" s="50">
        <f>VLOOKUP($A52,'Data Vlaue (Cr)'!$C:$FB,144)</f>
        <v>5660.03</v>
      </c>
      <c r="F52" s="50">
        <f>VLOOKUP($A52,'Data Vlaue (Cr)'!$C:$FB,146)*100</f>
        <v>-51.570000000000007</v>
      </c>
      <c r="G52" s="49">
        <f>VLOOKUP($A52,'Data Vlaue (Cr)'!$C:$FB,43)</f>
        <v>375</v>
      </c>
      <c r="H52" s="49">
        <f>VLOOKUP($A52,'Data Vlaue (Cr)'!$C:$FB,44)</f>
        <v>659</v>
      </c>
      <c r="I52" s="49">
        <f>VLOOKUP($A52,'Data Vlaue (Cr)'!$C:$FB,46)*100</f>
        <v>-43.13</v>
      </c>
      <c r="J52" s="51">
        <f>VLOOKUP($A52,'Data Vlaue (Cr)'!$C:$FB,59)</f>
        <v>1353</v>
      </c>
      <c r="K52" s="51">
        <f>VLOOKUP($A52,'Data Vlaue (Cr)'!$C:$FB,60)</f>
        <v>3317</v>
      </c>
      <c r="L52" s="51">
        <f>VLOOKUP($A52,'Data Vlaue (Cr)'!$C:$FB,62)*100</f>
        <v>-59.209999999999994</v>
      </c>
      <c r="M52" s="51">
        <f>VLOOKUP($A52,'Data Vlaue (Cr)'!$C:$FB,63)</f>
        <v>966</v>
      </c>
      <c r="N52" s="51">
        <f>VLOOKUP($A52,'Data Vlaue (Cr)'!$C:$FB,64)</f>
        <v>1511</v>
      </c>
      <c r="O52" s="51">
        <f>VLOOKUP($A52,'Data Vlaue (Cr)'!$C:$FB,66)*100</f>
        <v>-36.04</v>
      </c>
    </row>
    <row r="53" spans="1:15" x14ac:dyDescent="0.25">
      <c r="A53" s="101" t="str">
        <f>'Data Vlaue (Cr)'!C48</f>
        <v>COCHINSHIP</v>
      </c>
      <c r="B53" s="50">
        <f>VLOOKUP($A53,'Data Vlaue (Cr)'!$C:$FB,8)</f>
        <v>1719.3</v>
      </c>
      <c r="C53" s="50">
        <f>VLOOKUP($A53,'Data Vlaue (Cr)'!$C:$FB,11)*100</f>
        <v>-0.80999999999999994</v>
      </c>
      <c r="D53" s="50">
        <f>VLOOKUP($A53,'Data Vlaue (Cr)'!$C:$FB,143)</f>
        <v>460.26</v>
      </c>
      <c r="E53" s="50">
        <f>VLOOKUP($A53,'Data Vlaue (Cr)'!$C:$FB,144)</f>
        <v>470.96</v>
      </c>
      <c r="F53" s="50">
        <f>VLOOKUP($A53,'Data Vlaue (Cr)'!$C:$FB,146)*100</f>
        <v>-2.27</v>
      </c>
      <c r="G53" s="49">
        <f>VLOOKUP($A53,'Data Vlaue (Cr)'!$C:$FB,43)</f>
        <v>157</v>
      </c>
      <c r="H53" s="49">
        <f>VLOOKUP($A53,'Data Vlaue (Cr)'!$C:$FB,44)</f>
        <v>142</v>
      </c>
      <c r="I53" s="49">
        <f>VLOOKUP($A53,'Data Vlaue (Cr)'!$C:$FB,46)*100</f>
        <v>9.85</v>
      </c>
      <c r="J53" s="51">
        <f>VLOOKUP($A53,'Data Vlaue (Cr)'!$C:$FB,59)</f>
        <v>211</v>
      </c>
      <c r="K53" s="51">
        <f>VLOOKUP($A53,'Data Vlaue (Cr)'!$C:$FB,60)</f>
        <v>198</v>
      </c>
      <c r="L53" s="51">
        <f>VLOOKUP($A53,'Data Vlaue (Cr)'!$C:$FB,62)*100</f>
        <v>6.5</v>
      </c>
      <c r="M53" s="51">
        <f>VLOOKUP($A53,'Data Vlaue (Cr)'!$C:$FB,63)</f>
        <v>81</v>
      </c>
      <c r="N53" s="51">
        <f>VLOOKUP($A53,'Data Vlaue (Cr)'!$C:$FB,64)</f>
        <v>117</v>
      </c>
      <c r="O53" s="51">
        <f>VLOOKUP($A53,'Data Vlaue (Cr)'!$C:$FB,66)*100</f>
        <v>-30.81</v>
      </c>
    </row>
    <row r="54" spans="1:15" x14ac:dyDescent="0.25">
      <c r="A54" s="101" t="str">
        <f>'Data Vlaue (Cr)'!C49</f>
        <v>COFORGE</v>
      </c>
      <c r="B54" s="50">
        <f>VLOOKUP($A54,'Data Vlaue (Cr)'!$C:$FB,8)</f>
        <v>1151.5999999999999</v>
      </c>
      <c r="C54" s="50">
        <f>VLOOKUP($A54,'Data Vlaue (Cr)'!$C:$FB,11)*100</f>
        <v>-3.6999999999999997</v>
      </c>
      <c r="D54" s="50">
        <f>VLOOKUP($A54,'Data Vlaue (Cr)'!$C:$FB,143)</f>
        <v>2130.54</v>
      </c>
      <c r="E54" s="50">
        <f>VLOOKUP($A54,'Data Vlaue (Cr)'!$C:$FB,144)</f>
        <v>871.11</v>
      </c>
      <c r="F54" s="50">
        <f>VLOOKUP($A54,'Data Vlaue (Cr)'!$C:$FB,146)*100</f>
        <v>144.57999999999998</v>
      </c>
      <c r="G54" s="49">
        <f>VLOOKUP($A54,'Data Vlaue (Cr)'!$C:$FB,43)</f>
        <v>284</v>
      </c>
      <c r="H54" s="49">
        <f>VLOOKUP($A54,'Data Vlaue (Cr)'!$C:$FB,44)</f>
        <v>247</v>
      </c>
      <c r="I54" s="49">
        <f>VLOOKUP($A54,'Data Vlaue (Cr)'!$C:$FB,46)*100</f>
        <v>15.25</v>
      </c>
      <c r="J54" s="51">
        <f>VLOOKUP($A54,'Data Vlaue (Cr)'!$C:$FB,59)</f>
        <v>1087</v>
      </c>
      <c r="K54" s="51">
        <f>VLOOKUP($A54,'Data Vlaue (Cr)'!$C:$FB,60)</f>
        <v>311</v>
      </c>
      <c r="L54" s="51">
        <f>VLOOKUP($A54,'Data Vlaue (Cr)'!$C:$FB,62)*100</f>
        <v>249.92999999999998</v>
      </c>
      <c r="M54" s="51">
        <f>VLOOKUP($A54,'Data Vlaue (Cr)'!$C:$FB,63)</f>
        <v>629</v>
      </c>
      <c r="N54" s="51">
        <f>VLOOKUP($A54,'Data Vlaue (Cr)'!$C:$FB,64)</f>
        <v>262</v>
      </c>
      <c r="O54" s="51">
        <f>VLOOKUP($A54,'Data Vlaue (Cr)'!$C:$FB,66)*100</f>
        <v>139.72</v>
      </c>
    </row>
    <row r="55" spans="1:15" x14ac:dyDescent="0.25">
      <c r="A55" s="101" t="str">
        <f>'Data Vlaue (Cr)'!C50</f>
        <v>COLPAL</v>
      </c>
      <c r="B55" s="50">
        <f>VLOOKUP($A55,'Data Vlaue (Cr)'!$C:$FB,8)</f>
        <v>2172.9</v>
      </c>
      <c r="C55" s="50">
        <f>VLOOKUP($A55,'Data Vlaue (Cr)'!$C:$FB,11)*100</f>
        <v>3.66</v>
      </c>
      <c r="D55" s="50">
        <f>VLOOKUP($A55,'Data Vlaue (Cr)'!$C:$FB,143)</f>
        <v>1042.81</v>
      </c>
      <c r="E55" s="50">
        <f>VLOOKUP($A55,'Data Vlaue (Cr)'!$C:$FB,144)</f>
        <v>685.66</v>
      </c>
      <c r="F55" s="50">
        <f>VLOOKUP($A55,'Data Vlaue (Cr)'!$C:$FB,146)*100</f>
        <v>52.09</v>
      </c>
      <c r="G55" s="49">
        <f>VLOOKUP($A55,'Data Vlaue (Cr)'!$C:$FB,43)</f>
        <v>265</v>
      </c>
      <c r="H55" s="49">
        <f>VLOOKUP($A55,'Data Vlaue (Cr)'!$C:$FB,44)</f>
        <v>183</v>
      </c>
      <c r="I55" s="49">
        <f>VLOOKUP($A55,'Data Vlaue (Cr)'!$C:$FB,46)*100</f>
        <v>45.01</v>
      </c>
      <c r="J55" s="51">
        <f>VLOOKUP($A55,'Data Vlaue (Cr)'!$C:$FB,59)</f>
        <v>575</v>
      </c>
      <c r="K55" s="51">
        <f>VLOOKUP($A55,'Data Vlaue (Cr)'!$C:$FB,60)</f>
        <v>279</v>
      </c>
      <c r="L55" s="51">
        <f>VLOOKUP($A55,'Data Vlaue (Cr)'!$C:$FB,62)*100</f>
        <v>105.99000000000001</v>
      </c>
      <c r="M55" s="51">
        <f>VLOOKUP($A55,'Data Vlaue (Cr)'!$C:$FB,63)</f>
        <v>179</v>
      </c>
      <c r="N55" s="51">
        <f>VLOOKUP($A55,'Data Vlaue (Cr)'!$C:$FB,64)</f>
        <v>234</v>
      </c>
      <c r="O55" s="51">
        <f>VLOOKUP($A55,'Data Vlaue (Cr)'!$C:$FB,66)*100</f>
        <v>-23.59</v>
      </c>
    </row>
    <row r="56" spans="1:15" x14ac:dyDescent="0.25">
      <c r="A56" s="101" t="str">
        <f>'Data Vlaue (Cr)'!C51</f>
        <v>CONCOR</v>
      </c>
      <c r="B56" s="50">
        <f>VLOOKUP($A56,'Data Vlaue (Cr)'!$C:$FB,8)</f>
        <v>516.35</v>
      </c>
      <c r="C56" s="50">
        <f>VLOOKUP($A56,'Data Vlaue (Cr)'!$C:$FB,11)*100</f>
        <v>1.47</v>
      </c>
      <c r="D56" s="50">
        <f>VLOOKUP($A56,'Data Vlaue (Cr)'!$C:$FB,143)</f>
        <v>283.37</v>
      </c>
      <c r="E56" s="50">
        <f>VLOOKUP($A56,'Data Vlaue (Cr)'!$C:$FB,144)</f>
        <v>236.24</v>
      </c>
      <c r="F56" s="50">
        <f>VLOOKUP($A56,'Data Vlaue (Cr)'!$C:$FB,146)*100</f>
        <v>19.950000000000003</v>
      </c>
      <c r="G56" s="49">
        <f>VLOOKUP($A56,'Data Vlaue (Cr)'!$C:$FB,43)</f>
        <v>65</v>
      </c>
      <c r="H56" s="49">
        <f>VLOOKUP($A56,'Data Vlaue (Cr)'!$C:$FB,44)</f>
        <v>64</v>
      </c>
      <c r="I56" s="49">
        <f>VLOOKUP($A56,'Data Vlaue (Cr)'!$C:$FB,46)*100</f>
        <v>1.22</v>
      </c>
      <c r="J56" s="51">
        <f>VLOOKUP($A56,'Data Vlaue (Cr)'!$C:$FB,59)</f>
        <v>157</v>
      </c>
      <c r="K56" s="51">
        <f>VLOOKUP($A56,'Data Vlaue (Cr)'!$C:$FB,60)</f>
        <v>117</v>
      </c>
      <c r="L56" s="51">
        <f>VLOOKUP($A56,'Data Vlaue (Cr)'!$C:$FB,62)*100</f>
        <v>34.239999999999995</v>
      </c>
      <c r="M56" s="51">
        <f>VLOOKUP($A56,'Data Vlaue (Cr)'!$C:$FB,63)</f>
        <v>52</v>
      </c>
      <c r="N56" s="51">
        <f>VLOOKUP($A56,'Data Vlaue (Cr)'!$C:$FB,64)</f>
        <v>50</v>
      </c>
      <c r="O56" s="51">
        <f>VLOOKUP($A56,'Data Vlaue (Cr)'!$C:$FB,66)*100</f>
        <v>5.21</v>
      </c>
    </row>
    <row r="57" spans="1:15" x14ac:dyDescent="0.25">
      <c r="A57" s="101" t="str">
        <f>'Data Vlaue (Cr)'!C52</f>
        <v>CROMPTON</v>
      </c>
      <c r="B57" s="50">
        <f>VLOOKUP($A57,'Data Vlaue (Cr)'!$C:$FB,8)</f>
        <v>277.95</v>
      </c>
      <c r="C57" s="50">
        <f>VLOOKUP($A57,'Data Vlaue (Cr)'!$C:$FB,11)*100</f>
        <v>2.0500000000000003</v>
      </c>
      <c r="D57" s="50">
        <f>VLOOKUP($A57,'Data Vlaue (Cr)'!$C:$FB,143)</f>
        <v>911.9</v>
      </c>
      <c r="E57" s="50">
        <f>VLOOKUP($A57,'Data Vlaue (Cr)'!$C:$FB,144)</f>
        <v>989.93</v>
      </c>
      <c r="F57" s="50">
        <f>VLOOKUP($A57,'Data Vlaue (Cr)'!$C:$FB,146)*100</f>
        <v>-7.88</v>
      </c>
      <c r="G57" s="49">
        <f>VLOOKUP($A57,'Data Vlaue (Cr)'!$C:$FB,43)</f>
        <v>292</v>
      </c>
      <c r="H57" s="49">
        <f>VLOOKUP($A57,'Data Vlaue (Cr)'!$C:$FB,44)</f>
        <v>315</v>
      </c>
      <c r="I57" s="49">
        <f>VLOOKUP($A57,'Data Vlaue (Cr)'!$C:$FB,46)*100</f>
        <v>-7.3599999999999994</v>
      </c>
      <c r="J57" s="51">
        <f>VLOOKUP($A57,'Data Vlaue (Cr)'!$C:$FB,59)</f>
        <v>414</v>
      </c>
      <c r="K57" s="51">
        <f>VLOOKUP($A57,'Data Vlaue (Cr)'!$C:$FB,60)</f>
        <v>446</v>
      </c>
      <c r="L57" s="51">
        <f>VLOOKUP($A57,'Data Vlaue (Cr)'!$C:$FB,62)*100</f>
        <v>-6.99</v>
      </c>
      <c r="M57" s="51">
        <f>VLOOKUP($A57,'Data Vlaue (Cr)'!$C:$FB,63)</f>
        <v>185</v>
      </c>
      <c r="N57" s="51">
        <f>VLOOKUP($A57,'Data Vlaue (Cr)'!$C:$FB,64)</f>
        <v>217</v>
      </c>
      <c r="O57" s="51">
        <f>VLOOKUP($A57,'Data Vlaue (Cr)'!$C:$FB,66)*100</f>
        <v>-15.03</v>
      </c>
    </row>
    <row r="58" spans="1:15" x14ac:dyDescent="0.25">
      <c r="A58" s="101" t="str">
        <f>'Data Vlaue (Cr)'!C53</f>
        <v>CUMMINSIND</v>
      </c>
      <c r="B58" s="50">
        <f>VLOOKUP($A58,'Data Vlaue (Cr)'!$C:$FB,8)</f>
        <v>5289</v>
      </c>
      <c r="C58" s="50">
        <f>VLOOKUP($A58,'Data Vlaue (Cr)'!$C:$FB,11)*100</f>
        <v>0.43</v>
      </c>
      <c r="D58" s="50">
        <f>VLOOKUP($A58,'Data Vlaue (Cr)'!$C:$FB,143)</f>
        <v>943.68</v>
      </c>
      <c r="E58" s="50">
        <f>VLOOKUP($A58,'Data Vlaue (Cr)'!$C:$FB,144)</f>
        <v>860.89</v>
      </c>
      <c r="F58" s="50">
        <f>VLOOKUP($A58,'Data Vlaue (Cr)'!$C:$FB,146)*100</f>
        <v>9.6199999999999992</v>
      </c>
      <c r="G58" s="49">
        <f>VLOOKUP($A58,'Data Vlaue (Cr)'!$C:$FB,43)</f>
        <v>320</v>
      </c>
      <c r="H58" s="49">
        <f>VLOOKUP($A58,'Data Vlaue (Cr)'!$C:$FB,44)</f>
        <v>270</v>
      </c>
      <c r="I58" s="49">
        <f>VLOOKUP($A58,'Data Vlaue (Cr)'!$C:$FB,46)*100</f>
        <v>18.740000000000002</v>
      </c>
      <c r="J58" s="51">
        <f>VLOOKUP($A58,'Data Vlaue (Cr)'!$C:$FB,59)</f>
        <v>437</v>
      </c>
      <c r="K58" s="51">
        <f>VLOOKUP($A58,'Data Vlaue (Cr)'!$C:$FB,60)</f>
        <v>322</v>
      </c>
      <c r="L58" s="51">
        <f>VLOOKUP($A58,'Data Vlaue (Cr)'!$C:$FB,62)*100</f>
        <v>35.76</v>
      </c>
      <c r="M58" s="51">
        <f>VLOOKUP($A58,'Data Vlaue (Cr)'!$C:$FB,63)</f>
        <v>165</v>
      </c>
      <c r="N58" s="51">
        <f>VLOOKUP($A58,'Data Vlaue (Cr)'!$C:$FB,64)</f>
        <v>265</v>
      </c>
      <c r="O58" s="51">
        <f>VLOOKUP($A58,'Data Vlaue (Cr)'!$C:$FB,66)*100</f>
        <v>-37.549999999999997</v>
      </c>
    </row>
    <row r="59" spans="1:15" x14ac:dyDescent="0.25">
      <c r="A59" s="101" t="str">
        <f>'Data Vlaue (Cr)'!C54</f>
        <v>DABUR</v>
      </c>
      <c r="B59" s="50">
        <f>VLOOKUP($A59,'Data Vlaue (Cr)'!$C:$FB,8)</f>
        <v>445.65</v>
      </c>
      <c r="C59" s="50">
        <f>VLOOKUP($A59,'Data Vlaue (Cr)'!$C:$FB,11)*100</f>
        <v>0.94000000000000006</v>
      </c>
      <c r="D59" s="50">
        <f>VLOOKUP($A59,'Data Vlaue (Cr)'!$C:$FB,143)</f>
        <v>439.84</v>
      </c>
      <c r="E59" s="50">
        <f>VLOOKUP($A59,'Data Vlaue (Cr)'!$C:$FB,144)</f>
        <v>690.62</v>
      </c>
      <c r="F59" s="50">
        <f>VLOOKUP($A59,'Data Vlaue (Cr)'!$C:$FB,146)*100</f>
        <v>-36.309999999999995</v>
      </c>
      <c r="G59" s="49">
        <f>VLOOKUP($A59,'Data Vlaue (Cr)'!$C:$FB,43)</f>
        <v>92</v>
      </c>
      <c r="H59" s="49">
        <f>VLOOKUP($A59,'Data Vlaue (Cr)'!$C:$FB,44)</f>
        <v>150</v>
      </c>
      <c r="I59" s="49">
        <f>VLOOKUP($A59,'Data Vlaue (Cr)'!$C:$FB,46)*100</f>
        <v>-38.440000000000005</v>
      </c>
      <c r="J59" s="51">
        <f>VLOOKUP($A59,'Data Vlaue (Cr)'!$C:$FB,59)</f>
        <v>234</v>
      </c>
      <c r="K59" s="51">
        <f>VLOOKUP($A59,'Data Vlaue (Cr)'!$C:$FB,60)</f>
        <v>348</v>
      </c>
      <c r="L59" s="51">
        <f>VLOOKUP($A59,'Data Vlaue (Cr)'!$C:$FB,62)*100</f>
        <v>-32.700000000000003</v>
      </c>
      <c r="M59" s="51">
        <f>VLOOKUP($A59,'Data Vlaue (Cr)'!$C:$FB,63)</f>
        <v>98</v>
      </c>
      <c r="N59" s="51">
        <f>VLOOKUP($A59,'Data Vlaue (Cr)'!$C:$FB,64)</f>
        <v>171</v>
      </c>
      <c r="O59" s="51">
        <f>VLOOKUP($A59,'Data Vlaue (Cr)'!$C:$FB,66)*100</f>
        <v>-42.559999999999995</v>
      </c>
    </row>
    <row r="60" spans="1:15" x14ac:dyDescent="0.25">
      <c r="A60" s="101" t="str">
        <f>'Data Vlaue (Cr)'!C55</f>
        <v>DALBHARAT</v>
      </c>
      <c r="B60" s="50">
        <f>VLOOKUP($A60,'Data Vlaue (Cr)'!$C:$FB,8)</f>
        <v>1983.3</v>
      </c>
      <c r="C60" s="50">
        <f>VLOOKUP($A60,'Data Vlaue (Cr)'!$C:$FB,11)*100</f>
        <v>4.04</v>
      </c>
      <c r="D60" s="50">
        <f>VLOOKUP($A60,'Data Vlaue (Cr)'!$C:$FB,143)</f>
        <v>908.57</v>
      </c>
      <c r="E60" s="50">
        <f>VLOOKUP($A60,'Data Vlaue (Cr)'!$C:$FB,144)</f>
        <v>506.43</v>
      </c>
      <c r="F60" s="50">
        <f>VLOOKUP($A60,'Data Vlaue (Cr)'!$C:$FB,146)*100</f>
        <v>79.41</v>
      </c>
      <c r="G60" s="49">
        <f>VLOOKUP($A60,'Data Vlaue (Cr)'!$C:$FB,43)</f>
        <v>281</v>
      </c>
      <c r="H60" s="49">
        <f>VLOOKUP($A60,'Data Vlaue (Cr)'!$C:$FB,44)</f>
        <v>129</v>
      </c>
      <c r="I60" s="49">
        <f>VLOOKUP($A60,'Data Vlaue (Cr)'!$C:$FB,46)*100</f>
        <v>116.77</v>
      </c>
      <c r="J60" s="51">
        <f>VLOOKUP($A60,'Data Vlaue (Cr)'!$C:$FB,59)</f>
        <v>403</v>
      </c>
      <c r="K60" s="51">
        <f>VLOOKUP($A60,'Data Vlaue (Cr)'!$C:$FB,60)</f>
        <v>212</v>
      </c>
      <c r="L60" s="51">
        <f>VLOOKUP($A60,'Data Vlaue (Cr)'!$C:$FB,62)*100</f>
        <v>90.35</v>
      </c>
      <c r="M60" s="51">
        <f>VLOOKUP($A60,'Data Vlaue (Cr)'!$C:$FB,63)</f>
        <v>211</v>
      </c>
      <c r="N60" s="51">
        <f>VLOOKUP($A60,'Data Vlaue (Cr)'!$C:$FB,64)</f>
        <v>170</v>
      </c>
      <c r="O60" s="51">
        <f>VLOOKUP($A60,'Data Vlaue (Cr)'!$C:$FB,66)*100</f>
        <v>23.74</v>
      </c>
    </row>
    <row r="61" spans="1:15" x14ac:dyDescent="0.25">
      <c r="A61" s="101" t="str">
        <f>'Data Vlaue (Cr)'!C56</f>
        <v>DELHIVERY</v>
      </c>
      <c r="B61" s="50">
        <f>VLOOKUP($A61,'Data Vlaue (Cr)'!$C:$FB,8)</f>
        <v>467.35</v>
      </c>
      <c r="C61" s="50">
        <f>VLOOKUP($A61,'Data Vlaue (Cr)'!$C:$FB,11)*100</f>
        <v>0.06</v>
      </c>
      <c r="D61" s="50">
        <f>VLOOKUP($A61,'Data Vlaue (Cr)'!$C:$FB,143)</f>
        <v>508.02</v>
      </c>
      <c r="E61" s="50">
        <f>VLOOKUP($A61,'Data Vlaue (Cr)'!$C:$FB,144)</f>
        <v>495.14</v>
      </c>
      <c r="F61" s="50">
        <f>VLOOKUP($A61,'Data Vlaue (Cr)'!$C:$FB,146)*100</f>
        <v>2.6</v>
      </c>
      <c r="G61" s="49">
        <f>VLOOKUP($A61,'Data Vlaue (Cr)'!$C:$FB,43)</f>
        <v>189</v>
      </c>
      <c r="H61" s="49">
        <f>VLOOKUP($A61,'Data Vlaue (Cr)'!$C:$FB,44)</f>
        <v>159</v>
      </c>
      <c r="I61" s="49">
        <f>VLOOKUP($A61,'Data Vlaue (Cr)'!$C:$FB,46)*100</f>
        <v>18.920000000000002</v>
      </c>
      <c r="J61" s="51">
        <f>VLOOKUP($A61,'Data Vlaue (Cr)'!$C:$FB,59)</f>
        <v>227</v>
      </c>
      <c r="K61" s="51">
        <f>VLOOKUP($A61,'Data Vlaue (Cr)'!$C:$FB,60)</f>
        <v>233</v>
      </c>
      <c r="L61" s="51">
        <f>VLOOKUP($A61,'Data Vlaue (Cr)'!$C:$FB,62)*100</f>
        <v>-2.5100000000000002</v>
      </c>
      <c r="M61" s="51">
        <f>VLOOKUP($A61,'Data Vlaue (Cr)'!$C:$FB,63)</f>
        <v>74</v>
      </c>
      <c r="N61" s="51">
        <f>VLOOKUP($A61,'Data Vlaue (Cr)'!$C:$FB,64)</f>
        <v>95</v>
      </c>
      <c r="O61" s="51">
        <f>VLOOKUP($A61,'Data Vlaue (Cr)'!$C:$FB,66)*100</f>
        <v>-21.32</v>
      </c>
    </row>
    <row r="62" spans="1:15" x14ac:dyDescent="0.25">
      <c r="A62" s="101" t="str">
        <f>'Data Vlaue (Cr)'!C57</f>
        <v>DIVISLAB</v>
      </c>
      <c r="B62" s="50">
        <f>VLOOKUP($A62,'Data Vlaue (Cr)'!$C:$FB,8)</f>
        <v>6619.5</v>
      </c>
      <c r="C62" s="50">
        <f>VLOOKUP($A62,'Data Vlaue (Cr)'!$C:$FB,11)*100</f>
        <v>1.7999999999999998</v>
      </c>
      <c r="D62" s="50">
        <f>VLOOKUP($A62,'Data Vlaue (Cr)'!$C:$FB,143)</f>
        <v>1218.81</v>
      </c>
      <c r="E62" s="50">
        <f>VLOOKUP($A62,'Data Vlaue (Cr)'!$C:$FB,144)</f>
        <v>672.99</v>
      </c>
      <c r="F62" s="50">
        <f>VLOOKUP($A62,'Data Vlaue (Cr)'!$C:$FB,146)*100</f>
        <v>81.100000000000009</v>
      </c>
      <c r="G62" s="49">
        <f>VLOOKUP($A62,'Data Vlaue (Cr)'!$C:$FB,43)</f>
        <v>158</v>
      </c>
      <c r="H62" s="49">
        <f>VLOOKUP($A62,'Data Vlaue (Cr)'!$C:$FB,44)</f>
        <v>132</v>
      </c>
      <c r="I62" s="49">
        <f>VLOOKUP($A62,'Data Vlaue (Cr)'!$C:$FB,46)*100</f>
        <v>20.02</v>
      </c>
      <c r="J62" s="51">
        <f>VLOOKUP($A62,'Data Vlaue (Cr)'!$C:$FB,59)</f>
        <v>769</v>
      </c>
      <c r="K62" s="51">
        <f>VLOOKUP($A62,'Data Vlaue (Cr)'!$C:$FB,60)</f>
        <v>367</v>
      </c>
      <c r="L62" s="51">
        <f>VLOOKUP($A62,'Data Vlaue (Cr)'!$C:$FB,62)*100</f>
        <v>109.22</v>
      </c>
      <c r="M62" s="51">
        <f>VLOOKUP($A62,'Data Vlaue (Cr)'!$C:$FB,63)</f>
        <v>267</v>
      </c>
      <c r="N62" s="51">
        <f>VLOOKUP($A62,'Data Vlaue (Cr)'!$C:$FB,64)</f>
        <v>173</v>
      </c>
      <c r="O62" s="51">
        <f>VLOOKUP($A62,'Data Vlaue (Cr)'!$C:$FB,66)*100</f>
        <v>54.64</v>
      </c>
    </row>
    <row r="63" spans="1:15" x14ac:dyDescent="0.25">
      <c r="A63" s="101" t="str">
        <f>'Data Vlaue (Cr)'!C58</f>
        <v>DIXON</v>
      </c>
      <c r="B63" s="50">
        <f>VLOOKUP($A63,'Data Vlaue (Cr)'!$C:$FB,8)</f>
        <v>11408</v>
      </c>
      <c r="C63" s="50">
        <f>VLOOKUP($A63,'Data Vlaue (Cr)'!$C:$FB,11)*100</f>
        <v>2.16</v>
      </c>
      <c r="D63" s="50">
        <f>VLOOKUP($A63,'Data Vlaue (Cr)'!$C:$FB,143)</f>
        <v>2437.4899999999998</v>
      </c>
      <c r="E63" s="50">
        <f>VLOOKUP($A63,'Data Vlaue (Cr)'!$C:$FB,144)</f>
        <v>3010.66</v>
      </c>
      <c r="F63" s="50">
        <f>VLOOKUP($A63,'Data Vlaue (Cr)'!$C:$FB,146)*100</f>
        <v>-19.040000000000003</v>
      </c>
      <c r="G63" s="49">
        <f>VLOOKUP($A63,'Data Vlaue (Cr)'!$C:$FB,43)</f>
        <v>582</v>
      </c>
      <c r="H63" s="49">
        <f>VLOOKUP($A63,'Data Vlaue (Cr)'!$C:$FB,44)</f>
        <v>724</v>
      </c>
      <c r="I63" s="49">
        <f>VLOOKUP($A63,'Data Vlaue (Cr)'!$C:$FB,46)*100</f>
        <v>-19.62</v>
      </c>
      <c r="J63" s="51">
        <f>VLOOKUP($A63,'Data Vlaue (Cr)'!$C:$FB,59)</f>
        <v>1059</v>
      </c>
      <c r="K63" s="51">
        <f>VLOOKUP($A63,'Data Vlaue (Cr)'!$C:$FB,60)</f>
        <v>1346</v>
      </c>
      <c r="L63" s="51">
        <f>VLOOKUP($A63,'Data Vlaue (Cr)'!$C:$FB,62)*100</f>
        <v>-21.349999999999998</v>
      </c>
      <c r="M63" s="51">
        <f>VLOOKUP($A63,'Data Vlaue (Cr)'!$C:$FB,63)</f>
        <v>779</v>
      </c>
      <c r="N63" s="51">
        <f>VLOOKUP($A63,'Data Vlaue (Cr)'!$C:$FB,64)</f>
        <v>901</v>
      </c>
      <c r="O63" s="51">
        <f>VLOOKUP($A63,'Data Vlaue (Cr)'!$C:$FB,66)*100</f>
        <v>-13.530000000000001</v>
      </c>
    </row>
    <row r="64" spans="1:15" x14ac:dyDescent="0.25">
      <c r="A64" s="101" t="str">
        <f>'Data Vlaue (Cr)'!C59</f>
        <v>DLF</v>
      </c>
      <c r="B64" s="50">
        <f>VLOOKUP($A64,'Data Vlaue (Cr)'!$C:$FB,8)</f>
        <v>607.20000000000005</v>
      </c>
      <c r="C64" s="50">
        <f>VLOOKUP($A64,'Data Vlaue (Cr)'!$C:$FB,11)*100</f>
        <v>3.44</v>
      </c>
      <c r="D64" s="50">
        <f>VLOOKUP($A64,'Data Vlaue (Cr)'!$C:$FB,143)</f>
        <v>1341.47</v>
      </c>
      <c r="E64" s="50">
        <f>VLOOKUP($A64,'Data Vlaue (Cr)'!$C:$FB,144)</f>
        <v>1027.6099999999999</v>
      </c>
      <c r="F64" s="50">
        <f>VLOOKUP($A64,'Data Vlaue (Cr)'!$C:$FB,146)*100</f>
        <v>30.54</v>
      </c>
      <c r="G64" s="49">
        <f>VLOOKUP($A64,'Data Vlaue (Cr)'!$C:$FB,43)</f>
        <v>315</v>
      </c>
      <c r="H64" s="49">
        <f>VLOOKUP($A64,'Data Vlaue (Cr)'!$C:$FB,44)</f>
        <v>252</v>
      </c>
      <c r="I64" s="49">
        <f>VLOOKUP($A64,'Data Vlaue (Cr)'!$C:$FB,46)*100</f>
        <v>25.22</v>
      </c>
      <c r="J64" s="51">
        <f>VLOOKUP($A64,'Data Vlaue (Cr)'!$C:$FB,59)</f>
        <v>703</v>
      </c>
      <c r="K64" s="51">
        <f>VLOOKUP($A64,'Data Vlaue (Cr)'!$C:$FB,60)</f>
        <v>339</v>
      </c>
      <c r="L64" s="51">
        <f>VLOOKUP($A64,'Data Vlaue (Cr)'!$C:$FB,62)*100</f>
        <v>107.69999999999999</v>
      </c>
      <c r="M64" s="51">
        <f>VLOOKUP($A64,'Data Vlaue (Cr)'!$C:$FB,63)</f>
        <v>295</v>
      </c>
      <c r="N64" s="51">
        <f>VLOOKUP($A64,'Data Vlaue (Cr)'!$C:$FB,64)</f>
        <v>446</v>
      </c>
      <c r="O64" s="51">
        <f>VLOOKUP($A64,'Data Vlaue (Cr)'!$C:$FB,66)*100</f>
        <v>-33.839999999999996</v>
      </c>
    </row>
    <row r="65" spans="1:15" x14ac:dyDescent="0.25">
      <c r="A65" s="101" t="str">
        <f>'Data Vlaue (Cr)'!C60</f>
        <v>DMART</v>
      </c>
      <c r="B65" s="50">
        <f>VLOOKUP($A65,'Data Vlaue (Cr)'!$C:$FB,8)</f>
        <v>4376.5</v>
      </c>
      <c r="C65" s="50">
        <f>VLOOKUP($A65,'Data Vlaue (Cr)'!$C:$FB,11)*100</f>
        <v>-4.5699999999999994</v>
      </c>
      <c r="D65" s="50">
        <f>VLOOKUP($A65,'Data Vlaue (Cr)'!$C:$FB,143)</f>
        <v>6404.19</v>
      </c>
      <c r="E65" s="50">
        <f>VLOOKUP($A65,'Data Vlaue (Cr)'!$C:$FB,144)</f>
        <v>1243.7</v>
      </c>
      <c r="F65" s="50">
        <f>VLOOKUP($A65,'Data Vlaue (Cr)'!$C:$FB,146)*100</f>
        <v>414.93</v>
      </c>
      <c r="G65" s="49">
        <f>VLOOKUP($A65,'Data Vlaue (Cr)'!$C:$FB,43)</f>
        <v>822</v>
      </c>
      <c r="H65" s="49">
        <f>VLOOKUP($A65,'Data Vlaue (Cr)'!$C:$FB,44)</f>
        <v>228</v>
      </c>
      <c r="I65" s="49">
        <f>VLOOKUP($A65,'Data Vlaue (Cr)'!$C:$FB,46)*100</f>
        <v>260.91000000000003</v>
      </c>
      <c r="J65" s="51">
        <f>VLOOKUP($A65,'Data Vlaue (Cr)'!$C:$FB,59)</f>
        <v>3547</v>
      </c>
      <c r="K65" s="51">
        <f>VLOOKUP($A65,'Data Vlaue (Cr)'!$C:$FB,60)</f>
        <v>593</v>
      </c>
      <c r="L65" s="51">
        <f>VLOOKUP($A65,'Data Vlaue (Cr)'!$C:$FB,62)*100</f>
        <v>498.17</v>
      </c>
      <c r="M65" s="51">
        <f>VLOOKUP($A65,'Data Vlaue (Cr)'!$C:$FB,63)</f>
        <v>1743</v>
      </c>
      <c r="N65" s="51">
        <f>VLOOKUP($A65,'Data Vlaue (Cr)'!$C:$FB,64)</f>
        <v>332</v>
      </c>
      <c r="O65" s="51">
        <f>VLOOKUP($A65,'Data Vlaue (Cr)'!$C:$FB,66)*100</f>
        <v>425.42999999999995</v>
      </c>
    </row>
    <row r="66" spans="1:15" x14ac:dyDescent="0.25">
      <c r="A66" s="101" t="str">
        <f>'Data Vlaue (Cr)'!C61</f>
        <v>DRREDDY</v>
      </c>
      <c r="B66" s="50">
        <f>VLOOKUP($A66,'Data Vlaue (Cr)'!$C:$FB,8)</f>
        <v>1287.2</v>
      </c>
      <c r="C66" s="50">
        <f>VLOOKUP($A66,'Data Vlaue (Cr)'!$C:$FB,11)*100</f>
        <v>-2.7</v>
      </c>
      <c r="D66" s="50">
        <f>VLOOKUP($A66,'Data Vlaue (Cr)'!$C:$FB,143)</f>
        <v>2975.87</v>
      </c>
      <c r="E66" s="50">
        <f>VLOOKUP($A66,'Data Vlaue (Cr)'!$C:$FB,144)</f>
        <v>1903.15</v>
      </c>
      <c r="F66" s="50">
        <f>VLOOKUP($A66,'Data Vlaue (Cr)'!$C:$FB,146)*100</f>
        <v>56.37</v>
      </c>
      <c r="G66" s="49">
        <f>VLOOKUP($A66,'Data Vlaue (Cr)'!$C:$FB,43)</f>
        <v>595</v>
      </c>
      <c r="H66" s="49">
        <f>VLOOKUP($A66,'Data Vlaue (Cr)'!$C:$FB,44)</f>
        <v>346</v>
      </c>
      <c r="I66" s="49">
        <f>VLOOKUP($A66,'Data Vlaue (Cr)'!$C:$FB,46)*100</f>
        <v>72.06</v>
      </c>
      <c r="J66" s="51">
        <f>VLOOKUP($A66,'Data Vlaue (Cr)'!$C:$FB,59)</f>
        <v>1413</v>
      </c>
      <c r="K66" s="51">
        <f>VLOOKUP($A66,'Data Vlaue (Cr)'!$C:$FB,60)</f>
        <v>863</v>
      </c>
      <c r="L66" s="51">
        <f>VLOOKUP($A66,'Data Vlaue (Cr)'!$C:$FB,62)*100</f>
        <v>63.65</v>
      </c>
      <c r="M66" s="51">
        <f>VLOOKUP($A66,'Data Vlaue (Cr)'!$C:$FB,63)</f>
        <v>843</v>
      </c>
      <c r="N66" s="51">
        <f>VLOOKUP($A66,'Data Vlaue (Cr)'!$C:$FB,64)</f>
        <v>588</v>
      </c>
      <c r="O66" s="51">
        <f>VLOOKUP($A66,'Data Vlaue (Cr)'!$C:$FB,66)*100</f>
        <v>43.33</v>
      </c>
    </row>
    <row r="67" spans="1:15" x14ac:dyDescent="0.25">
      <c r="A67" s="101" t="str">
        <f>'Data Vlaue (Cr)'!C62</f>
        <v>EICHERMOT</v>
      </c>
      <c r="B67" s="50">
        <f>VLOOKUP($A67,'Data Vlaue (Cr)'!$C:$FB,8)</f>
        <v>7329</v>
      </c>
      <c r="C67" s="50">
        <f>VLOOKUP($A67,'Data Vlaue (Cr)'!$C:$FB,11)*100</f>
        <v>3.09</v>
      </c>
      <c r="D67" s="50">
        <f>VLOOKUP($A67,'Data Vlaue (Cr)'!$C:$FB,143)</f>
        <v>2833.69</v>
      </c>
      <c r="E67" s="50">
        <f>VLOOKUP($A67,'Data Vlaue (Cr)'!$C:$FB,144)</f>
        <v>1849.92</v>
      </c>
      <c r="F67" s="50">
        <f>VLOOKUP($A67,'Data Vlaue (Cr)'!$C:$FB,146)*100</f>
        <v>53.180000000000007</v>
      </c>
      <c r="G67" s="49">
        <f>VLOOKUP($A67,'Data Vlaue (Cr)'!$C:$FB,43)</f>
        <v>583</v>
      </c>
      <c r="H67" s="49">
        <f>VLOOKUP($A67,'Data Vlaue (Cr)'!$C:$FB,44)</f>
        <v>386</v>
      </c>
      <c r="I67" s="49">
        <f>VLOOKUP($A67,'Data Vlaue (Cr)'!$C:$FB,46)*100</f>
        <v>50.91</v>
      </c>
      <c r="J67" s="51">
        <f>VLOOKUP($A67,'Data Vlaue (Cr)'!$C:$FB,59)</f>
        <v>1641</v>
      </c>
      <c r="K67" s="51">
        <f>VLOOKUP($A67,'Data Vlaue (Cr)'!$C:$FB,60)</f>
        <v>779</v>
      </c>
      <c r="L67" s="51">
        <f>VLOOKUP($A67,'Data Vlaue (Cr)'!$C:$FB,62)*100</f>
        <v>110.60000000000001</v>
      </c>
      <c r="M67" s="51">
        <f>VLOOKUP($A67,'Data Vlaue (Cr)'!$C:$FB,63)</f>
        <v>560</v>
      </c>
      <c r="N67" s="51">
        <f>VLOOKUP($A67,'Data Vlaue (Cr)'!$C:$FB,64)</f>
        <v>723</v>
      </c>
      <c r="O67" s="51">
        <f>VLOOKUP($A67,'Data Vlaue (Cr)'!$C:$FB,66)*100</f>
        <v>-22.62</v>
      </c>
    </row>
    <row r="68" spans="1:15" x14ac:dyDescent="0.25">
      <c r="A68" s="101" t="str">
        <f>'Data Vlaue (Cr)'!C63</f>
        <v>ETERNAL</v>
      </c>
      <c r="B68" s="50">
        <f>VLOOKUP($A68,'Data Vlaue (Cr)'!$C:$FB,8)</f>
        <v>251.9</v>
      </c>
      <c r="C68" s="50">
        <f>VLOOKUP($A68,'Data Vlaue (Cr)'!$C:$FB,11)*100</f>
        <v>1.97</v>
      </c>
      <c r="D68" s="50">
        <f>VLOOKUP($A68,'Data Vlaue (Cr)'!$C:$FB,143)</f>
        <v>4552.18</v>
      </c>
      <c r="E68" s="50">
        <f>VLOOKUP($A68,'Data Vlaue (Cr)'!$C:$FB,144)</f>
        <v>6956.86</v>
      </c>
      <c r="F68" s="50">
        <f>VLOOKUP($A68,'Data Vlaue (Cr)'!$C:$FB,146)*100</f>
        <v>-34.57</v>
      </c>
      <c r="G68" s="49">
        <f>VLOOKUP($A68,'Data Vlaue (Cr)'!$C:$FB,43)</f>
        <v>789</v>
      </c>
      <c r="H68" s="49">
        <f>VLOOKUP($A68,'Data Vlaue (Cr)'!$C:$FB,44)</f>
        <v>1185</v>
      </c>
      <c r="I68" s="49">
        <f>VLOOKUP($A68,'Data Vlaue (Cr)'!$C:$FB,46)*100</f>
        <v>-33.43</v>
      </c>
      <c r="J68" s="51">
        <f>VLOOKUP($A68,'Data Vlaue (Cr)'!$C:$FB,59)</f>
        <v>2430</v>
      </c>
      <c r="K68" s="51">
        <f>VLOOKUP($A68,'Data Vlaue (Cr)'!$C:$FB,60)</f>
        <v>3646</v>
      </c>
      <c r="L68" s="51">
        <f>VLOOKUP($A68,'Data Vlaue (Cr)'!$C:$FB,62)*100</f>
        <v>-33.339999999999996</v>
      </c>
      <c r="M68" s="51">
        <f>VLOOKUP($A68,'Data Vlaue (Cr)'!$C:$FB,63)</f>
        <v>1235</v>
      </c>
      <c r="N68" s="51">
        <f>VLOOKUP($A68,'Data Vlaue (Cr)'!$C:$FB,64)</f>
        <v>2000</v>
      </c>
      <c r="O68" s="51">
        <f>VLOOKUP($A68,'Data Vlaue (Cr)'!$C:$FB,66)*100</f>
        <v>-38.26</v>
      </c>
    </row>
    <row r="69" spans="1:15" x14ac:dyDescent="0.25">
      <c r="A69" s="101" t="str">
        <f>'Data Vlaue (Cr)'!C64</f>
        <v>EXIDEIND</v>
      </c>
      <c r="B69" s="50">
        <f>VLOOKUP($A69,'Data Vlaue (Cr)'!$C:$FB,8)</f>
        <v>359.05</v>
      </c>
      <c r="C69" s="50">
        <f>VLOOKUP($A69,'Data Vlaue (Cr)'!$C:$FB,11)*100</f>
        <v>-0.42</v>
      </c>
      <c r="D69" s="50">
        <f>VLOOKUP($A69,'Data Vlaue (Cr)'!$C:$FB,143)</f>
        <v>4313.6499999999996</v>
      </c>
      <c r="E69" s="50">
        <f>VLOOKUP($A69,'Data Vlaue (Cr)'!$C:$FB,144)</f>
        <v>574.62</v>
      </c>
      <c r="F69" s="50">
        <f>VLOOKUP($A69,'Data Vlaue (Cr)'!$C:$FB,146)*100</f>
        <v>650.69999999999993</v>
      </c>
      <c r="G69" s="49">
        <f>VLOOKUP($A69,'Data Vlaue (Cr)'!$C:$FB,43)</f>
        <v>756</v>
      </c>
      <c r="H69" s="49">
        <f>VLOOKUP($A69,'Data Vlaue (Cr)'!$C:$FB,44)</f>
        <v>146</v>
      </c>
      <c r="I69" s="49">
        <f>VLOOKUP($A69,'Data Vlaue (Cr)'!$C:$FB,46)*100</f>
        <v>416.24999999999994</v>
      </c>
      <c r="J69" s="51">
        <f>VLOOKUP($A69,'Data Vlaue (Cr)'!$C:$FB,59)</f>
        <v>2255</v>
      </c>
      <c r="K69" s="51">
        <f>VLOOKUP($A69,'Data Vlaue (Cr)'!$C:$FB,60)</f>
        <v>278</v>
      </c>
      <c r="L69" s="51">
        <f>VLOOKUP($A69,'Data Vlaue (Cr)'!$C:$FB,62)*100</f>
        <v>710.93999999999994</v>
      </c>
      <c r="M69" s="51">
        <f>VLOOKUP($A69,'Data Vlaue (Cr)'!$C:$FB,63)</f>
        <v>1098</v>
      </c>
      <c r="N69" s="51">
        <f>VLOOKUP($A69,'Data Vlaue (Cr)'!$C:$FB,64)</f>
        <v>129</v>
      </c>
      <c r="O69" s="51">
        <f>VLOOKUP($A69,'Data Vlaue (Cr)'!$C:$FB,66)*100</f>
        <v>748.05000000000007</v>
      </c>
    </row>
    <row r="70" spans="1:15" x14ac:dyDescent="0.25">
      <c r="A70" s="101" t="str">
        <f>'Data Vlaue (Cr)'!C65</f>
        <v>FEDERALBNK</v>
      </c>
      <c r="B70" s="50">
        <f>VLOOKUP($A70,'Data Vlaue (Cr)'!$C:$FB,8)</f>
        <v>289.14999999999998</v>
      </c>
      <c r="C70" s="50">
        <f>VLOOKUP($A70,'Data Vlaue (Cr)'!$C:$FB,11)*100</f>
        <v>0.77</v>
      </c>
      <c r="D70" s="50">
        <f>VLOOKUP($A70,'Data Vlaue (Cr)'!$C:$FB,143)</f>
        <v>2158.7199999999998</v>
      </c>
      <c r="E70" s="50">
        <f>VLOOKUP($A70,'Data Vlaue (Cr)'!$C:$FB,144)</f>
        <v>3863.43</v>
      </c>
      <c r="F70" s="50">
        <f>VLOOKUP($A70,'Data Vlaue (Cr)'!$C:$FB,146)*100</f>
        <v>-44.12</v>
      </c>
      <c r="G70" s="49">
        <f>VLOOKUP($A70,'Data Vlaue (Cr)'!$C:$FB,43)</f>
        <v>428</v>
      </c>
      <c r="H70" s="49">
        <f>VLOOKUP($A70,'Data Vlaue (Cr)'!$C:$FB,44)</f>
        <v>664</v>
      </c>
      <c r="I70" s="49">
        <f>VLOOKUP($A70,'Data Vlaue (Cr)'!$C:$FB,46)*100</f>
        <v>-35.61</v>
      </c>
      <c r="J70" s="51">
        <f>VLOOKUP($A70,'Data Vlaue (Cr)'!$C:$FB,59)</f>
        <v>1144</v>
      </c>
      <c r="K70" s="51">
        <f>VLOOKUP($A70,'Data Vlaue (Cr)'!$C:$FB,60)</f>
        <v>2225</v>
      </c>
      <c r="L70" s="51">
        <f>VLOOKUP($A70,'Data Vlaue (Cr)'!$C:$FB,62)*100</f>
        <v>-48.6</v>
      </c>
      <c r="M70" s="51">
        <f>VLOOKUP($A70,'Data Vlaue (Cr)'!$C:$FB,63)</f>
        <v>522</v>
      </c>
      <c r="N70" s="51">
        <f>VLOOKUP($A70,'Data Vlaue (Cr)'!$C:$FB,64)</f>
        <v>889</v>
      </c>
      <c r="O70" s="51">
        <f>VLOOKUP($A70,'Data Vlaue (Cr)'!$C:$FB,66)*100</f>
        <v>-41.28</v>
      </c>
    </row>
    <row r="71" spans="1:15" x14ac:dyDescent="0.25">
      <c r="A71" s="101" t="str">
        <f>'Data Vlaue (Cr)'!C66</f>
        <v>FINNIFTY</v>
      </c>
      <c r="B71" s="50">
        <f>VLOOKUP($A71,'Data Vlaue (Cr)'!$C:$FB,8)</f>
        <v>25814.400000000001</v>
      </c>
      <c r="C71" s="50">
        <f>VLOOKUP($A71,'Data Vlaue (Cr)'!$C:$FB,11)*100</f>
        <v>0.61</v>
      </c>
      <c r="D71" s="50">
        <f>VLOOKUP($A71,'Data Vlaue (Cr)'!$C:$FB,143)</f>
        <v>1242.33</v>
      </c>
      <c r="E71" s="50">
        <f>VLOOKUP($A71,'Data Vlaue (Cr)'!$C:$FB,144)</f>
        <v>856.62</v>
      </c>
      <c r="F71" s="50">
        <f>VLOOKUP($A71,'Data Vlaue (Cr)'!$C:$FB,146)*100</f>
        <v>45.03</v>
      </c>
      <c r="G71" s="49">
        <f>VLOOKUP($A71,'Data Vlaue (Cr)'!$C:$FB,43)</f>
        <v>15</v>
      </c>
      <c r="H71" s="49">
        <f>VLOOKUP($A71,'Data Vlaue (Cr)'!$C:$FB,44)</f>
        <v>32</v>
      </c>
      <c r="I71" s="49">
        <f>VLOOKUP($A71,'Data Vlaue (Cr)'!$C:$FB,46)*100</f>
        <v>-51.23</v>
      </c>
      <c r="J71" s="51">
        <f>VLOOKUP($A71,'Data Vlaue (Cr)'!$C:$FB,59)</f>
        <v>742</v>
      </c>
      <c r="K71" s="51">
        <f>VLOOKUP($A71,'Data Vlaue (Cr)'!$C:$FB,60)</f>
        <v>459</v>
      </c>
      <c r="L71" s="51">
        <f>VLOOKUP($A71,'Data Vlaue (Cr)'!$C:$FB,62)*100</f>
        <v>61.44</v>
      </c>
      <c r="M71" s="51">
        <f>VLOOKUP($A71,'Data Vlaue (Cr)'!$C:$FB,63)</f>
        <v>462</v>
      </c>
      <c r="N71" s="51">
        <f>VLOOKUP($A71,'Data Vlaue (Cr)'!$C:$FB,64)</f>
        <v>350</v>
      </c>
      <c r="O71" s="51">
        <f>VLOOKUP($A71,'Data Vlaue (Cr)'!$C:$FB,66)*100</f>
        <v>32.1</v>
      </c>
    </row>
    <row r="72" spans="1:15" x14ac:dyDescent="0.25">
      <c r="A72" s="101" t="str">
        <f>'Data Vlaue (Cr)'!C67</f>
        <v>FORCEMOT</v>
      </c>
      <c r="B72" s="50">
        <f>VLOOKUP($A72,'Data Vlaue (Cr)'!$C:$FB,8)</f>
        <v>19331</v>
      </c>
      <c r="C72" s="50">
        <f>VLOOKUP($A72,'Data Vlaue (Cr)'!$C:$FB,11)*100</f>
        <v>-2.88</v>
      </c>
      <c r="D72" s="50">
        <f>VLOOKUP($A72,'Data Vlaue (Cr)'!$C:$FB,143)</f>
        <v>741.29</v>
      </c>
      <c r="E72" s="50">
        <f>VLOOKUP($A72,'Data Vlaue (Cr)'!$C:$FB,144)</f>
        <v>1311.66</v>
      </c>
      <c r="F72" s="50">
        <f>VLOOKUP($A72,'Data Vlaue (Cr)'!$C:$FB,146)*100</f>
        <v>-43.480000000000004</v>
      </c>
      <c r="G72" s="49">
        <f>VLOOKUP($A72,'Data Vlaue (Cr)'!$C:$FB,43)</f>
        <v>165</v>
      </c>
      <c r="H72" s="49">
        <f>VLOOKUP($A72,'Data Vlaue (Cr)'!$C:$FB,44)</f>
        <v>271</v>
      </c>
      <c r="I72" s="49">
        <f>VLOOKUP($A72,'Data Vlaue (Cr)'!$C:$FB,46)*100</f>
        <v>-39.190000000000005</v>
      </c>
      <c r="J72" s="51">
        <f>VLOOKUP($A72,'Data Vlaue (Cr)'!$C:$FB,59)</f>
        <v>403</v>
      </c>
      <c r="K72" s="51">
        <f>VLOOKUP($A72,'Data Vlaue (Cr)'!$C:$FB,60)</f>
        <v>582</v>
      </c>
      <c r="L72" s="51">
        <f>VLOOKUP($A72,'Data Vlaue (Cr)'!$C:$FB,62)*100</f>
        <v>-30.740000000000002</v>
      </c>
      <c r="M72" s="51">
        <f>VLOOKUP($A72,'Data Vlaue (Cr)'!$C:$FB,63)</f>
        <v>107</v>
      </c>
      <c r="N72" s="51">
        <f>VLOOKUP($A72,'Data Vlaue (Cr)'!$C:$FB,64)</f>
        <v>333</v>
      </c>
      <c r="O72" s="51">
        <f>VLOOKUP($A72,'Data Vlaue (Cr)'!$C:$FB,66)*100</f>
        <v>-67.849999999999994</v>
      </c>
    </row>
    <row r="73" spans="1:15" x14ac:dyDescent="0.25">
      <c r="A73" s="101" t="str">
        <f>'Data Vlaue (Cr)'!C68</f>
        <v>FORTIS</v>
      </c>
      <c r="B73" s="50">
        <f>VLOOKUP($A73,'Data Vlaue (Cr)'!$C:$FB,8)</f>
        <v>952.9</v>
      </c>
      <c r="C73" s="50">
        <f>VLOOKUP($A73,'Data Vlaue (Cr)'!$C:$FB,11)*100</f>
        <v>3.25</v>
      </c>
      <c r="D73" s="50">
        <f>VLOOKUP($A73,'Data Vlaue (Cr)'!$C:$FB,143)</f>
        <v>503.76</v>
      </c>
      <c r="E73" s="50">
        <f>VLOOKUP($A73,'Data Vlaue (Cr)'!$C:$FB,144)</f>
        <v>232.64</v>
      </c>
      <c r="F73" s="50">
        <f>VLOOKUP($A73,'Data Vlaue (Cr)'!$C:$FB,146)*100</f>
        <v>116.53999999999999</v>
      </c>
      <c r="G73" s="49">
        <f>VLOOKUP($A73,'Data Vlaue (Cr)'!$C:$FB,43)</f>
        <v>101</v>
      </c>
      <c r="H73" s="49">
        <f>VLOOKUP($A73,'Data Vlaue (Cr)'!$C:$FB,44)</f>
        <v>94</v>
      </c>
      <c r="I73" s="49">
        <f>VLOOKUP($A73,'Data Vlaue (Cr)'!$C:$FB,46)*100</f>
        <v>7.7399999999999993</v>
      </c>
      <c r="J73" s="51">
        <f>VLOOKUP($A73,'Data Vlaue (Cr)'!$C:$FB,59)</f>
        <v>286</v>
      </c>
      <c r="K73" s="51">
        <f>VLOOKUP($A73,'Data Vlaue (Cr)'!$C:$FB,60)</f>
        <v>70</v>
      </c>
      <c r="L73" s="51">
        <f>VLOOKUP($A73,'Data Vlaue (Cr)'!$C:$FB,62)*100</f>
        <v>310.40999999999997</v>
      </c>
      <c r="M73" s="51">
        <f>VLOOKUP($A73,'Data Vlaue (Cr)'!$C:$FB,63)</f>
        <v>105</v>
      </c>
      <c r="N73" s="51">
        <f>VLOOKUP($A73,'Data Vlaue (Cr)'!$C:$FB,64)</f>
        <v>74</v>
      </c>
      <c r="O73" s="51">
        <f>VLOOKUP($A73,'Data Vlaue (Cr)'!$C:$FB,66)*100</f>
        <v>42.05</v>
      </c>
    </row>
    <row r="74" spans="1:15" x14ac:dyDescent="0.25">
      <c r="A74" s="101" t="str">
        <f>'Data Vlaue (Cr)'!C69</f>
        <v>GAIL</v>
      </c>
      <c r="B74" s="50">
        <f>VLOOKUP($A74,'Data Vlaue (Cr)'!$C:$FB,8)</f>
        <v>164.48</v>
      </c>
      <c r="C74" s="50">
        <f>VLOOKUP($A74,'Data Vlaue (Cr)'!$C:$FB,11)*100</f>
        <v>0.77</v>
      </c>
      <c r="D74" s="50">
        <f>VLOOKUP($A74,'Data Vlaue (Cr)'!$C:$FB,143)</f>
        <v>591.36</v>
      </c>
      <c r="E74" s="50">
        <f>VLOOKUP($A74,'Data Vlaue (Cr)'!$C:$FB,144)</f>
        <v>487.42</v>
      </c>
      <c r="F74" s="50">
        <f>VLOOKUP($A74,'Data Vlaue (Cr)'!$C:$FB,146)*100</f>
        <v>21.33</v>
      </c>
      <c r="G74" s="49">
        <f>VLOOKUP($A74,'Data Vlaue (Cr)'!$C:$FB,43)</f>
        <v>150</v>
      </c>
      <c r="H74" s="49">
        <f>VLOOKUP($A74,'Data Vlaue (Cr)'!$C:$FB,44)</f>
        <v>132</v>
      </c>
      <c r="I74" s="49">
        <f>VLOOKUP($A74,'Data Vlaue (Cr)'!$C:$FB,46)*100</f>
        <v>13.930000000000001</v>
      </c>
      <c r="J74" s="51">
        <f>VLOOKUP($A74,'Data Vlaue (Cr)'!$C:$FB,59)</f>
        <v>288</v>
      </c>
      <c r="K74" s="51">
        <f>VLOOKUP($A74,'Data Vlaue (Cr)'!$C:$FB,60)</f>
        <v>205</v>
      </c>
      <c r="L74" s="51">
        <f>VLOOKUP($A74,'Data Vlaue (Cr)'!$C:$FB,62)*100</f>
        <v>40.26</v>
      </c>
      <c r="M74" s="51">
        <f>VLOOKUP($A74,'Data Vlaue (Cr)'!$C:$FB,63)</f>
        <v>135</v>
      </c>
      <c r="N74" s="51">
        <f>VLOOKUP($A74,'Data Vlaue (Cr)'!$C:$FB,64)</f>
        <v>146</v>
      </c>
      <c r="O74" s="51">
        <f>VLOOKUP($A74,'Data Vlaue (Cr)'!$C:$FB,66)*100</f>
        <v>-7.1499999999999995</v>
      </c>
    </row>
    <row r="75" spans="1:15" x14ac:dyDescent="0.25">
      <c r="A75" s="101" t="str">
        <f>'Data Vlaue (Cr)'!C70</f>
        <v>GLENMARK</v>
      </c>
      <c r="B75" s="50">
        <f>VLOOKUP($A75,'Data Vlaue (Cr)'!$C:$FB,8)</f>
        <v>2393.6999999999998</v>
      </c>
      <c r="C75" s="50">
        <f>VLOOKUP($A75,'Data Vlaue (Cr)'!$C:$FB,11)*100</f>
        <v>-0.52</v>
      </c>
      <c r="D75" s="50">
        <f>VLOOKUP($A75,'Data Vlaue (Cr)'!$C:$FB,143)</f>
        <v>646.67999999999995</v>
      </c>
      <c r="E75" s="50">
        <f>VLOOKUP($A75,'Data Vlaue (Cr)'!$C:$FB,144)</f>
        <v>1108.72</v>
      </c>
      <c r="F75" s="50">
        <f>VLOOKUP($A75,'Data Vlaue (Cr)'!$C:$FB,146)*100</f>
        <v>-41.67</v>
      </c>
      <c r="G75" s="49">
        <f>VLOOKUP($A75,'Data Vlaue (Cr)'!$C:$FB,43)</f>
        <v>187</v>
      </c>
      <c r="H75" s="49">
        <f>VLOOKUP($A75,'Data Vlaue (Cr)'!$C:$FB,44)</f>
        <v>317</v>
      </c>
      <c r="I75" s="49">
        <f>VLOOKUP($A75,'Data Vlaue (Cr)'!$C:$FB,46)*100</f>
        <v>-41.07</v>
      </c>
      <c r="J75" s="51">
        <f>VLOOKUP($A75,'Data Vlaue (Cr)'!$C:$FB,59)</f>
        <v>284</v>
      </c>
      <c r="K75" s="51">
        <f>VLOOKUP($A75,'Data Vlaue (Cr)'!$C:$FB,60)</f>
        <v>529</v>
      </c>
      <c r="L75" s="51">
        <f>VLOOKUP($A75,'Data Vlaue (Cr)'!$C:$FB,62)*100</f>
        <v>-46.26</v>
      </c>
      <c r="M75" s="51">
        <f>VLOOKUP($A75,'Data Vlaue (Cr)'!$C:$FB,63)</f>
        <v>160</v>
      </c>
      <c r="N75" s="51">
        <f>VLOOKUP($A75,'Data Vlaue (Cr)'!$C:$FB,64)</f>
        <v>227</v>
      </c>
      <c r="O75" s="51">
        <f>VLOOKUP($A75,'Data Vlaue (Cr)'!$C:$FB,66)*100</f>
        <v>-29.4</v>
      </c>
    </row>
    <row r="76" spans="1:15" x14ac:dyDescent="0.25">
      <c r="A76" s="101" t="str">
        <f>'Data Vlaue (Cr)'!C71</f>
        <v>GMRAIRPORT</v>
      </c>
      <c r="B76" s="50">
        <f>VLOOKUP($A76,'Data Vlaue (Cr)'!$C:$FB,8)</f>
        <v>98.9</v>
      </c>
      <c r="C76" s="50">
        <f>VLOOKUP($A76,'Data Vlaue (Cr)'!$C:$FB,11)*100</f>
        <v>2.56</v>
      </c>
      <c r="D76" s="50">
        <f>VLOOKUP($A76,'Data Vlaue (Cr)'!$C:$FB,143)</f>
        <v>1319.86</v>
      </c>
      <c r="E76" s="50">
        <f>VLOOKUP($A76,'Data Vlaue (Cr)'!$C:$FB,144)</f>
        <v>577.53</v>
      </c>
      <c r="F76" s="50">
        <f>VLOOKUP($A76,'Data Vlaue (Cr)'!$C:$FB,146)*100</f>
        <v>128.54000000000002</v>
      </c>
      <c r="G76" s="49">
        <f>VLOOKUP($A76,'Data Vlaue (Cr)'!$C:$FB,43)</f>
        <v>253</v>
      </c>
      <c r="H76" s="49">
        <f>VLOOKUP($A76,'Data Vlaue (Cr)'!$C:$FB,44)</f>
        <v>146</v>
      </c>
      <c r="I76" s="49">
        <f>VLOOKUP($A76,'Data Vlaue (Cr)'!$C:$FB,46)*100</f>
        <v>73.14</v>
      </c>
      <c r="J76" s="51">
        <f>VLOOKUP($A76,'Data Vlaue (Cr)'!$C:$FB,59)</f>
        <v>720</v>
      </c>
      <c r="K76" s="51">
        <f>VLOOKUP($A76,'Data Vlaue (Cr)'!$C:$FB,60)</f>
        <v>278</v>
      </c>
      <c r="L76" s="51">
        <f>VLOOKUP($A76,'Data Vlaue (Cr)'!$C:$FB,62)*100</f>
        <v>158.73999999999998</v>
      </c>
      <c r="M76" s="51">
        <f>VLOOKUP($A76,'Data Vlaue (Cr)'!$C:$FB,63)</f>
        <v>309</v>
      </c>
      <c r="N76" s="51">
        <f>VLOOKUP($A76,'Data Vlaue (Cr)'!$C:$FB,64)</f>
        <v>155</v>
      </c>
      <c r="O76" s="51">
        <f>VLOOKUP($A76,'Data Vlaue (Cr)'!$C:$FB,66)*100</f>
        <v>99.87</v>
      </c>
    </row>
    <row r="77" spans="1:15" x14ac:dyDescent="0.25">
      <c r="A77" s="101" t="str">
        <f>'Data Vlaue (Cr)'!C72</f>
        <v>GODFRYPHLP</v>
      </c>
      <c r="B77" s="50">
        <f>VLOOKUP($A77,'Data Vlaue (Cr)'!$C:$FB,8)</f>
        <v>2216.3000000000002</v>
      </c>
      <c r="C77" s="50">
        <f>VLOOKUP($A77,'Data Vlaue (Cr)'!$C:$FB,11)*100</f>
        <v>-1.54</v>
      </c>
      <c r="D77" s="50">
        <f>VLOOKUP($A77,'Data Vlaue (Cr)'!$C:$FB,143)</f>
        <v>218.36</v>
      </c>
      <c r="E77" s="50">
        <f>VLOOKUP($A77,'Data Vlaue (Cr)'!$C:$FB,144)</f>
        <v>462.82</v>
      </c>
      <c r="F77" s="50">
        <f>VLOOKUP($A77,'Data Vlaue (Cr)'!$C:$FB,146)*100</f>
        <v>-52.82</v>
      </c>
      <c r="G77" s="49">
        <f>VLOOKUP($A77,'Data Vlaue (Cr)'!$C:$FB,43)</f>
        <v>69</v>
      </c>
      <c r="H77" s="49">
        <f>VLOOKUP($A77,'Data Vlaue (Cr)'!$C:$FB,44)</f>
        <v>139</v>
      </c>
      <c r="I77" s="49">
        <f>VLOOKUP($A77,'Data Vlaue (Cr)'!$C:$FB,46)*100</f>
        <v>-50.519999999999996</v>
      </c>
      <c r="J77" s="51">
        <f>VLOOKUP($A77,'Data Vlaue (Cr)'!$C:$FB,59)</f>
        <v>109</v>
      </c>
      <c r="K77" s="51">
        <f>VLOOKUP($A77,'Data Vlaue (Cr)'!$C:$FB,60)</f>
        <v>233</v>
      </c>
      <c r="L77" s="51">
        <f>VLOOKUP($A77,'Data Vlaue (Cr)'!$C:$FB,62)*100</f>
        <v>-53.39</v>
      </c>
      <c r="M77" s="51">
        <f>VLOOKUP($A77,'Data Vlaue (Cr)'!$C:$FB,63)</f>
        <v>30</v>
      </c>
      <c r="N77" s="51">
        <f>VLOOKUP($A77,'Data Vlaue (Cr)'!$C:$FB,64)</f>
        <v>64</v>
      </c>
      <c r="O77" s="51">
        <f>VLOOKUP($A77,'Data Vlaue (Cr)'!$C:$FB,66)*100</f>
        <v>-53.09</v>
      </c>
    </row>
    <row r="78" spans="1:15" x14ac:dyDescent="0.25">
      <c r="A78" s="101" t="str">
        <f>'Data Vlaue (Cr)'!C73</f>
        <v>GODREJCP</v>
      </c>
      <c r="B78" s="50">
        <f>VLOOKUP($A78,'Data Vlaue (Cr)'!$C:$FB,8)</f>
        <v>1072.5</v>
      </c>
      <c r="C78" s="50">
        <f>VLOOKUP($A78,'Data Vlaue (Cr)'!$C:$FB,11)*100</f>
        <v>0.51</v>
      </c>
      <c r="D78" s="50">
        <f>VLOOKUP($A78,'Data Vlaue (Cr)'!$C:$FB,143)</f>
        <v>368.56</v>
      </c>
      <c r="E78" s="50">
        <f>VLOOKUP($A78,'Data Vlaue (Cr)'!$C:$FB,144)</f>
        <v>575.08000000000004</v>
      </c>
      <c r="F78" s="50">
        <f>VLOOKUP($A78,'Data Vlaue (Cr)'!$C:$FB,146)*100</f>
        <v>-35.909999999999997</v>
      </c>
      <c r="G78" s="49">
        <f>VLOOKUP($A78,'Data Vlaue (Cr)'!$C:$FB,43)</f>
        <v>152</v>
      </c>
      <c r="H78" s="49">
        <f>VLOOKUP($A78,'Data Vlaue (Cr)'!$C:$FB,44)</f>
        <v>254</v>
      </c>
      <c r="I78" s="49">
        <f>VLOOKUP($A78,'Data Vlaue (Cr)'!$C:$FB,46)*100</f>
        <v>-40.089999999999996</v>
      </c>
      <c r="J78" s="51">
        <f>VLOOKUP($A78,'Data Vlaue (Cr)'!$C:$FB,59)</f>
        <v>152</v>
      </c>
      <c r="K78" s="51">
        <f>VLOOKUP($A78,'Data Vlaue (Cr)'!$C:$FB,60)</f>
        <v>152</v>
      </c>
      <c r="L78" s="51">
        <f>VLOOKUP($A78,'Data Vlaue (Cr)'!$C:$FB,62)*100</f>
        <v>0.21</v>
      </c>
      <c r="M78" s="51">
        <f>VLOOKUP($A78,'Data Vlaue (Cr)'!$C:$FB,63)</f>
        <v>53</v>
      </c>
      <c r="N78" s="51">
        <f>VLOOKUP($A78,'Data Vlaue (Cr)'!$C:$FB,64)</f>
        <v>162</v>
      </c>
      <c r="O78" s="51">
        <f>VLOOKUP($A78,'Data Vlaue (Cr)'!$C:$FB,66)*100</f>
        <v>-67.179999999999993</v>
      </c>
    </row>
    <row r="79" spans="1:15" x14ac:dyDescent="0.25">
      <c r="A79" s="101" t="str">
        <f>'Data Vlaue (Cr)'!C74</f>
        <v>GODREJPROP</v>
      </c>
      <c r="B79" s="50">
        <f>VLOOKUP($A79,'Data Vlaue (Cr)'!$C:$FB,8)</f>
        <v>1899.8</v>
      </c>
      <c r="C79" s="50">
        <f>VLOOKUP($A79,'Data Vlaue (Cr)'!$C:$FB,11)*100</f>
        <v>3.52</v>
      </c>
      <c r="D79" s="50">
        <f>VLOOKUP($A79,'Data Vlaue (Cr)'!$C:$FB,143)</f>
        <v>5047.66</v>
      </c>
      <c r="E79" s="50">
        <f>VLOOKUP($A79,'Data Vlaue (Cr)'!$C:$FB,144)</f>
        <v>679.9</v>
      </c>
      <c r="F79" s="50">
        <f>VLOOKUP($A79,'Data Vlaue (Cr)'!$C:$FB,146)*100</f>
        <v>642.41999999999996</v>
      </c>
      <c r="G79" s="49">
        <f>VLOOKUP($A79,'Data Vlaue (Cr)'!$C:$FB,43)</f>
        <v>627</v>
      </c>
      <c r="H79" s="49">
        <f>VLOOKUP($A79,'Data Vlaue (Cr)'!$C:$FB,44)</f>
        <v>211</v>
      </c>
      <c r="I79" s="49">
        <f>VLOOKUP($A79,'Data Vlaue (Cr)'!$C:$FB,46)*100</f>
        <v>197.78</v>
      </c>
      <c r="J79" s="51">
        <f>VLOOKUP($A79,'Data Vlaue (Cr)'!$C:$FB,59)</f>
        <v>3159</v>
      </c>
      <c r="K79" s="51">
        <f>VLOOKUP($A79,'Data Vlaue (Cr)'!$C:$FB,60)</f>
        <v>236</v>
      </c>
      <c r="L79" s="51">
        <f>VLOOKUP($A79,'Data Vlaue (Cr)'!$C:$FB,62)*100</f>
        <v>1240.6599999999999</v>
      </c>
      <c r="M79" s="51">
        <f>VLOOKUP($A79,'Data Vlaue (Cr)'!$C:$FB,63)</f>
        <v>1094</v>
      </c>
      <c r="N79" s="51">
        <f>VLOOKUP($A79,'Data Vlaue (Cr)'!$C:$FB,64)</f>
        <v>242</v>
      </c>
      <c r="O79" s="51">
        <f>VLOOKUP($A79,'Data Vlaue (Cr)'!$C:$FB,66)*100</f>
        <v>351.93</v>
      </c>
    </row>
    <row r="80" spans="1:15" x14ac:dyDescent="0.25">
      <c r="A80" s="101" t="str">
        <f>'Data Vlaue (Cr)'!C75</f>
        <v>GRASIM</v>
      </c>
      <c r="B80" s="50">
        <f>VLOOKUP($A80,'Data Vlaue (Cr)'!$C:$FB,8)</f>
        <v>2856</v>
      </c>
      <c r="C80" s="50">
        <f>VLOOKUP($A80,'Data Vlaue (Cr)'!$C:$FB,11)*100</f>
        <v>2.1999999999999997</v>
      </c>
      <c r="D80" s="50">
        <f>VLOOKUP($A80,'Data Vlaue (Cr)'!$C:$FB,143)</f>
        <v>1081.6600000000001</v>
      </c>
      <c r="E80" s="50">
        <f>VLOOKUP($A80,'Data Vlaue (Cr)'!$C:$FB,144)</f>
        <v>595.11</v>
      </c>
      <c r="F80" s="50">
        <f>VLOOKUP($A80,'Data Vlaue (Cr)'!$C:$FB,146)*100</f>
        <v>81.760000000000005</v>
      </c>
      <c r="G80" s="49">
        <f>VLOOKUP($A80,'Data Vlaue (Cr)'!$C:$FB,43)</f>
        <v>318</v>
      </c>
      <c r="H80" s="49">
        <f>VLOOKUP($A80,'Data Vlaue (Cr)'!$C:$FB,44)</f>
        <v>278</v>
      </c>
      <c r="I80" s="49">
        <f>VLOOKUP($A80,'Data Vlaue (Cr)'!$C:$FB,46)*100</f>
        <v>14.13</v>
      </c>
      <c r="J80" s="51">
        <f>VLOOKUP($A80,'Data Vlaue (Cr)'!$C:$FB,59)</f>
        <v>576</v>
      </c>
      <c r="K80" s="51">
        <f>VLOOKUP($A80,'Data Vlaue (Cr)'!$C:$FB,60)</f>
        <v>218</v>
      </c>
      <c r="L80" s="51">
        <f>VLOOKUP($A80,'Data Vlaue (Cr)'!$C:$FB,62)*100</f>
        <v>164.13</v>
      </c>
      <c r="M80" s="51">
        <f>VLOOKUP($A80,'Data Vlaue (Cr)'!$C:$FB,63)</f>
        <v>173</v>
      </c>
      <c r="N80" s="51">
        <f>VLOOKUP($A80,'Data Vlaue (Cr)'!$C:$FB,64)</f>
        <v>109</v>
      </c>
      <c r="O80" s="51">
        <f>VLOOKUP($A80,'Data Vlaue (Cr)'!$C:$FB,66)*100</f>
        <v>58.37</v>
      </c>
    </row>
    <row r="81" spans="1:15" x14ac:dyDescent="0.25">
      <c r="A81" s="101" t="str">
        <f>'Data Vlaue (Cr)'!C76</f>
        <v>HAL</v>
      </c>
      <c r="B81" s="50">
        <f>VLOOKUP($A81,'Data Vlaue (Cr)'!$C:$FB,8)</f>
        <v>4559.5</v>
      </c>
      <c r="C81" s="50">
        <f>VLOOKUP($A81,'Data Vlaue (Cr)'!$C:$FB,11)*100</f>
        <v>5.09</v>
      </c>
      <c r="D81" s="50">
        <f>VLOOKUP($A81,'Data Vlaue (Cr)'!$C:$FB,143)</f>
        <v>8455.67</v>
      </c>
      <c r="E81" s="50">
        <f>VLOOKUP($A81,'Data Vlaue (Cr)'!$C:$FB,144)</f>
        <v>1774.28</v>
      </c>
      <c r="F81" s="50">
        <f>VLOOKUP($A81,'Data Vlaue (Cr)'!$C:$FB,146)*100</f>
        <v>376.57</v>
      </c>
      <c r="G81" s="49">
        <f>VLOOKUP($A81,'Data Vlaue (Cr)'!$C:$FB,43)</f>
        <v>1009</v>
      </c>
      <c r="H81" s="49">
        <f>VLOOKUP($A81,'Data Vlaue (Cr)'!$C:$FB,44)</f>
        <v>290</v>
      </c>
      <c r="I81" s="49">
        <f>VLOOKUP($A81,'Data Vlaue (Cr)'!$C:$FB,46)*100</f>
        <v>248.47000000000003</v>
      </c>
      <c r="J81" s="51">
        <f>VLOOKUP($A81,'Data Vlaue (Cr)'!$C:$FB,59)</f>
        <v>5243</v>
      </c>
      <c r="K81" s="51">
        <f>VLOOKUP($A81,'Data Vlaue (Cr)'!$C:$FB,60)</f>
        <v>907</v>
      </c>
      <c r="L81" s="51">
        <f>VLOOKUP($A81,'Data Vlaue (Cr)'!$C:$FB,62)*100</f>
        <v>477.78999999999996</v>
      </c>
      <c r="M81" s="51">
        <f>VLOOKUP($A81,'Data Vlaue (Cr)'!$C:$FB,63)</f>
        <v>2020</v>
      </c>
      <c r="N81" s="51">
        <f>VLOOKUP($A81,'Data Vlaue (Cr)'!$C:$FB,64)</f>
        <v>635</v>
      </c>
      <c r="O81" s="51">
        <f>VLOOKUP($A81,'Data Vlaue (Cr)'!$C:$FB,66)*100</f>
        <v>218.21</v>
      </c>
    </row>
    <row r="82" spans="1:15" x14ac:dyDescent="0.25">
      <c r="A82" s="101" t="str">
        <f>'Data Vlaue (Cr)'!C77</f>
        <v>HAVELLS</v>
      </c>
      <c r="B82" s="50">
        <f>VLOOKUP($A82,'Data Vlaue (Cr)'!$C:$FB,8)</f>
        <v>1256.5999999999999</v>
      </c>
      <c r="C82" s="50">
        <f>VLOOKUP($A82,'Data Vlaue (Cr)'!$C:$FB,11)*100</f>
        <v>1.29</v>
      </c>
      <c r="D82" s="50">
        <f>VLOOKUP($A82,'Data Vlaue (Cr)'!$C:$FB,143)</f>
        <v>667.65</v>
      </c>
      <c r="E82" s="50">
        <f>VLOOKUP($A82,'Data Vlaue (Cr)'!$C:$FB,144)</f>
        <v>757.48</v>
      </c>
      <c r="F82" s="50">
        <f>VLOOKUP($A82,'Data Vlaue (Cr)'!$C:$FB,146)*100</f>
        <v>-11.86</v>
      </c>
      <c r="G82" s="49">
        <f>VLOOKUP($A82,'Data Vlaue (Cr)'!$C:$FB,43)</f>
        <v>130</v>
      </c>
      <c r="H82" s="49">
        <f>VLOOKUP($A82,'Data Vlaue (Cr)'!$C:$FB,44)</f>
        <v>162</v>
      </c>
      <c r="I82" s="49">
        <f>VLOOKUP($A82,'Data Vlaue (Cr)'!$C:$FB,46)*100</f>
        <v>-19.77</v>
      </c>
      <c r="J82" s="51">
        <f>VLOOKUP($A82,'Data Vlaue (Cr)'!$C:$FB,59)</f>
        <v>384</v>
      </c>
      <c r="K82" s="51">
        <f>VLOOKUP($A82,'Data Vlaue (Cr)'!$C:$FB,60)</f>
        <v>401</v>
      </c>
      <c r="L82" s="51">
        <f>VLOOKUP($A82,'Data Vlaue (Cr)'!$C:$FB,62)*100</f>
        <v>-4.3099999999999996</v>
      </c>
      <c r="M82" s="51">
        <f>VLOOKUP($A82,'Data Vlaue (Cr)'!$C:$FB,63)</f>
        <v>126</v>
      </c>
      <c r="N82" s="51">
        <f>VLOOKUP($A82,'Data Vlaue (Cr)'!$C:$FB,64)</f>
        <v>168</v>
      </c>
      <c r="O82" s="51">
        <f>VLOOKUP($A82,'Data Vlaue (Cr)'!$C:$FB,66)*100</f>
        <v>-25.009999999999998</v>
      </c>
    </row>
    <row r="83" spans="1:15" x14ac:dyDescent="0.25">
      <c r="A83" s="101" t="str">
        <f>'Data Vlaue (Cr)'!C78</f>
        <v>HCLTECH</v>
      </c>
      <c r="B83" s="50">
        <f>VLOOKUP($A83,'Data Vlaue (Cr)'!$C:$FB,8)</f>
        <v>1200.5</v>
      </c>
      <c r="C83" s="50">
        <f>VLOOKUP($A83,'Data Vlaue (Cr)'!$C:$FB,11)*100</f>
        <v>0.12</v>
      </c>
      <c r="D83" s="50">
        <f>VLOOKUP($A83,'Data Vlaue (Cr)'!$C:$FB,143)</f>
        <v>2741.23</v>
      </c>
      <c r="E83" s="50">
        <f>VLOOKUP($A83,'Data Vlaue (Cr)'!$C:$FB,144)</f>
        <v>3103.61</v>
      </c>
      <c r="F83" s="50">
        <f>VLOOKUP($A83,'Data Vlaue (Cr)'!$C:$FB,146)*100</f>
        <v>-11.68</v>
      </c>
      <c r="G83" s="49">
        <f>VLOOKUP($A83,'Data Vlaue (Cr)'!$C:$FB,43)</f>
        <v>350</v>
      </c>
      <c r="H83" s="49">
        <f>VLOOKUP($A83,'Data Vlaue (Cr)'!$C:$FB,44)</f>
        <v>530</v>
      </c>
      <c r="I83" s="49">
        <f>VLOOKUP($A83,'Data Vlaue (Cr)'!$C:$FB,46)*100</f>
        <v>-33.86</v>
      </c>
      <c r="J83" s="51">
        <f>VLOOKUP($A83,'Data Vlaue (Cr)'!$C:$FB,59)</f>
        <v>1570</v>
      </c>
      <c r="K83" s="51">
        <f>VLOOKUP($A83,'Data Vlaue (Cr)'!$C:$FB,60)</f>
        <v>1619</v>
      </c>
      <c r="L83" s="51">
        <f>VLOOKUP($A83,'Data Vlaue (Cr)'!$C:$FB,62)*100</f>
        <v>-2.9899999999999998</v>
      </c>
      <c r="M83" s="51">
        <f>VLOOKUP($A83,'Data Vlaue (Cr)'!$C:$FB,63)</f>
        <v>707</v>
      </c>
      <c r="N83" s="51">
        <f>VLOOKUP($A83,'Data Vlaue (Cr)'!$C:$FB,64)</f>
        <v>837</v>
      </c>
      <c r="O83" s="51">
        <f>VLOOKUP($A83,'Data Vlaue (Cr)'!$C:$FB,66)*100</f>
        <v>-15.47</v>
      </c>
    </row>
    <row r="84" spans="1:15" x14ac:dyDescent="0.25">
      <c r="A84" s="101" t="str">
        <f>'Data Vlaue (Cr)'!C79</f>
        <v>HDFCAMC</v>
      </c>
      <c r="B84" s="50">
        <f>VLOOKUP($A84,'Data Vlaue (Cr)'!$C:$FB,8)</f>
        <v>2753.6</v>
      </c>
      <c r="C84" s="50">
        <f>VLOOKUP($A84,'Data Vlaue (Cr)'!$C:$FB,11)*100</f>
        <v>1.51</v>
      </c>
      <c r="D84" s="50">
        <f>VLOOKUP($A84,'Data Vlaue (Cr)'!$C:$FB,143)</f>
        <v>485.9</v>
      </c>
      <c r="E84" s="50">
        <f>VLOOKUP($A84,'Data Vlaue (Cr)'!$C:$FB,144)</f>
        <v>555.61</v>
      </c>
      <c r="F84" s="50">
        <f>VLOOKUP($A84,'Data Vlaue (Cr)'!$C:$FB,146)*100</f>
        <v>-12.55</v>
      </c>
      <c r="G84" s="49">
        <f>VLOOKUP($A84,'Data Vlaue (Cr)'!$C:$FB,43)</f>
        <v>179</v>
      </c>
      <c r="H84" s="49">
        <f>VLOOKUP($A84,'Data Vlaue (Cr)'!$C:$FB,44)</f>
        <v>239</v>
      </c>
      <c r="I84" s="49">
        <f>VLOOKUP($A84,'Data Vlaue (Cr)'!$C:$FB,46)*100</f>
        <v>-25.119999999999997</v>
      </c>
      <c r="J84" s="51">
        <f>VLOOKUP($A84,'Data Vlaue (Cr)'!$C:$FB,59)</f>
        <v>192</v>
      </c>
      <c r="K84" s="51">
        <f>VLOOKUP($A84,'Data Vlaue (Cr)'!$C:$FB,60)</f>
        <v>185</v>
      </c>
      <c r="L84" s="51">
        <f>VLOOKUP($A84,'Data Vlaue (Cr)'!$C:$FB,62)*100</f>
        <v>3.81</v>
      </c>
      <c r="M84" s="51">
        <f>VLOOKUP($A84,'Data Vlaue (Cr)'!$C:$FB,63)</f>
        <v>107</v>
      </c>
      <c r="N84" s="51">
        <f>VLOOKUP($A84,'Data Vlaue (Cr)'!$C:$FB,64)</f>
        <v>128</v>
      </c>
      <c r="O84" s="51">
        <f>VLOOKUP($A84,'Data Vlaue (Cr)'!$C:$FB,66)*100</f>
        <v>-16.34</v>
      </c>
    </row>
    <row r="85" spans="1:15" x14ac:dyDescent="0.25">
      <c r="A85" s="101" t="str">
        <f>'Data Vlaue (Cr)'!C80</f>
        <v>HDFCBANK</v>
      </c>
      <c r="B85" s="50">
        <f>VLOOKUP($A85,'Data Vlaue (Cr)'!$C:$FB,8)</f>
        <v>779.4</v>
      </c>
      <c r="C85" s="50">
        <f>VLOOKUP($A85,'Data Vlaue (Cr)'!$C:$FB,11)*100</f>
        <v>1</v>
      </c>
      <c r="D85" s="50">
        <f>VLOOKUP($A85,'Data Vlaue (Cr)'!$C:$FB,143)</f>
        <v>9173.58</v>
      </c>
      <c r="E85" s="50">
        <f>VLOOKUP($A85,'Data Vlaue (Cr)'!$C:$FB,144)</f>
        <v>10849.49</v>
      </c>
      <c r="F85" s="50">
        <f>VLOOKUP($A85,'Data Vlaue (Cr)'!$C:$FB,146)*100</f>
        <v>-15.45</v>
      </c>
      <c r="G85" s="49">
        <f>VLOOKUP($A85,'Data Vlaue (Cr)'!$C:$FB,43)</f>
        <v>1566</v>
      </c>
      <c r="H85" s="49">
        <f>VLOOKUP($A85,'Data Vlaue (Cr)'!$C:$FB,44)</f>
        <v>1884</v>
      </c>
      <c r="I85" s="49">
        <f>VLOOKUP($A85,'Data Vlaue (Cr)'!$C:$FB,46)*100</f>
        <v>-16.86</v>
      </c>
      <c r="J85" s="51">
        <f>VLOOKUP($A85,'Data Vlaue (Cr)'!$C:$FB,59)</f>
        <v>4659</v>
      </c>
      <c r="K85" s="51">
        <f>VLOOKUP($A85,'Data Vlaue (Cr)'!$C:$FB,60)</f>
        <v>5847</v>
      </c>
      <c r="L85" s="51">
        <f>VLOOKUP($A85,'Data Vlaue (Cr)'!$C:$FB,62)*100</f>
        <v>-20.309999999999999</v>
      </c>
      <c r="M85" s="51">
        <f>VLOOKUP($A85,'Data Vlaue (Cr)'!$C:$FB,63)</f>
        <v>2745</v>
      </c>
      <c r="N85" s="51">
        <f>VLOOKUP($A85,'Data Vlaue (Cr)'!$C:$FB,64)</f>
        <v>2904</v>
      </c>
      <c r="O85" s="51">
        <f>VLOOKUP($A85,'Data Vlaue (Cr)'!$C:$FB,66)*100</f>
        <v>-5.47</v>
      </c>
    </row>
    <row r="86" spans="1:15" x14ac:dyDescent="0.25">
      <c r="A86" s="101" t="str">
        <f>'Data Vlaue (Cr)'!C81</f>
        <v>HDFCLIFE</v>
      </c>
      <c r="B86" s="50">
        <f>VLOOKUP($A86,'Data Vlaue (Cr)'!$C:$FB,8)</f>
        <v>588.35</v>
      </c>
      <c r="C86" s="50">
        <f>VLOOKUP($A86,'Data Vlaue (Cr)'!$C:$FB,11)*100</f>
        <v>0.25</v>
      </c>
      <c r="D86" s="50">
        <f>VLOOKUP($A86,'Data Vlaue (Cr)'!$C:$FB,143)</f>
        <v>890.07</v>
      </c>
      <c r="E86" s="50">
        <f>VLOOKUP($A86,'Data Vlaue (Cr)'!$C:$FB,144)</f>
        <v>1458.18</v>
      </c>
      <c r="F86" s="50">
        <f>VLOOKUP($A86,'Data Vlaue (Cr)'!$C:$FB,146)*100</f>
        <v>-38.96</v>
      </c>
      <c r="G86" s="49">
        <f>VLOOKUP($A86,'Data Vlaue (Cr)'!$C:$FB,43)</f>
        <v>159</v>
      </c>
      <c r="H86" s="49">
        <f>VLOOKUP($A86,'Data Vlaue (Cr)'!$C:$FB,44)</f>
        <v>261</v>
      </c>
      <c r="I86" s="49">
        <f>VLOOKUP($A86,'Data Vlaue (Cr)'!$C:$FB,46)*100</f>
        <v>-39.26</v>
      </c>
      <c r="J86" s="51">
        <f>VLOOKUP($A86,'Data Vlaue (Cr)'!$C:$FB,59)</f>
        <v>466</v>
      </c>
      <c r="K86" s="51">
        <f>VLOOKUP($A86,'Data Vlaue (Cr)'!$C:$FB,60)</f>
        <v>761</v>
      </c>
      <c r="L86" s="51">
        <f>VLOOKUP($A86,'Data Vlaue (Cr)'!$C:$FB,62)*100</f>
        <v>-38.800000000000004</v>
      </c>
      <c r="M86" s="51">
        <f>VLOOKUP($A86,'Data Vlaue (Cr)'!$C:$FB,63)</f>
        <v>244</v>
      </c>
      <c r="N86" s="51">
        <f>VLOOKUP($A86,'Data Vlaue (Cr)'!$C:$FB,64)</f>
        <v>408</v>
      </c>
      <c r="O86" s="51">
        <f>VLOOKUP($A86,'Data Vlaue (Cr)'!$C:$FB,66)*100</f>
        <v>-40.28</v>
      </c>
    </row>
    <row r="87" spans="1:15" x14ac:dyDescent="0.25">
      <c r="A87" s="101" t="str">
        <f>'Data Vlaue (Cr)'!C82</f>
        <v>HEROMOTOCO</v>
      </c>
      <c r="B87" s="50">
        <f>VLOOKUP($A87,'Data Vlaue (Cr)'!$C:$FB,8)</f>
        <v>5066.5</v>
      </c>
      <c r="C87" s="50">
        <f>VLOOKUP($A87,'Data Vlaue (Cr)'!$C:$FB,11)*100</f>
        <v>-0.64</v>
      </c>
      <c r="D87" s="50">
        <f>VLOOKUP($A87,'Data Vlaue (Cr)'!$C:$FB,143)</f>
        <v>3072.77</v>
      </c>
      <c r="E87" s="50">
        <f>VLOOKUP($A87,'Data Vlaue (Cr)'!$C:$FB,144)</f>
        <v>1817.47</v>
      </c>
      <c r="F87" s="50">
        <f>VLOOKUP($A87,'Data Vlaue (Cr)'!$C:$FB,146)*100</f>
        <v>69.069999999999993</v>
      </c>
      <c r="G87" s="49">
        <f>VLOOKUP($A87,'Data Vlaue (Cr)'!$C:$FB,43)</f>
        <v>490</v>
      </c>
      <c r="H87" s="49">
        <f>VLOOKUP($A87,'Data Vlaue (Cr)'!$C:$FB,44)</f>
        <v>322</v>
      </c>
      <c r="I87" s="49">
        <f>VLOOKUP($A87,'Data Vlaue (Cr)'!$C:$FB,46)*100</f>
        <v>51.959999999999994</v>
      </c>
      <c r="J87" s="51">
        <f>VLOOKUP($A87,'Data Vlaue (Cr)'!$C:$FB,59)</f>
        <v>1816</v>
      </c>
      <c r="K87" s="51">
        <f>VLOOKUP($A87,'Data Vlaue (Cr)'!$C:$FB,60)</f>
        <v>981</v>
      </c>
      <c r="L87" s="51">
        <f>VLOOKUP($A87,'Data Vlaue (Cr)'!$C:$FB,62)*100</f>
        <v>85.070000000000007</v>
      </c>
      <c r="M87" s="51">
        <f>VLOOKUP($A87,'Data Vlaue (Cr)'!$C:$FB,63)</f>
        <v>617</v>
      </c>
      <c r="N87" s="51">
        <f>VLOOKUP($A87,'Data Vlaue (Cr)'!$C:$FB,64)</f>
        <v>440</v>
      </c>
      <c r="O87" s="51">
        <f>VLOOKUP($A87,'Data Vlaue (Cr)'!$C:$FB,66)*100</f>
        <v>40.03</v>
      </c>
    </row>
    <row r="88" spans="1:15" x14ac:dyDescent="0.25">
      <c r="A88" s="101" t="str">
        <f>'Data Vlaue (Cr)'!C83</f>
        <v>HINDALCO</v>
      </c>
      <c r="B88" s="50">
        <f>VLOOKUP($A88,'Data Vlaue (Cr)'!$C:$FB,8)</f>
        <v>1042.7</v>
      </c>
      <c r="C88" s="50">
        <f>VLOOKUP($A88,'Data Vlaue (Cr)'!$C:$FB,11)*100</f>
        <v>0.44999999999999996</v>
      </c>
      <c r="D88" s="50">
        <f>VLOOKUP($A88,'Data Vlaue (Cr)'!$C:$FB,143)</f>
        <v>2023.15</v>
      </c>
      <c r="E88" s="50">
        <f>VLOOKUP($A88,'Data Vlaue (Cr)'!$C:$FB,144)</f>
        <v>2626.8</v>
      </c>
      <c r="F88" s="50">
        <f>VLOOKUP($A88,'Data Vlaue (Cr)'!$C:$FB,146)*100</f>
        <v>-22.98</v>
      </c>
      <c r="G88" s="49">
        <f>VLOOKUP($A88,'Data Vlaue (Cr)'!$C:$FB,43)</f>
        <v>410</v>
      </c>
      <c r="H88" s="49">
        <f>VLOOKUP($A88,'Data Vlaue (Cr)'!$C:$FB,44)</f>
        <v>720</v>
      </c>
      <c r="I88" s="49">
        <f>VLOOKUP($A88,'Data Vlaue (Cr)'!$C:$FB,46)*100</f>
        <v>-43.1</v>
      </c>
      <c r="J88" s="51">
        <f>VLOOKUP($A88,'Data Vlaue (Cr)'!$C:$FB,59)</f>
        <v>974</v>
      </c>
      <c r="K88" s="51">
        <f>VLOOKUP($A88,'Data Vlaue (Cr)'!$C:$FB,60)</f>
        <v>994</v>
      </c>
      <c r="L88" s="51">
        <f>VLOOKUP($A88,'Data Vlaue (Cr)'!$C:$FB,62)*100</f>
        <v>-2.04</v>
      </c>
      <c r="M88" s="51">
        <f>VLOOKUP($A88,'Data Vlaue (Cr)'!$C:$FB,63)</f>
        <v>584</v>
      </c>
      <c r="N88" s="51">
        <f>VLOOKUP($A88,'Data Vlaue (Cr)'!$C:$FB,64)</f>
        <v>846</v>
      </c>
      <c r="O88" s="51">
        <f>VLOOKUP($A88,'Data Vlaue (Cr)'!$C:$FB,66)*100</f>
        <v>-30.97</v>
      </c>
    </row>
    <row r="89" spans="1:15" x14ac:dyDescent="0.25">
      <c r="A89" s="101" t="str">
        <f>'Data Vlaue (Cr)'!C84</f>
        <v>HINDPETRO</v>
      </c>
      <c r="B89" s="50">
        <f>VLOOKUP($A89,'Data Vlaue (Cr)'!$C:$FB,8)</f>
        <v>373.85</v>
      </c>
      <c r="C89" s="50">
        <f>VLOOKUP($A89,'Data Vlaue (Cr)'!$C:$FB,11)*100</f>
        <v>-0.19</v>
      </c>
      <c r="D89" s="50">
        <f>VLOOKUP($A89,'Data Vlaue (Cr)'!$C:$FB,143)</f>
        <v>790.34</v>
      </c>
      <c r="E89" s="50">
        <f>VLOOKUP($A89,'Data Vlaue (Cr)'!$C:$FB,144)</f>
        <v>953.78</v>
      </c>
      <c r="F89" s="50">
        <f>VLOOKUP($A89,'Data Vlaue (Cr)'!$C:$FB,146)*100</f>
        <v>-17.14</v>
      </c>
      <c r="G89" s="49">
        <f>VLOOKUP($A89,'Data Vlaue (Cr)'!$C:$FB,43)</f>
        <v>215</v>
      </c>
      <c r="H89" s="49">
        <f>VLOOKUP($A89,'Data Vlaue (Cr)'!$C:$FB,44)</f>
        <v>290</v>
      </c>
      <c r="I89" s="49">
        <f>VLOOKUP($A89,'Data Vlaue (Cr)'!$C:$FB,46)*100</f>
        <v>-25.94</v>
      </c>
      <c r="J89" s="51">
        <f>VLOOKUP($A89,'Data Vlaue (Cr)'!$C:$FB,59)</f>
        <v>288</v>
      </c>
      <c r="K89" s="51">
        <f>VLOOKUP($A89,'Data Vlaue (Cr)'!$C:$FB,60)</f>
        <v>345</v>
      </c>
      <c r="L89" s="51">
        <f>VLOOKUP($A89,'Data Vlaue (Cr)'!$C:$FB,62)*100</f>
        <v>-16.72</v>
      </c>
      <c r="M89" s="51">
        <f>VLOOKUP($A89,'Data Vlaue (Cr)'!$C:$FB,63)</f>
        <v>274</v>
      </c>
      <c r="N89" s="51">
        <f>VLOOKUP($A89,'Data Vlaue (Cr)'!$C:$FB,64)</f>
        <v>295</v>
      </c>
      <c r="O89" s="51">
        <f>VLOOKUP($A89,'Data Vlaue (Cr)'!$C:$FB,66)*100</f>
        <v>-7.21</v>
      </c>
    </row>
    <row r="90" spans="1:15" x14ac:dyDescent="0.25">
      <c r="A90" s="101" t="str">
        <f>'Data Vlaue (Cr)'!C85</f>
        <v>HINDUNILVR</v>
      </c>
      <c r="B90" s="50">
        <f>VLOOKUP($A90,'Data Vlaue (Cr)'!$C:$FB,8)</f>
        <v>2309.3000000000002</v>
      </c>
      <c r="C90" s="50">
        <f>VLOOKUP($A90,'Data Vlaue (Cr)'!$C:$FB,11)*100</f>
        <v>2.59</v>
      </c>
      <c r="D90" s="50">
        <f>VLOOKUP($A90,'Data Vlaue (Cr)'!$C:$FB,143)</f>
        <v>11788.93</v>
      </c>
      <c r="E90" s="50">
        <f>VLOOKUP($A90,'Data Vlaue (Cr)'!$C:$FB,144)</f>
        <v>18083.830000000002</v>
      </c>
      <c r="F90" s="50">
        <f>VLOOKUP($A90,'Data Vlaue (Cr)'!$C:$FB,146)*100</f>
        <v>-34.81</v>
      </c>
      <c r="G90" s="49">
        <f>VLOOKUP($A90,'Data Vlaue (Cr)'!$C:$FB,43)</f>
        <v>1038</v>
      </c>
      <c r="H90" s="49">
        <f>VLOOKUP($A90,'Data Vlaue (Cr)'!$C:$FB,44)</f>
        <v>2370</v>
      </c>
      <c r="I90" s="49">
        <f>VLOOKUP($A90,'Data Vlaue (Cr)'!$C:$FB,46)*100</f>
        <v>-56.19</v>
      </c>
      <c r="J90" s="51">
        <f>VLOOKUP($A90,'Data Vlaue (Cr)'!$C:$FB,59)</f>
        <v>7061</v>
      </c>
      <c r="K90" s="51">
        <f>VLOOKUP($A90,'Data Vlaue (Cr)'!$C:$FB,60)</f>
        <v>10240</v>
      </c>
      <c r="L90" s="51">
        <f>VLOOKUP($A90,'Data Vlaue (Cr)'!$C:$FB,62)*100</f>
        <v>-31.04</v>
      </c>
      <c r="M90" s="51">
        <f>VLOOKUP($A90,'Data Vlaue (Cr)'!$C:$FB,63)</f>
        <v>3332</v>
      </c>
      <c r="N90" s="51">
        <f>VLOOKUP($A90,'Data Vlaue (Cr)'!$C:$FB,64)</f>
        <v>5167</v>
      </c>
      <c r="O90" s="51">
        <f>VLOOKUP($A90,'Data Vlaue (Cr)'!$C:$FB,66)*100</f>
        <v>-35.510000000000005</v>
      </c>
    </row>
    <row r="91" spans="1:15" x14ac:dyDescent="0.25">
      <c r="A91" s="101" t="str">
        <f>'Data Vlaue (Cr)'!C86</f>
        <v>HINDZINC</v>
      </c>
      <c r="B91" s="50">
        <f>VLOOKUP($A91,'Data Vlaue (Cr)'!$C:$FB,8)</f>
        <v>605.54999999999995</v>
      </c>
      <c r="C91" s="50">
        <f>VLOOKUP($A91,'Data Vlaue (Cr)'!$C:$FB,11)*100</f>
        <v>1.6099999999999999</v>
      </c>
      <c r="D91" s="50">
        <f>VLOOKUP($A91,'Data Vlaue (Cr)'!$C:$FB,143)</f>
        <v>1894.43</v>
      </c>
      <c r="E91" s="50">
        <f>VLOOKUP($A91,'Data Vlaue (Cr)'!$C:$FB,144)</f>
        <v>2432.86</v>
      </c>
      <c r="F91" s="50">
        <f>VLOOKUP($A91,'Data Vlaue (Cr)'!$C:$FB,146)*100</f>
        <v>-22.13</v>
      </c>
      <c r="G91" s="49">
        <f>VLOOKUP($A91,'Data Vlaue (Cr)'!$C:$FB,43)</f>
        <v>267</v>
      </c>
      <c r="H91" s="49">
        <f>VLOOKUP($A91,'Data Vlaue (Cr)'!$C:$FB,44)</f>
        <v>413</v>
      </c>
      <c r="I91" s="49">
        <f>VLOOKUP($A91,'Data Vlaue (Cr)'!$C:$FB,46)*100</f>
        <v>-35.339999999999996</v>
      </c>
      <c r="J91" s="51">
        <f>VLOOKUP($A91,'Data Vlaue (Cr)'!$C:$FB,59)</f>
        <v>1026</v>
      </c>
      <c r="K91" s="51">
        <f>VLOOKUP($A91,'Data Vlaue (Cr)'!$C:$FB,60)</f>
        <v>1223</v>
      </c>
      <c r="L91" s="51">
        <f>VLOOKUP($A91,'Data Vlaue (Cr)'!$C:$FB,62)*100</f>
        <v>-16.100000000000001</v>
      </c>
      <c r="M91" s="51">
        <f>VLOOKUP($A91,'Data Vlaue (Cr)'!$C:$FB,63)</f>
        <v>547</v>
      </c>
      <c r="N91" s="51">
        <f>VLOOKUP($A91,'Data Vlaue (Cr)'!$C:$FB,64)</f>
        <v>760</v>
      </c>
      <c r="O91" s="51">
        <f>VLOOKUP($A91,'Data Vlaue (Cr)'!$C:$FB,66)*100</f>
        <v>-28.1</v>
      </c>
    </row>
    <row r="92" spans="1:15" x14ac:dyDescent="0.25">
      <c r="A92" s="101" t="str">
        <f>'Data Vlaue (Cr)'!C87</f>
        <v>HYUNDAI</v>
      </c>
      <c r="B92" s="50">
        <f>VLOOKUP($A92,'Data Vlaue (Cr)'!$C:$FB,8)</f>
        <v>1844.5</v>
      </c>
      <c r="C92" s="50">
        <f>VLOOKUP($A92,'Data Vlaue (Cr)'!$C:$FB,11)*100</f>
        <v>1.48</v>
      </c>
      <c r="D92" s="50">
        <f>VLOOKUP($A92,'Data Vlaue (Cr)'!$C:$FB,143)</f>
        <v>499.74</v>
      </c>
      <c r="E92" s="50">
        <f>VLOOKUP($A92,'Data Vlaue (Cr)'!$C:$FB,144)</f>
        <v>337.03</v>
      </c>
      <c r="F92" s="50">
        <f>VLOOKUP($A92,'Data Vlaue (Cr)'!$C:$FB,146)*100</f>
        <v>48.28</v>
      </c>
      <c r="G92" s="49">
        <f>VLOOKUP($A92,'Data Vlaue (Cr)'!$C:$FB,43)</f>
        <v>178</v>
      </c>
      <c r="H92" s="49">
        <f>VLOOKUP($A92,'Data Vlaue (Cr)'!$C:$FB,44)</f>
        <v>210</v>
      </c>
      <c r="I92" s="49">
        <f>VLOOKUP($A92,'Data Vlaue (Cr)'!$C:$FB,46)*100</f>
        <v>-15.65</v>
      </c>
      <c r="J92" s="51">
        <f>VLOOKUP($A92,'Data Vlaue (Cr)'!$C:$FB,59)</f>
        <v>237</v>
      </c>
      <c r="K92" s="51">
        <f>VLOOKUP($A92,'Data Vlaue (Cr)'!$C:$FB,60)</f>
        <v>76</v>
      </c>
      <c r="L92" s="51">
        <f>VLOOKUP($A92,'Data Vlaue (Cr)'!$C:$FB,62)*100</f>
        <v>210.95000000000002</v>
      </c>
      <c r="M92" s="51">
        <f>VLOOKUP($A92,'Data Vlaue (Cr)'!$C:$FB,63)</f>
        <v>69</v>
      </c>
      <c r="N92" s="51">
        <f>VLOOKUP($A92,'Data Vlaue (Cr)'!$C:$FB,64)</f>
        <v>51</v>
      </c>
      <c r="O92" s="51">
        <f>VLOOKUP($A92,'Data Vlaue (Cr)'!$C:$FB,66)*100</f>
        <v>35.31</v>
      </c>
    </row>
    <row r="93" spans="1:15" x14ac:dyDescent="0.25">
      <c r="A93" s="101" t="str">
        <f>'Data Vlaue (Cr)'!C88</f>
        <v>ICICIBANK</v>
      </c>
      <c r="B93" s="50">
        <f>VLOOKUP($A93,'Data Vlaue (Cr)'!$C:$FB,8)</f>
        <v>1270.8</v>
      </c>
      <c r="C93" s="50">
        <f>VLOOKUP($A93,'Data Vlaue (Cr)'!$C:$FB,11)*100</f>
        <v>0.59</v>
      </c>
      <c r="D93" s="50">
        <f>VLOOKUP($A93,'Data Vlaue (Cr)'!$C:$FB,143)</f>
        <v>7006.17</v>
      </c>
      <c r="E93" s="50">
        <f>VLOOKUP($A93,'Data Vlaue (Cr)'!$C:$FB,144)</f>
        <v>8550.2800000000007</v>
      </c>
      <c r="F93" s="50">
        <f>VLOOKUP($A93,'Data Vlaue (Cr)'!$C:$FB,146)*100</f>
        <v>-18.060000000000002</v>
      </c>
      <c r="G93" s="49">
        <f>VLOOKUP($A93,'Data Vlaue (Cr)'!$C:$FB,43)</f>
        <v>1407</v>
      </c>
      <c r="H93" s="49">
        <f>VLOOKUP($A93,'Data Vlaue (Cr)'!$C:$FB,44)</f>
        <v>1461</v>
      </c>
      <c r="I93" s="49">
        <f>VLOOKUP($A93,'Data Vlaue (Cr)'!$C:$FB,46)*100</f>
        <v>-3.6999999999999997</v>
      </c>
      <c r="J93" s="51">
        <f>VLOOKUP($A93,'Data Vlaue (Cr)'!$C:$FB,59)</f>
        <v>3488</v>
      </c>
      <c r="K93" s="51">
        <f>VLOOKUP($A93,'Data Vlaue (Cr)'!$C:$FB,60)</f>
        <v>4528</v>
      </c>
      <c r="L93" s="51">
        <f>VLOOKUP($A93,'Data Vlaue (Cr)'!$C:$FB,62)*100</f>
        <v>-22.97</v>
      </c>
      <c r="M93" s="51">
        <f>VLOOKUP($A93,'Data Vlaue (Cr)'!$C:$FB,63)</f>
        <v>1948</v>
      </c>
      <c r="N93" s="51">
        <f>VLOOKUP($A93,'Data Vlaue (Cr)'!$C:$FB,64)</f>
        <v>2352</v>
      </c>
      <c r="O93" s="51">
        <f>VLOOKUP($A93,'Data Vlaue (Cr)'!$C:$FB,66)*100</f>
        <v>-17.169999999999998</v>
      </c>
    </row>
    <row r="94" spans="1:15" x14ac:dyDescent="0.25">
      <c r="A94" s="101" t="str">
        <f>'Data Vlaue (Cr)'!C89</f>
        <v>ICICIGI</v>
      </c>
      <c r="B94" s="50">
        <f>VLOOKUP($A94,'Data Vlaue (Cr)'!$C:$FB,8)</f>
        <v>1756.8</v>
      </c>
      <c r="C94" s="50">
        <f>VLOOKUP($A94,'Data Vlaue (Cr)'!$C:$FB,11)*100</f>
        <v>-0.36</v>
      </c>
      <c r="D94" s="50">
        <f>VLOOKUP($A94,'Data Vlaue (Cr)'!$C:$FB,143)</f>
        <v>243.37</v>
      </c>
      <c r="E94" s="50">
        <f>VLOOKUP($A94,'Data Vlaue (Cr)'!$C:$FB,144)</f>
        <v>196.98</v>
      </c>
      <c r="F94" s="50">
        <f>VLOOKUP($A94,'Data Vlaue (Cr)'!$C:$FB,146)*100</f>
        <v>23.549999999999997</v>
      </c>
      <c r="G94" s="49">
        <f>VLOOKUP($A94,'Data Vlaue (Cr)'!$C:$FB,43)</f>
        <v>62</v>
      </c>
      <c r="H94" s="49">
        <f>VLOOKUP($A94,'Data Vlaue (Cr)'!$C:$FB,44)</f>
        <v>49</v>
      </c>
      <c r="I94" s="49">
        <f>VLOOKUP($A94,'Data Vlaue (Cr)'!$C:$FB,46)*100</f>
        <v>25.900000000000002</v>
      </c>
      <c r="J94" s="51">
        <f>VLOOKUP($A94,'Data Vlaue (Cr)'!$C:$FB,59)</f>
        <v>114</v>
      </c>
      <c r="K94" s="51">
        <f>VLOOKUP($A94,'Data Vlaue (Cr)'!$C:$FB,60)</f>
        <v>93</v>
      </c>
      <c r="L94" s="51">
        <f>VLOOKUP($A94,'Data Vlaue (Cr)'!$C:$FB,62)*100</f>
        <v>21.959999999999997</v>
      </c>
      <c r="M94" s="51">
        <f>VLOOKUP($A94,'Data Vlaue (Cr)'!$C:$FB,63)</f>
        <v>62</v>
      </c>
      <c r="N94" s="51">
        <f>VLOOKUP($A94,'Data Vlaue (Cr)'!$C:$FB,64)</f>
        <v>50</v>
      </c>
      <c r="O94" s="51">
        <f>VLOOKUP($A94,'Data Vlaue (Cr)'!$C:$FB,66)*100</f>
        <v>23.51</v>
      </c>
    </row>
    <row r="95" spans="1:15" x14ac:dyDescent="0.25">
      <c r="A95" s="101" t="str">
        <f>'Data Vlaue (Cr)'!C90</f>
        <v>ICICIPRULI</v>
      </c>
      <c r="B95" s="50">
        <f>VLOOKUP($A95,'Data Vlaue (Cr)'!$C:$FB,8)</f>
        <v>535.54999999999995</v>
      </c>
      <c r="C95" s="50">
        <f>VLOOKUP($A95,'Data Vlaue (Cr)'!$C:$FB,11)*100</f>
        <v>4.22</v>
      </c>
      <c r="D95" s="50">
        <f>VLOOKUP($A95,'Data Vlaue (Cr)'!$C:$FB,143)</f>
        <v>675.14</v>
      </c>
      <c r="E95" s="50">
        <f>VLOOKUP($A95,'Data Vlaue (Cr)'!$C:$FB,144)</f>
        <v>301.41000000000003</v>
      </c>
      <c r="F95" s="50">
        <f>VLOOKUP($A95,'Data Vlaue (Cr)'!$C:$FB,146)*100</f>
        <v>124</v>
      </c>
      <c r="G95" s="49">
        <f>VLOOKUP($A95,'Data Vlaue (Cr)'!$C:$FB,43)</f>
        <v>181</v>
      </c>
      <c r="H95" s="49">
        <f>VLOOKUP($A95,'Data Vlaue (Cr)'!$C:$FB,44)</f>
        <v>71</v>
      </c>
      <c r="I95" s="49">
        <f>VLOOKUP($A95,'Data Vlaue (Cr)'!$C:$FB,46)*100</f>
        <v>154.34</v>
      </c>
      <c r="J95" s="51">
        <f>VLOOKUP($A95,'Data Vlaue (Cr)'!$C:$FB,59)</f>
        <v>345</v>
      </c>
      <c r="K95" s="51">
        <f>VLOOKUP($A95,'Data Vlaue (Cr)'!$C:$FB,60)</f>
        <v>161</v>
      </c>
      <c r="L95" s="51">
        <f>VLOOKUP($A95,'Data Vlaue (Cr)'!$C:$FB,62)*100</f>
        <v>115.07000000000001</v>
      </c>
      <c r="M95" s="51">
        <f>VLOOKUP($A95,'Data Vlaue (Cr)'!$C:$FB,63)</f>
        <v>140</v>
      </c>
      <c r="N95" s="51">
        <f>VLOOKUP($A95,'Data Vlaue (Cr)'!$C:$FB,64)</f>
        <v>72</v>
      </c>
      <c r="O95" s="51">
        <f>VLOOKUP($A95,'Data Vlaue (Cr)'!$C:$FB,66)*100</f>
        <v>95.13000000000001</v>
      </c>
    </row>
    <row r="96" spans="1:15" x14ac:dyDescent="0.25">
      <c r="A96" s="101" t="str">
        <f>'Data Vlaue (Cr)'!C91</f>
        <v>IDEA</v>
      </c>
      <c r="B96" s="50">
        <f>VLOOKUP($A96,'Data Vlaue (Cr)'!$C:$FB,8)</f>
        <v>10.52</v>
      </c>
      <c r="C96" s="50">
        <f>VLOOKUP($A96,'Data Vlaue (Cr)'!$C:$FB,11)*100</f>
        <v>2.94</v>
      </c>
      <c r="D96" s="50">
        <f>VLOOKUP($A96,'Data Vlaue (Cr)'!$C:$FB,143)</f>
        <v>6146.92</v>
      </c>
      <c r="E96" s="50">
        <f>VLOOKUP($A96,'Data Vlaue (Cr)'!$C:$FB,144)</f>
        <v>2366.29</v>
      </c>
      <c r="F96" s="50">
        <f>VLOOKUP($A96,'Data Vlaue (Cr)'!$C:$FB,146)*100</f>
        <v>159.76999999999998</v>
      </c>
      <c r="G96" s="49">
        <f>VLOOKUP($A96,'Data Vlaue (Cr)'!$C:$FB,43)</f>
        <v>1692</v>
      </c>
      <c r="H96" s="49">
        <f>VLOOKUP($A96,'Data Vlaue (Cr)'!$C:$FB,44)</f>
        <v>446</v>
      </c>
      <c r="I96" s="49">
        <f>VLOOKUP($A96,'Data Vlaue (Cr)'!$C:$FB,46)*100</f>
        <v>279.55</v>
      </c>
      <c r="J96" s="51">
        <f>VLOOKUP($A96,'Data Vlaue (Cr)'!$C:$FB,59)</f>
        <v>3202</v>
      </c>
      <c r="K96" s="51">
        <f>VLOOKUP($A96,'Data Vlaue (Cr)'!$C:$FB,60)</f>
        <v>1401</v>
      </c>
      <c r="L96" s="51">
        <f>VLOOKUP($A96,'Data Vlaue (Cr)'!$C:$FB,62)*100</f>
        <v>128.55000000000001</v>
      </c>
      <c r="M96" s="51">
        <f>VLOOKUP($A96,'Data Vlaue (Cr)'!$C:$FB,63)</f>
        <v>772</v>
      </c>
      <c r="N96" s="51">
        <f>VLOOKUP($A96,'Data Vlaue (Cr)'!$C:$FB,64)</f>
        <v>410</v>
      </c>
      <c r="O96" s="51">
        <f>VLOOKUP($A96,'Data Vlaue (Cr)'!$C:$FB,66)*100</f>
        <v>88.25</v>
      </c>
    </row>
    <row r="97" spans="1:15" x14ac:dyDescent="0.25">
      <c r="A97" s="101" t="str">
        <f>'Data Vlaue (Cr)'!C92</f>
        <v>IDFCFIRSTB</v>
      </c>
      <c r="B97" s="50">
        <f>VLOOKUP($A97,'Data Vlaue (Cr)'!$C:$FB,8)</f>
        <v>69.59</v>
      </c>
      <c r="C97" s="50">
        <f>VLOOKUP($A97,'Data Vlaue (Cr)'!$C:$FB,11)*100</f>
        <v>-6.9999999999999993E-2</v>
      </c>
      <c r="D97" s="50">
        <f>VLOOKUP($A97,'Data Vlaue (Cr)'!$C:$FB,143)</f>
        <v>1155.46</v>
      </c>
      <c r="E97" s="50">
        <f>VLOOKUP($A97,'Data Vlaue (Cr)'!$C:$FB,144)</f>
        <v>1256.8599999999999</v>
      </c>
      <c r="F97" s="50">
        <f>VLOOKUP($A97,'Data Vlaue (Cr)'!$C:$FB,146)*100</f>
        <v>-8.07</v>
      </c>
      <c r="G97" s="49">
        <f>VLOOKUP($A97,'Data Vlaue (Cr)'!$C:$FB,43)</f>
        <v>242</v>
      </c>
      <c r="H97" s="49">
        <f>VLOOKUP($A97,'Data Vlaue (Cr)'!$C:$FB,44)</f>
        <v>342</v>
      </c>
      <c r="I97" s="49">
        <f>VLOOKUP($A97,'Data Vlaue (Cr)'!$C:$FB,46)*100</f>
        <v>-29.299999999999997</v>
      </c>
      <c r="J97" s="51">
        <f>VLOOKUP($A97,'Data Vlaue (Cr)'!$C:$FB,59)</f>
        <v>469</v>
      </c>
      <c r="K97" s="51">
        <f>VLOOKUP($A97,'Data Vlaue (Cr)'!$C:$FB,60)</f>
        <v>514</v>
      </c>
      <c r="L97" s="51">
        <f>VLOOKUP($A97,'Data Vlaue (Cr)'!$C:$FB,62)*100</f>
        <v>-8.76</v>
      </c>
      <c r="M97" s="51">
        <f>VLOOKUP($A97,'Data Vlaue (Cr)'!$C:$FB,63)</f>
        <v>423</v>
      </c>
      <c r="N97" s="51">
        <f>VLOOKUP($A97,'Data Vlaue (Cr)'!$C:$FB,64)</f>
        <v>371</v>
      </c>
      <c r="O97" s="51">
        <f>VLOOKUP($A97,'Data Vlaue (Cr)'!$C:$FB,66)*100</f>
        <v>14.099999999999998</v>
      </c>
    </row>
    <row r="98" spans="1:15" x14ac:dyDescent="0.25">
      <c r="A98" s="101" t="str">
        <f>'Data Vlaue (Cr)'!C93</f>
        <v>IEX</v>
      </c>
      <c r="B98" s="50">
        <f>VLOOKUP($A98,'Data Vlaue (Cr)'!$C:$FB,8)</f>
        <v>126.97</v>
      </c>
      <c r="C98" s="50">
        <f>VLOOKUP($A98,'Data Vlaue (Cr)'!$C:$FB,11)*100</f>
        <v>1.4200000000000002</v>
      </c>
      <c r="D98" s="50">
        <f>VLOOKUP($A98,'Data Vlaue (Cr)'!$C:$FB,143)</f>
        <v>707.5</v>
      </c>
      <c r="E98" s="50">
        <f>VLOOKUP($A98,'Data Vlaue (Cr)'!$C:$FB,144)</f>
        <v>522.54</v>
      </c>
      <c r="F98" s="50">
        <f>VLOOKUP($A98,'Data Vlaue (Cr)'!$C:$FB,146)*100</f>
        <v>35.4</v>
      </c>
      <c r="G98" s="49">
        <f>VLOOKUP($A98,'Data Vlaue (Cr)'!$C:$FB,43)</f>
        <v>107</v>
      </c>
      <c r="H98" s="49">
        <f>VLOOKUP($A98,'Data Vlaue (Cr)'!$C:$FB,44)</f>
        <v>70</v>
      </c>
      <c r="I98" s="49">
        <f>VLOOKUP($A98,'Data Vlaue (Cr)'!$C:$FB,46)*100</f>
        <v>51.739999999999995</v>
      </c>
      <c r="J98" s="51">
        <f>VLOOKUP($A98,'Data Vlaue (Cr)'!$C:$FB,59)</f>
        <v>393</v>
      </c>
      <c r="K98" s="51">
        <f>VLOOKUP($A98,'Data Vlaue (Cr)'!$C:$FB,60)</f>
        <v>320</v>
      </c>
      <c r="L98" s="51">
        <f>VLOOKUP($A98,'Data Vlaue (Cr)'!$C:$FB,62)*100</f>
        <v>22.97</v>
      </c>
      <c r="M98" s="51">
        <f>VLOOKUP($A98,'Data Vlaue (Cr)'!$C:$FB,63)</f>
        <v>179</v>
      </c>
      <c r="N98" s="51">
        <f>VLOOKUP($A98,'Data Vlaue (Cr)'!$C:$FB,64)</f>
        <v>113</v>
      </c>
      <c r="O98" s="51">
        <f>VLOOKUP($A98,'Data Vlaue (Cr)'!$C:$FB,66)*100</f>
        <v>57.989999999999995</v>
      </c>
    </row>
    <row r="99" spans="1:15" x14ac:dyDescent="0.25">
      <c r="A99" s="101" t="str">
        <f>'Data Vlaue (Cr)'!C94</f>
        <v>INDHOTEL</v>
      </c>
      <c r="B99" s="50">
        <f>VLOOKUP($A99,'Data Vlaue (Cr)'!$C:$FB,8)</f>
        <v>643.70000000000005</v>
      </c>
      <c r="C99" s="50">
        <f>VLOOKUP($A99,'Data Vlaue (Cr)'!$C:$FB,11)*100</f>
        <v>1.23</v>
      </c>
      <c r="D99" s="50">
        <f>VLOOKUP($A99,'Data Vlaue (Cr)'!$C:$FB,143)</f>
        <v>483.08</v>
      </c>
      <c r="E99" s="50">
        <f>VLOOKUP($A99,'Data Vlaue (Cr)'!$C:$FB,144)</f>
        <v>740.49</v>
      </c>
      <c r="F99" s="50">
        <f>VLOOKUP($A99,'Data Vlaue (Cr)'!$C:$FB,146)*100</f>
        <v>-34.760000000000005</v>
      </c>
      <c r="G99" s="49">
        <f>VLOOKUP($A99,'Data Vlaue (Cr)'!$C:$FB,43)</f>
        <v>130</v>
      </c>
      <c r="H99" s="49">
        <f>VLOOKUP($A99,'Data Vlaue (Cr)'!$C:$FB,44)</f>
        <v>142</v>
      </c>
      <c r="I99" s="49">
        <f>VLOOKUP($A99,'Data Vlaue (Cr)'!$C:$FB,46)*100</f>
        <v>-8.5599999999999987</v>
      </c>
      <c r="J99" s="51">
        <f>VLOOKUP($A99,'Data Vlaue (Cr)'!$C:$FB,59)</f>
        <v>199</v>
      </c>
      <c r="K99" s="51">
        <f>VLOOKUP($A99,'Data Vlaue (Cr)'!$C:$FB,60)</f>
        <v>325</v>
      </c>
      <c r="L99" s="51">
        <f>VLOOKUP($A99,'Data Vlaue (Cr)'!$C:$FB,62)*100</f>
        <v>-38.68</v>
      </c>
      <c r="M99" s="51">
        <f>VLOOKUP($A99,'Data Vlaue (Cr)'!$C:$FB,63)</f>
        <v>145</v>
      </c>
      <c r="N99" s="51">
        <f>VLOOKUP($A99,'Data Vlaue (Cr)'!$C:$FB,64)</f>
        <v>267</v>
      </c>
      <c r="O99" s="51">
        <f>VLOOKUP($A99,'Data Vlaue (Cr)'!$C:$FB,66)*100</f>
        <v>-45.53</v>
      </c>
    </row>
    <row r="100" spans="1:15" x14ac:dyDescent="0.25">
      <c r="A100" s="101" t="str">
        <f>'Data Vlaue (Cr)'!C95</f>
        <v>INDIANB</v>
      </c>
      <c r="B100" s="50">
        <f>VLOOKUP($A100,'Data Vlaue (Cr)'!$C:$FB,8)</f>
        <v>830.35</v>
      </c>
      <c r="C100" s="50">
        <f>VLOOKUP($A100,'Data Vlaue (Cr)'!$C:$FB,11)*100</f>
        <v>-2.52</v>
      </c>
      <c r="D100" s="50">
        <f>VLOOKUP($A100,'Data Vlaue (Cr)'!$C:$FB,143)</f>
        <v>1275.6500000000001</v>
      </c>
      <c r="E100" s="50">
        <f>VLOOKUP($A100,'Data Vlaue (Cr)'!$C:$FB,144)</f>
        <v>4719.55</v>
      </c>
      <c r="F100" s="50">
        <f>VLOOKUP($A100,'Data Vlaue (Cr)'!$C:$FB,146)*100</f>
        <v>-72.97</v>
      </c>
      <c r="G100" s="49">
        <f>VLOOKUP($A100,'Data Vlaue (Cr)'!$C:$FB,43)</f>
        <v>247</v>
      </c>
      <c r="H100" s="49">
        <f>VLOOKUP($A100,'Data Vlaue (Cr)'!$C:$FB,44)</f>
        <v>750</v>
      </c>
      <c r="I100" s="49">
        <f>VLOOKUP($A100,'Data Vlaue (Cr)'!$C:$FB,46)*100</f>
        <v>-67.02</v>
      </c>
      <c r="J100" s="51">
        <f>VLOOKUP($A100,'Data Vlaue (Cr)'!$C:$FB,59)</f>
        <v>686</v>
      </c>
      <c r="K100" s="51">
        <f>VLOOKUP($A100,'Data Vlaue (Cr)'!$C:$FB,60)</f>
        <v>2212</v>
      </c>
      <c r="L100" s="51">
        <f>VLOOKUP($A100,'Data Vlaue (Cr)'!$C:$FB,62)*100</f>
        <v>-68.97999999999999</v>
      </c>
      <c r="M100" s="51">
        <f>VLOOKUP($A100,'Data Vlaue (Cr)'!$C:$FB,63)</f>
        <v>272</v>
      </c>
      <c r="N100" s="51">
        <f>VLOOKUP($A100,'Data Vlaue (Cr)'!$C:$FB,64)</f>
        <v>1513</v>
      </c>
      <c r="O100" s="51">
        <f>VLOOKUP($A100,'Data Vlaue (Cr)'!$C:$FB,66)*100</f>
        <v>-81.99</v>
      </c>
    </row>
    <row r="101" spans="1:15" x14ac:dyDescent="0.25">
      <c r="A101" s="101" t="str">
        <f>'Data Vlaue (Cr)'!C96</f>
        <v>INDIAVIX</v>
      </c>
      <c r="B101" s="50">
        <f>VLOOKUP($A101,'Data Vlaue (Cr)'!$C:$FB,8)</f>
        <v>18.3</v>
      </c>
      <c r="C101" s="50">
        <f>VLOOKUP($A101,'Data Vlaue (Cr)'!$C:$FB,11)*100</f>
        <v>-0.86999999999999988</v>
      </c>
      <c r="D101" s="50">
        <f>VLOOKUP($A101,'Data Vlaue (Cr)'!$C:$FB,143)</f>
        <v>0</v>
      </c>
      <c r="E101" s="50">
        <f>VLOOKUP($A101,'Data Vlaue (Cr)'!$C:$FB,144)</f>
        <v>0</v>
      </c>
      <c r="F101" s="50">
        <f>VLOOKUP($A101,'Data Vlaue (Cr)'!$C:$FB,146)*100</f>
        <v>0</v>
      </c>
      <c r="G101" s="49">
        <f>VLOOKUP($A101,'Data Vlaue (Cr)'!$C:$FB,43)</f>
        <v>0</v>
      </c>
      <c r="H101" s="49">
        <f>VLOOKUP($A101,'Data Vlaue (Cr)'!$C:$FB,44)</f>
        <v>0</v>
      </c>
      <c r="I101" s="49">
        <f>VLOOKUP($A101,'Data Vlaue (Cr)'!$C:$FB,46)*100</f>
        <v>0</v>
      </c>
      <c r="J101" s="51">
        <f>VLOOKUP($A101,'Data Vlaue (Cr)'!$C:$FB,59)</f>
        <v>0</v>
      </c>
      <c r="K101" s="51">
        <f>VLOOKUP($A101,'Data Vlaue (Cr)'!$C:$FB,60)</f>
        <v>0</v>
      </c>
      <c r="L101" s="51">
        <f>VLOOKUP($A101,'Data Vlaue (Cr)'!$C:$FB,62)*100</f>
        <v>0</v>
      </c>
      <c r="M101" s="51">
        <f>VLOOKUP($A101,'Data Vlaue (Cr)'!$C:$FB,63)</f>
        <v>0</v>
      </c>
      <c r="N101" s="51">
        <f>VLOOKUP($A101,'Data Vlaue (Cr)'!$C:$FB,64)</f>
        <v>0</v>
      </c>
      <c r="O101" s="51">
        <f>VLOOKUP($A101,'Data Vlaue (Cr)'!$C:$FB,66)*100</f>
        <v>0</v>
      </c>
    </row>
    <row r="102" spans="1:15" x14ac:dyDescent="0.25">
      <c r="A102" s="101" t="str">
        <f>'Data Vlaue (Cr)'!C97</f>
        <v>INDIGO</v>
      </c>
      <c r="B102" s="50">
        <f>VLOOKUP($A102,'Data Vlaue (Cr)'!$C:$FB,8)</f>
        <v>4262.3999999999996</v>
      </c>
      <c r="C102" s="50">
        <f>VLOOKUP($A102,'Data Vlaue (Cr)'!$C:$FB,11)*100</f>
        <v>-0.77</v>
      </c>
      <c r="D102" s="50">
        <f>VLOOKUP($A102,'Data Vlaue (Cr)'!$C:$FB,143)</f>
        <v>3372.36</v>
      </c>
      <c r="E102" s="50">
        <f>VLOOKUP($A102,'Data Vlaue (Cr)'!$C:$FB,144)</f>
        <v>4380.8900000000003</v>
      </c>
      <c r="F102" s="50">
        <f>VLOOKUP($A102,'Data Vlaue (Cr)'!$C:$FB,146)*100</f>
        <v>-23.02</v>
      </c>
      <c r="G102" s="49">
        <f>VLOOKUP($A102,'Data Vlaue (Cr)'!$C:$FB,43)</f>
        <v>605</v>
      </c>
      <c r="H102" s="49">
        <f>VLOOKUP($A102,'Data Vlaue (Cr)'!$C:$FB,44)</f>
        <v>781</v>
      </c>
      <c r="I102" s="49">
        <f>VLOOKUP($A102,'Data Vlaue (Cr)'!$C:$FB,46)*100</f>
        <v>-22.62</v>
      </c>
      <c r="J102" s="51">
        <f>VLOOKUP($A102,'Data Vlaue (Cr)'!$C:$FB,59)</f>
        <v>1516</v>
      </c>
      <c r="K102" s="51">
        <f>VLOOKUP($A102,'Data Vlaue (Cr)'!$C:$FB,60)</f>
        <v>1580</v>
      </c>
      <c r="L102" s="51">
        <f>VLOOKUP($A102,'Data Vlaue (Cr)'!$C:$FB,62)*100</f>
        <v>-4.0599999999999996</v>
      </c>
      <c r="M102" s="51">
        <f>VLOOKUP($A102,'Data Vlaue (Cr)'!$C:$FB,63)</f>
        <v>1120</v>
      </c>
      <c r="N102" s="51">
        <f>VLOOKUP($A102,'Data Vlaue (Cr)'!$C:$FB,64)</f>
        <v>1898</v>
      </c>
      <c r="O102" s="51">
        <f>VLOOKUP($A102,'Data Vlaue (Cr)'!$C:$FB,66)*100</f>
        <v>-40.99</v>
      </c>
    </row>
    <row r="103" spans="1:15" x14ac:dyDescent="0.25">
      <c r="A103" s="101" t="str">
        <f>'Data Vlaue (Cr)'!C98</f>
        <v>INDUSINDBK</v>
      </c>
      <c r="B103" s="50">
        <f>VLOOKUP($A103,'Data Vlaue (Cr)'!$C:$FB,8)</f>
        <v>913.9</v>
      </c>
      <c r="C103" s="50">
        <f>VLOOKUP($A103,'Data Vlaue (Cr)'!$C:$FB,11)*100</f>
        <v>-0.22999999999999998</v>
      </c>
      <c r="D103" s="50">
        <f>VLOOKUP($A103,'Data Vlaue (Cr)'!$C:$FB,143)</f>
        <v>1846.36</v>
      </c>
      <c r="E103" s="50">
        <f>VLOOKUP($A103,'Data Vlaue (Cr)'!$C:$FB,144)</f>
        <v>2018.04</v>
      </c>
      <c r="F103" s="50">
        <f>VLOOKUP($A103,'Data Vlaue (Cr)'!$C:$FB,146)*100</f>
        <v>-8.51</v>
      </c>
      <c r="G103" s="49">
        <f>VLOOKUP($A103,'Data Vlaue (Cr)'!$C:$FB,43)</f>
        <v>392</v>
      </c>
      <c r="H103" s="49">
        <f>VLOOKUP($A103,'Data Vlaue (Cr)'!$C:$FB,44)</f>
        <v>401</v>
      </c>
      <c r="I103" s="49">
        <f>VLOOKUP($A103,'Data Vlaue (Cr)'!$C:$FB,46)*100</f>
        <v>-2.25</v>
      </c>
      <c r="J103" s="51">
        <f>VLOOKUP($A103,'Data Vlaue (Cr)'!$C:$FB,59)</f>
        <v>761</v>
      </c>
      <c r="K103" s="51">
        <f>VLOOKUP($A103,'Data Vlaue (Cr)'!$C:$FB,60)</f>
        <v>847</v>
      </c>
      <c r="L103" s="51">
        <f>VLOOKUP($A103,'Data Vlaue (Cr)'!$C:$FB,62)*100</f>
        <v>-10.16</v>
      </c>
      <c r="M103" s="51">
        <f>VLOOKUP($A103,'Data Vlaue (Cr)'!$C:$FB,63)</f>
        <v>648</v>
      </c>
      <c r="N103" s="51">
        <f>VLOOKUP($A103,'Data Vlaue (Cr)'!$C:$FB,64)</f>
        <v>751</v>
      </c>
      <c r="O103" s="51">
        <f>VLOOKUP($A103,'Data Vlaue (Cr)'!$C:$FB,66)*100</f>
        <v>-13.71</v>
      </c>
    </row>
    <row r="104" spans="1:15" x14ac:dyDescent="0.25">
      <c r="A104" s="101" t="str">
        <f>'Data Vlaue (Cr)'!C99</f>
        <v>INDUSTOWER</v>
      </c>
      <c r="B104" s="50">
        <f>VLOOKUP($A104,'Data Vlaue (Cr)'!$C:$FB,8)</f>
        <v>400.25</v>
      </c>
      <c r="C104" s="50">
        <f>VLOOKUP($A104,'Data Vlaue (Cr)'!$C:$FB,11)*100</f>
        <v>-2.37</v>
      </c>
      <c r="D104" s="50">
        <f>VLOOKUP($A104,'Data Vlaue (Cr)'!$C:$FB,143)</f>
        <v>5978.95</v>
      </c>
      <c r="E104" s="50">
        <f>VLOOKUP($A104,'Data Vlaue (Cr)'!$C:$FB,144)</f>
        <v>1790.96</v>
      </c>
      <c r="F104" s="50">
        <f>VLOOKUP($A104,'Data Vlaue (Cr)'!$C:$FB,146)*100</f>
        <v>233.84</v>
      </c>
      <c r="G104" s="49">
        <f>VLOOKUP($A104,'Data Vlaue (Cr)'!$C:$FB,43)</f>
        <v>996</v>
      </c>
      <c r="H104" s="49">
        <f>VLOOKUP($A104,'Data Vlaue (Cr)'!$C:$FB,44)</f>
        <v>310</v>
      </c>
      <c r="I104" s="49">
        <f>VLOOKUP($A104,'Data Vlaue (Cr)'!$C:$FB,46)*100</f>
        <v>221.51999999999998</v>
      </c>
      <c r="J104" s="51">
        <f>VLOOKUP($A104,'Data Vlaue (Cr)'!$C:$FB,59)</f>
        <v>3230</v>
      </c>
      <c r="K104" s="51">
        <f>VLOOKUP($A104,'Data Vlaue (Cr)'!$C:$FB,60)</f>
        <v>878</v>
      </c>
      <c r="L104" s="51">
        <f>VLOOKUP($A104,'Data Vlaue (Cr)'!$C:$FB,62)*100</f>
        <v>268.02999999999997</v>
      </c>
      <c r="M104" s="51">
        <f>VLOOKUP($A104,'Data Vlaue (Cr)'!$C:$FB,63)</f>
        <v>1543</v>
      </c>
      <c r="N104" s="51">
        <f>VLOOKUP($A104,'Data Vlaue (Cr)'!$C:$FB,64)</f>
        <v>504</v>
      </c>
      <c r="O104" s="51">
        <f>VLOOKUP($A104,'Data Vlaue (Cr)'!$C:$FB,66)*100</f>
        <v>205.97</v>
      </c>
    </row>
    <row r="105" spans="1:15" x14ac:dyDescent="0.25">
      <c r="A105" s="101" t="str">
        <f>'Data Vlaue (Cr)'!C100</f>
        <v>INFY</v>
      </c>
      <c r="B105" s="50">
        <f>VLOOKUP($A105,'Data Vlaue (Cr)'!$C:$FB,8)</f>
        <v>1168.4000000000001</v>
      </c>
      <c r="C105" s="50">
        <f>VLOOKUP($A105,'Data Vlaue (Cr)'!$C:$FB,11)*100</f>
        <v>-1.1299999999999999</v>
      </c>
      <c r="D105" s="50">
        <f>VLOOKUP($A105,'Data Vlaue (Cr)'!$C:$FB,143)</f>
        <v>4571.21</v>
      </c>
      <c r="E105" s="50">
        <f>VLOOKUP($A105,'Data Vlaue (Cr)'!$C:$FB,144)</f>
        <v>6957.08</v>
      </c>
      <c r="F105" s="50">
        <f>VLOOKUP($A105,'Data Vlaue (Cr)'!$C:$FB,146)*100</f>
        <v>-34.29</v>
      </c>
      <c r="G105" s="49">
        <f>VLOOKUP($A105,'Data Vlaue (Cr)'!$C:$FB,43)</f>
        <v>714</v>
      </c>
      <c r="H105" s="49">
        <f>VLOOKUP($A105,'Data Vlaue (Cr)'!$C:$FB,44)</f>
        <v>1141</v>
      </c>
      <c r="I105" s="49">
        <f>VLOOKUP($A105,'Data Vlaue (Cr)'!$C:$FB,46)*100</f>
        <v>-37.419999999999995</v>
      </c>
      <c r="J105" s="51">
        <f>VLOOKUP($A105,'Data Vlaue (Cr)'!$C:$FB,59)</f>
        <v>2402</v>
      </c>
      <c r="K105" s="51">
        <f>VLOOKUP($A105,'Data Vlaue (Cr)'!$C:$FB,60)</f>
        <v>3592</v>
      </c>
      <c r="L105" s="51">
        <f>VLOOKUP($A105,'Data Vlaue (Cr)'!$C:$FB,62)*100</f>
        <v>-33.129999999999995</v>
      </c>
      <c r="M105" s="51">
        <f>VLOOKUP($A105,'Data Vlaue (Cr)'!$C:$FB,63)</f>
        <v>1266</v>
      </c>
      <c r="N105" s="51">
        <f>VLOOKUP($A105,'Data Vlaue (Cr)'!$C:$FB,64)</f>
        <v>1977</v>
      </c>
      <c r="O105" s="51">
        <f>VLOOKUP($A105,'Data Vlaue (Cr)'!$C:$FB,66)*100</f>
        <v>-35.94</v>
      </c>
    </row>
    <row r="106" spans="1:15" x14ac:dyDescent="0.25">
      <c r="A106" s="101" t="str">
        <f>'Data Vlaue (Cr)'!C101</f>
        <v>INOXWIND</v>
      </c>
      <c r="B106" s="50">
        <f>VLOOKUP($A106,'Data Vlaue (Cr)'!$C:$FB,8)</f>
        <v>103.38</v>
      </c>
      <c r="C106" s="50">
        <f>VLOOKUP($A106,'Data Vlaue (Cr)'!$C:$FB,11)*100</f>
        <v>2.41</v>
      </c>
      <c r="D106" s="50">
        <f>VLOOKUP($A106,'Data Vlaue (Cr)'!$C:$FB,143)</f>
        <v>697.4</v>
      </c>
      <c r="E106" s="50">
        <f>VLOOKUP($A106,'Data Vlaue (Cr)'!$C:$FB,144)</f>
        <v>414.56</v>
      </c>
      <c r="F106" s="50">
        <f>VLOOKUP($A106,'Data Vlaue (Cr)'!$C:$FB,146)*100</f>
        <v>68.22</v>
      </c>
      <c r="G106" s="49">
        <f>VLOOKUP($A106,'Data Vlaue (Cr)'!$C:$FB,43)</f>
        <v>316</v>
      </c>
      <c r="H106" s="49">
        <f>VLOOKUP($A106,'Data Vlaue (Cr)'!$C:$FB,44)</f>
        <v>207</v>
      </c>
      <c r="I106" s="49">
        <f>VLOOKUP($A106,'Data Vlaue (Cr)'!$C:$FB,46)*100</f>
        <v>52.44</v>
      </c>
      <c r="J106" s="51">
        <f>VLOOKUP($A106,'Data Vlaue (Cr)'!$C:$FB,59)</f>
        <v>274</v>
      </c>
      <c r="K106" s="51">
        <f>VLOOKUP($A106,'Data Vlaue (Cr)'!$C:$FB,60)</f>
        <v>137</v>
      </c>
      <c r="L106" s="51">
        <f>VLOOKUP($A106,'Data Vlaue (Cr)'!$C:$FB,62)*100</f>
        <v>99.49</v>
      </c>
      <c r="M106" s="51">
        <f>VLOOKUP($A106,'Data Vlaue (Cr)'!$C:$FB,63)</f>
        <v>101</v>
      </c>
      <c r="N106" s="51">
        <f>VLOOKUP($A106,'Data Vlaue (Cr)'!$C:$FB,64)</f>
        <v>67</v>
      </c>
      <c r="O106" s="51">
        <f>VLOOKUP($A106,'Data Vlaue (Cr)'!$C:$FB,66)*100</f>
        <v>51.89</v>
      </c>
    </row>
    <row r="107" spans="1:15" x14ac:dyDescent="0.25">
      <c r="A107" s="101" t="str">
        <f>'Data Vlaue (Cr)'!C102</f>
        <v>IOC</v>
      </c>
      <c r="B107" s="50">
        <f>VLOOKUP($A107,'Data Vlaue (Cr)'!$C:$FB,8)</f>
        <v>142.26</v>
      </c>
      <c r="C107" s="50">
        <f>VLOOKUP($A107,'Data Vlaue (Cr)'!$C:$FB,11)*100</f>
        <v>0.01</v>
      </c>
      <c r="D107" s="50">
        <f>VLOOKUP($A107,'Data Vlaue (Cr)'!$C:$FB,143)</f>
        <v>671.17</v>
      </c>
      <c r="E107" s="50">
        <f>VLOOKUP($A107,'Data Vlaue (Cr)'!$C:$FB,144)</f>
        <v>1035.9100000000001</v>
      </c>
      <c r="F107" s="50">
        <f>VLOOKUP($A107,'Data Vlaue (Cr)'!$C:$FB,146)*100</f>
        <v>-35.21</v>
      </c>
      <c r="G107" s="49">
        <f>VLOOKUP($A107,'Data Vlaue (Cr)'!$C:$FB,43)</f>
        <v>124</v>
      </c>
      <c r="H107" s="49">
        <f>VLOOKUP($A107,'Data Vlaue (Cr)'!$C:$FB,44)</f>
        <v>298</v>
      </c>
      <c r="I107" s="49">
        <f>VLOOKUP($A107,'Data Vlaue (Cr)'!$C:$FB,46)*100</f>
        <v>-58.56</v>
      </c>
      <c r="J107" s="51">
        <f>VLOOKUP($A107,'Data Vlaue (Cr)'!$C:$FB,59)</f>
        <v>335</v>
      </c>
      <c r="K107" s="51">
        <f>VLOOKUP($A107,'Data Vlaue (Cr)'!$C:$FB,60)</f>
        <v>415</v>
      </c>
      <c r="L107" s="51">
        <f>VLOOKUP($A107,'Data Vlaue (Cr)'!$C:$FB,62)*100</f>
        <v>-19.309999999999999</v>
      </c>
      <c r="M107" s="51">
        <f>VLOOKUP($A107,'Data Vlaue (Cr)'!$C:$FB,63)</f>
        <v>186</v>
      </c>
      <c r="N107" s="51">
        <f>VLOOKUP($A107,'Data Vlaue (Cr)'!$C:$FB,64)</f>
        <v>294</v>
      </c>
      <c r="O107" s="51">
        <f>VLOOKUP($A107,'Data Vlaue (Cr)'!$C:$FB,66)*100</f>
        <v>-36.76</v>
      </c>
    </row>
    <row r="108" spans="1:15" x14ac:dyDescent="0.25">
      <c r="A108" s="101" t="str">
        <f>'Data Vlaue (Cr)'!C103</f>
        <v>IREDA</v>
      </c>
      <c r="B108" s="50">
        <f>VLOOKUP($A108,'Data Vlaue (Cr)'!$C:$FB,8)</f>
        <v>135.36000000000001</v>
      </c>
      <c r="C108" s="50">
        <f>VLOOKUP($A108,'Data Vlaue (Cr)'!$C:$FB,11)*100</f>
        <v>0.19</v>
      </c>
      <c r="D108" s="50">
        <f>VLOOKUP($A108,'Data Vlaue (Cr)'!$C:$FB,143)</f>
        <v>274.04000000000002</v>
      </c>
      <c r="E108" s="50">
        <f>VLOOKUP($A108,'Data Vlaue (Cr)'!$C:$FB,144)</f>
        <v>301.06</v>
      </c>
      <c r="F108" s="50">
        <f>VLOOKUP($A108,'Data Vlaue (Cr)'!$C:$FB,146)*100</f>
        <v>-8.98</v>
      </c>
      <c r="G108" s="49">
        <f>VLOOKUP($A108,'Data Vlaue (Cr)'!$C:$FB,43)</f>
        <v>80</v>
      </c>
      <c r="H108" s="49">
        <f>VLOOKUP($A108,'Data Vlaue (Cr)'!$C:$FB,44)</f>
        <v>82</v>
      </c>
      <c r="I108" s="49">
        <f>VLOOKUP($A108,'Data Vlaue (Cr)'!$C:$FB,46)*100</f>
        <v>-2.34</v>
      </c>
      <c r="J108" s="51">
        <f>VLOOKUP($A108,'Data Vlaue (Cr)'!$C:$FB,59)</f>
        <v>129</v>
      </c>
      <c r="K108" s="51">
        <f>VLOOKUP($A108,'Data Vlaue (Cr)'!$C:$FB,60)</f>
        <v>150</v>
      </c>
      <c r="L108" s="51">
        <f>VLOOKUP($A108,'Data Vlaue (Cr)'!$C:$FB,62)*100</f>
        <v>-13.819999999999999</v>
      </c>
      <c r="M108" s="51">
        <f>VLOOKUP($A108,'Data Vlaue (Cr)'!$C:$FB,63)</f>
        <v>54</v>
      </c>
      <c r="N108" s="51">
        <f>VLOOKUP($A108,'Data Vlaue (Cr)'!$C:$FB,64)</f>
        <v>57</v>
      </c>
      <c r="O108" s="51">
        <f>VLOOKUP($A108,'Data Vlaue (Cr)'!$C:$FB,66)*100</f>
        <v>-5.43</v>
      </c>
    </row>
    <row r="109" spans="1:15" x14ac:dyDescent="0.25">
      <c r="A109" s="101" t="str">
        <f>'Data Vlaue (Cr)'!C104</f>
        <v>IRFC</v>
      </c>
      <c r="B109" s="50">
        <f>VLOOKUP($A109,'Data Vlaue (Cr)'!$C:$FB,8)</f>
        <v>104.41</v>
      </c>
      <c r="C109" s="50">
        <f>VLOOKUP($A109,'Data Vlaue (Cr)'!$C:$FB,11)*100</f>
        <v>0.19</v>
      </c>
      <c r="D109" s="50">
        <f>VLOOKUP($A109,'Data Vlaue (Cr)'!$C:$FB,143)</f>
        <v>271.73</v>
      </c>
      <c r="E109" s="50">
        <f>VLOOKUP($A109,'Data Vlaue (Cr)'!$C:$FB,144)</f>
        <v>281.76</v>
      </c>
      <c r="F109" s="50">
        <f>VLOOKUP($A109,'Data Vlaue (Cr)'!$C:$FB,146)*100</f>
        <v>-3.56</v>
      </c>
      <c r="G109" s="49">
        <f>VLOOKUP($A109,'Data Vlaue (Cr)'!$C:$FB,43)</f>
        <v>56</v>
      </c>
      <c r="H109" s="49">
        <f>VLOOKUP($A109,'Data Vlaue (Cr)'!$C:$FB,44)</f>
        <v>79</v>
      </c>
      <c r="I109" s="49">
        <f>VLOOKUP($A109,'Data Vlaue (Cr)'!$C:$FB,46)*100</f>
        <v>-28.549999999999997</v>
      </c>
      <c r="J109" s="51">
        <f>VLOOKUP($A109,'Data Vlaue (Cr)'!$C:$FB,59)</f>
        <v>137</v>
      </c>
      <c r="K109" s="51">
        <f>VLOOKUP($A109,'Data Vlaue (Cr)'!$C:$FB,60)</f>
        <v>122</v>
      </c>
      <c r="L109" s="51">
        <f>VLOOKUP($A109,'Data Vlaue (Cr)'!$C:$FB,62)*100</f>
        <v>12</v>
      </c>
      <c r="M109" s="51">
        <f>VLOOKUP($A109,'Data Vlaue (Cr)'!$C:$FB,63)</f>
        <v>71</v>
      </c>
      <c r="N109" s="51">
        <f>VLOOKUP($A109,'Data Vlaue (Cr)'!$C:$FB,64)</f>
        <v>75</v>
      </c>
      <c r="O109" s="51">
        <f>VLOOKUP($A109,'Data Vlaue (Cr)'!$C:$FB,66)*100</f>
        <v>-6.39</v>
      </c>
    </row>
    <row r="110" spans="1:15" x14ac:dyDescent="0.25">
      <c r="A110" s="101" t="str">
        <f>'Data Vlaue (Cr)'!C105</f>
        <v>ITC</v>
      </c>
      <c r="B110" s="50">
        <f>VLOOKUP($A110,'Data Vlaue (Cr)'!$C:$FB,8)</f>
        <v>311.10000000000002</v>
      </c>
      <c r="C110" s="50">
        <f>VLOOKUP($A110,'Data Vlaue (Cr)'!$C:$FB,11)*100</f>
        <v>-1.21</v>
      </c>
      <c r="D110" s="50">
        <f>VLOOKUP($A110,'Data Vlaue (Cr)'!$C:$FB,143)</f>
        <v>6755.57</v>
      </c>
      <c r="E110" s="50">
        <f>VLOOKUP($A110,'Data Vlaue (Cr)'!$C:$FB,144)</f>
        <v>5758.15</v>
      </c>
      <c r="F110" s="50">
        <f>VLOOKUP($A110,'Data Vlaue (Cr)'!$C:$FB,146)*100</f>
        <v>17.32</v>
      </c>
      <c r="G110" s="49">
        <f>VLOOKUP($A110,'Data Vlaue (Cr)'!$C:$FB,43)</f>
        <v>626</v>
      </c>
      <c r="H110" s="49">
        <f>VLOOKUP($A110,'Data Vlaue (Cr)'!$C:$FB,44)</f>
        <v>608</v>
      </c>
      <c r="I110" s="49">
        <f>VLOOKUP($A110,'Data Vlaue (Cr)'!$C:$FB,46)*100</f>
        <v>3.0300000000000002</v>
      </c>
      <c r="J110" s="51">
        <f>VLOOKUP($A110,'Data Vlaue (Cr)'!$C:$FB,59)</f>
        <v>4577</v>
      </c>
      <c r="K110" s="51">
        <f>VLOOKUP($A110,'Data Vlaue (Cr)'!$C:$FB,60)</f>
        <v>3611</v>
      </c>
      <c r="L110" s="51">
        <f>VLOOKUP($A110,'Data Vlaue (Cr)'!$C:$FB,62)*100</f>
        <v>26.75</v>
      </c>
      <c r="M110" s="51">
        <f>VLOOKUP($A110,'Data Vlaue (Cr)'!$C:$FB,63)</f>
        <v>1258</v>
      </c>
      <c r="N110" s="51">
        <f>VLOOKUP($A110,'Data Vlaue (Cr)'!$C:$FB,64)</f>
        <v>1277</v>
      </c>
      <c r="O110" s="51">
        <f>VLOOKUP($A110,'Data Vlaue (Cr)'!$C:$FB,66)*100</f>
        <v>-1.48</v>
      </c>
    </row>
    <row r="111" spans="1:15" x14ac:dyDescent="0.25">
      <c r="A111" s="101" t="str">
        <f>'Data Vlaue (Cr)'!C106</f>
        <v>JINDALSTEL</v>
      </c>
      <c r="B111" s="50">
        <f>VLOOKUP($A111,'Data Vlaue (Cr)'!$C:$FB,8)</f>
        <v>1261.4000000000001</v>
      </c>
      <c r="C111" s="50">
        <f>VLOOKUP($A111,'Data Vlaue (Cr)'!$C:$FB,11)*100</f>
        <v>3.1300000000000003</v>
      </c>
      <c r="D111" s="50">
        <f>VLOOKUP($A111,'Data Vlaue (Cr)'!$C:$FB,143)</f>
        <v>3122.67</v>
      </c>
      <c r="E111" s="50">
        <f>VLOOKUP($A111,'Data Vlaue (Cr)'!$C:$FB,144)</f>
        <v>1310.76</v>
      </c>
      <c r="F111" s="50">
        <f>VLOOKUP($A111,'Data Vlaue (Cr)'!$C:$FB,146)*100</f>
        <v>138.23000000000002</v>
      </c>
      <c r="G111" s="49">
        <f>VLOOKUP($A111,'Data Vlaue (Cr)'!$C:$FB,43)</f>
        <v>621</v>
      </c>
      <c r="H111" s="49">
        <f>VLOOKUP($A111,'Data Vlaue (Cr)'!$C:$FB,44)</f>
        <v>402</v>
      </c>
      <c r="I111" s="49">
        <f>VLOOKUP($A111,'Data Vlaue (Cr)'!$C:$FB,46)*100</f>
        <v>54.52</v>
      </c>
      <c r="J111" s="51">
        <f>VLOOKUP($A111,'Data Vlaue (Cr)'!$C:$FB,59)</f>
        <v>1549</v>
      </c>
      <c r="K111" s="51">
        <f>VLOOKUP($A111,'Data Vlaue (Cr)'!$C:$FB,60)</f>
        <v>514</v>
      </c>
      <c r="L111" s="51">
        <f>VLOOKUP($A111,'Data Vlaue (Cr)'!$C:$FB,62)*100</f>
        <v>201.37</v>
      </c>
      <c r="M111" s="51">
        <f>VLOOKUP($A111,'Data Vlaue (Cr)'!$C:$FB,63)</f>
        <v>894</v>
      </c>
      <c r="N111" s="51">
        <f>VLOOKUP($A111,'Data Vlaue (Cr)'!$C:$FB,64)</f>
        <v>410</v>
      </c>
      <c r="O111" s="51">
        <f>VLOOKUP($A111,'Data Vlaue (Cr)'!$C:$FB,66)*100</f>
        <v>118.05000000000001</v>
      </c>
    </row>
    <row r="112" spans="1:15" x14ac:dyDescent="0.25">
      <c r="A112" s="101" t="str">
        <f>'Data Vlaue (Cr)'!C107</f>
        <v>JIOFIN</v>
      </c>
      <c r="B112" s="50">
        <f>VLOOKUP($A112,'Data Vlaue (Cr)'!$C:$FB,8)</f>
        <v>252.74</v>
      </c>
      <c r="C112" s="50">
        <f>VLOOKUP($A112,'Data Vlaue (Cr)'!$C:$FB,11)*100</f>
        <v>2.59</v>
      </c>
      <c r="D112" s="50">
        <f>VLOOKUP($A112,'Data Vlaue (Cr)'!$C:$FB,143)</f>
        <v>2623.83</v>
      </c>
      <c r="E112" s="50">
        <f>VLOOKUP($A112,'Data Vlaue (Cr)'!$C:$FB,144)</f>
        <v>2597.71</v>
      </c>
      <c r="F112" s="50">
        <f>VLOOKUP($A112,'Data Vlaue (Cr)'!$C:$FB,146)*100</f>
        <v>1.01</v>
      </c>
      <c r="G112" s="49">
        <f>VLOOKUP($A112,'Data Vlaue (Cr)'!$C:$FB,43)</f>
        <v>639</v>
      </c>
      <c r="H112" s="49">
        <f>VLOOKUP($A112,'Data Vlaue (Cr)'!$C:$FB,44)</f>
        <v>592</v>
      </c>
      <c r="I112" s="49">
        <f>VLOOKUP($A112,'Data Vlaue (Cr)'!$C:$FB,46)*100</f>
        <v>7.89</v>
      </c>
      <c r="J112" s="51">
        <f>VLOOKUP($A112,'Data Vlaue (Cr)'!$C:$FB,59)</f>
        <v>1312</v>
      </c>
      <c r="K112" s="51">
        <f>VLOOKUP($A112,'Data Vlaue (Cr)'!$C:$FB,60)</f>
        <v>1385</v>
      </c>
      <c r="L112" s="51">
        <f>VLOOKUP($A112,'Data Vlaue (Cr)'!$C:$FB,62)*100</f>
        <v>-5.3</v>
      </c>
      <c r="M112" s="51">
        <f>VLOOKUP($A112,'Data Vlaue (Cr)'!$C:$FB,63)</f>
        <v>628</v>
      </c>
      <c r="N112" s="51">
        <f>VLOOKUP($A112,'Data Vlaue (Cr)'!$C:$FB,64)</f>
        <v>604</v>
      </c>
      <c r="O112" s="51">
        <f>VLOOKUP($A112,'Data Vlaue (Cr)'!$C:$FB,66)*100</f>
        <v>4.0199999999999996</v>
      </c>
    </row>
    <row r="113" spans="1:15" x14ac:dyDescent="0.25">
      <c r="A113" s="101" t="str">
        <f>'Data Vlaue (Cr)'!C108</f>
        <v>JSWENERGY</v>
      </c>
      <c r="B113" s="50">
        <f>VLOOKUP($A113,'Data Vlaue (Cr)'!$C:$FB,8)</f>
        <v>562.29999999999995</v>
      </c>
      <c r="C113" s="50">
        <f>VLOOKUP($A113,'Data Vlaue (Cr)'!$C:$FB,11)*100</f>
        <v>0.2</v>
      </c>
      <c r="D113" s="50">
        <f>VLOOKUP($A113,'Data Vlaue (Cr)'!$C:$FB,143)</f>
        <v>582.5</v>
      </c>
      <c r="E113" s="50">
        <f>VLOOKUP($A113,'Data Vlaue (Cr)'!$C:$FB,144)</f>
        <v>626.21</v>
      </c>
      <c r="F113" s="50">
        <f>VLOOKUP($A113,'Data Vlaue (Cr)'!$C:$FB,146)*100</f>
        <v>-6.98</v>
      </c>
      <c r="G113" s="49">
        <f>VLOOKUP($A113,'Data Vlaue (Cr)'!$C:$FB,43)</f>
        <v>180</v>
      </c>
      <c r="H113" s="49">
        <f>VLOOKUP($A113,'Data Vlaue (Cr)'!$C:$FB,44)</f>
        <v>170</v>
      </c>
      <c r="I113" s="49">
        <f>VLOOKUP($A113,'Data Vlaue (Cr)'!$C:$FB,46)*100</f>
        <v>5.7</v>
      </c>
      <c r="J113" s="51">
        <f>VLOOKUP($A113,'Data Vlaue (Cr)'!$C:$FB,59)</f>
        <v>288</v>
      </c>
      <c r="K113" s="51">
        <f>VLOOKUP($A113,'Data Vlaue (Cr)'!$C:$FB,60)</f>
        <v>272</v>
      </c>
      <c r="L113" s="51">
        <f>VLOOKUP($A113,'Data Vlaue (Cr)'!$C:$FB,62)*100</f>
        <v>6.08</v>
      </c>
      <c r="M113" s="51">
        <f>VLOOKUP($A113,'Data Vlaue (Cr)'!$C:$FB,63)</f>
        <v>93</v>
      </c>
      <c r="N113" s="51">
        <f>VLOOKUP($A113,'Data Vlaue (Cr)'!$C:$FB,64)</f>
        <v>172</v>
      </c>
      <c r="O113" s="51">
        <f>VLOOKUP($A113,'Data Vlaue (Cr)'!$C:$FB,66)*100</f>
        <v>-45.879999999999995</v>
      </c>
    </row>
    <row r="114" spans="1:15" x14ac:dyDescent="0.25">
      <c r="A114" s="101" t="str">
        <f>'Data Vlaue (Cr)'!C109</f>
        <v>JSWSTEEL</v>
      </c>
      <c r="B114" s="50">
        <f>VLOOKUP($A114,'Data Vlaue (Cr)'!$C:$FB,8)</f>
        <v>1266.5999999999999</v>
      </c>
      <c r="C114" s="50">
        <f>VLOOKUP($A114,'Data Vlaue (Cr)'!$C:$FB,11)*100</f>
        <v>0.16999999999999998</v>
      </c>
      <c r="D114" s="50">
        <f>VLOOKUP($A114,'Data Vlaue (Cr)'!$C:$FB,143)</f>
        <v>1418.38</v>
      </c>
      <c r="E114" s="50">
        <f>VLOOKUP($A114,'Data Vlaue (Cr)'!$C:$FB,144)</f>
        <v>1101.4000000000001</v>
      </c>
      <c r="F114" s="50">
        <f>VLOOKUP($A114,'Data Vlaue (Cr)'!$C:$FB,146)*100</f>
        <v>28.78</v>
      </c>
      <c r="G114" s="49">
        <f>VLOOKUP($A114,'Data Vlaue (Cr)'!$C:$FB,43)</f>
        <v>458</v>
      </c>
      <c r="H114" s="49">
        <f>VLOOKUP($A114,'Data Vlaue (Cr)'!$C:$FB,44)</f>
        <v>261</v>
      </c>
      <c r="I114" s="49">
        <f>VLOOKUP($A114,'Data Vlaue (Cr)'!$C:$FB,46)*100</f>
        <v>75.209999999999994</v>
      </c>
      <c r="J114" s="51">
        <f>VLOOKUP($A114,'Data Vlaue (Cr)'!$C:$FB,59)</f>
        <v>575</v>
      </c>
      <c r="K114" s="51">
        <f>VLOOKUP($A114,'Data Vlaue (Cr)'!$C:$FB,60)</f>
        <v>458</v>
      </c>
      <c r="L114" s="51">
        <f>VLOOKUP($A114,'Data Vlaue (Cr)'!$C:$FB,62)*100</f>
        <v>25.490000000000002</v>
      </c>
      <c r="M114" s="51">
        <f>VLOOKUP($A114,'Data Vlaue (Cr)'!$C:$FB,63)</f>
        <v>356</v>
      </c>
      <c r="N114" s="51">
        <f>VLOOKUP($A114,'Data Vlaue (Cr)'!$C:$FB,64)</f>
        <v>371</v>
      </c>
      <c r="O114" s="51">
        <f>VLOOKUP($A114,'Data Vlaue (Cr)'!$C:$FB,66)*100</f>
        <v>-3.8699999999999997</v>
      </c>
    </row>
    <row r="115" spans="1:15" x14ac:dyDescent="0.25">
      <c r="A115" s="101" t="str">
        <f>'Data Vlaue (Cr)'!C110</f>
        <v>JUBLFOOD</v>
      </c>
      <c r="B115" s="50">
        <f>VLOOKUP($A115,'Data Vlaue (Cr)'!$C:$FB,8)</f>
        <v>476.4</v>
      </c>
      <c r="C115" s="50">
        <f>VLOOKUP($A115,'Data Vlaue (Cr)'!$C:$FB,11)*100</f>
        <v>-0.45999999999999996</v>
      </c>
      <c r="D115" s="50">
        <f>VLOOKUP($A115,'Data Vlaue (Cr)'!$C:$FB,143)</f>
        <v>393.15</v>
      </c>
      <c r="E115" s="50">
        <f>VLOOKUP($A115,'Data Vlaue (Cr)'!$C:$FB,144)</f>
        <v>375.59</v>
      </c>
      <c r="F115" s="50">
        <f>VLOOKUP($A115,'Data Vlaue (Cr)'!$C:$FB,146)*100</f>
        <v>4.67</v>
      </c>
      <c r="G115" s="49">
        <f>VLOOKUP($A115,'Data Vlaue (Cr)'!$C:$FB,43)</f>
        <v>120</v>
      </c>
      <c r="H115" s="49">
        <f>VLOOKUP($A115,'Data Vlaue (Cr)'!$C:$FB,44)</f>
        <v>154</v>
      </c>
      <c r="I115" s="49">
        <f>VLOOKUP($A115,'Data Vlaue (Cr)'!$C:$FB,46)*100</f>
        <v>-21.94</v>
      </c>
      <c r="J115" s="51">
        <f>VLOOKUP($A115,'Data Vlaue (Cr)'!$C:$FB,59)</f>
        <v>162</v>
      </c>
      <c r="K115" s="51">
        <f>VLOOKUP($A115,'Data Vlaue (Cr)'!$C:$FB,60)</f>
        <v>138</v>
      </c>
      <c r="L115" s="51">
        <f>VLOOKUP($A115,'Data Vlaue (Cr)'!$C:$FB,62)*100</f>
        <v>17.05</v>
      </c>
      <c r="M115" s="51">
        <f>VLOOKUP($A115,'Data Vlaue (Cr)'!$C:$FB,63)</f>
        <v>101</v>
      </c>
      <c r="N115" s="51">
        <f>VLOOKUP($A115,'Data Vlaue (Cr)'!$C:$FB,64)</f>
        <v>76</v>
      </c>
      <c r="O115" s="51">
        <f>VLOOKUP($A115,'Data Vlaue (Cr)'!$C:$FB,66)*100</f>
        <v>33.410000000000004</v>
      </c>
    </row>
    <row r="116" spans="1:15" x14ac:dyDescent="0.25">
      <c r="A116" s="101" t="str">
        <f>'Data Vlaue (Cr)'!C111</f>
        <v>KALYANKJIL</v>
      </c>
      <c r="B116" s="50">
        <f>VLOOKUP($A116,'Data Vlaue (Cr)'!$C:$FB,8)</f>
        <v>413.3</v>
      </c>
      <c r="C116" s="50">
        <f>VLOOKUP($A116,'Data Vlaue (Cr)'!$C:$FB,11)*100</f>
        <v>0.13</v>
      </c>
      <c r="D116" s="50">
        <f>VLOOKUP($A116,'Data Vlaue (Cr)'!$C:$FB,143)</f>
        <v>431.78</v>
      </c>
      <c r="E116" s="50">
        <f>VLOOKUP($A116,'Data Vlaue (Cr)'!$C:$FB,144)</f>
        <v>483.28</v>
      </c>
      <c r="F116" s="50">
        <f>VLOOKUP($A116,'Data Vlaue (Cr)'!$C:$FB,146)*100</f>
        <v>-10.66</v>
      </c>
      <c r="G116" s="49">
        <f>VLOOKUP($A116,'Data Vlaue (Cr)'!$C:$FB,43)</f>
        <v>91</v>
      </c>
      <c r="H116" s="49">
        <f>VLOOKUP($A116,'Data Vlaue (Cr)'!$C:$FB,44)</f>
        <v>106</v>
      </c>
      <c r="I116" s="49">
        <f>VLOOKUP($A116,'Data Vlaue (Cr)'!$C:$FB,46)*100</f>
        <v>-14.89</v>
      </c>
      <c r="J116" s="51">
        <f>VLOOKUP($A116,'Data Vlaue (Cr)'!$C:$FB,59)</f>
        <v>215</v>
      </c>
      <c r="K116" s="51">
        <f>VLOOKUP($A116,'Data Vlaue (Cr)'!$C:$FB,60)</f>
        <v>199</v>
      </c>
      <c r="L116" s="51">
        <f>VLOOKUP($A116,'Data Vlaue (Cr)'!$C:$FB,62)*100</f>
        <v>8.1100000000000012</v>
      </c>
      <c r="M116" s="51">
        <f>VLOOKUP($A116,'Data Vlaue (Cr)'!$C:$FB,63)</f>
        <v>108</v>
      </c>
      <c r="N116" s="51">
        <f>VLOOKUP($A116,'Data Vlaue (Cr)'!$C:$FB,64)</f>
        <v>165</v>
      </c>
      <c r="O116" s="51">
        <f>VLOOKUP($A116,'Data Vlaue (Cr)'!$C:$FB,66)*100</f>
        <v>-34.849999999999994</v>
      </c>
    </row>
    <row r="117" spans="1:15" x14ac:dyDescent="0.25">
      <c r="A117" s="101" t="str">
        <f>'Data Vlaue (Cr)'!C112</f>
        <v>KAYNES</v>
      </c>
      <c r="B117" s="50">
        <f>VLOOKUP($A117,'Data Vlaue (Cr)'!$C:$FB,8)</f>
        <v>4098.8999999999996</v>
      </c>
      <c r="C117" s="50">
        <f>VLOOKUP($A117,'Data Vlaue (Cr)'!$C:$FB,11)*100</f>
        <v>1.35</v>
      </c>
      <c r="D117" s="50">
        <f>VLOOKUP($A117,'Data Vlaue (Cr)'!$C:$FB,143)</f>
        <v>705.22</v>
      </c>
      <c r="E117" s="50">
        <f>VLOOKUP($A117,'Data Vlaue (Cr)'!$C:$FB,144)</f>
        <v>882.27</v>
      </c>
      <c r="F117" s="50">
        <f>VLOOKUP($A117,'Data Vlaue (Cr)'!$C:$FB,146)*100</f>
        <v>-20.07</v>
      </c>
      <c r="G117" s="49">
        <f>VLOOKUP($A117,'Data Vlaue (Cr)'!$C:$FB,43)</f>
        <v>172</v>
      </c>
      <c r="H117" s="49">
        <f>VLOOKUP($A117,'Data Vlaue (Cr)'!$C:$FB,44)</f>
        <v>265</v>
      </c>
      <c r="I117" s="49">
        <f>VLOOKUP($A117,'Data Vlaue (Cr)'!$C:$FB,46)*100</f>
        <v>-35.21</v>
      </c>
      <c r="J117" s="51">
        <f>VLOOKUP($A117,'Data Vlaue (Cr)'!$C:$FB,59)</f>
        <v>367</v>
      </c>
      <c r="K117" s="51">
        <f>VLOOKUP($A117,'Data Vlaue (Cr)'!$C:$FB,60)</f>
        <v>395</v>
      </c>
      <c r="L117" s="51">
        <f>VLOOKUP($A117,'Data Vlaue (Cr)'!$C:$FB,62)*100</f>
        <v>-7.19</v>
      </c>
      <c r="M117" s="51">
        <f>VLOOKUP($A117,'Data Vlaue (Cr)'!$C:$FB,63)</f>
        <v>140</v>
      </c>
      <c r="N117" s="51">
        <f>VLOOKUP($A117,'Data Vlaue (Cr)'!$C:$FB,64)</f>
        <v>202</v>
      </c>
      <c r="O117" s="51">
        <f>VLOOKUP($A117,'Data Vlaue (Cr)'!$C:$FB,66)*100</f>
        <v>-30.9</v>
      </c>
    </row>
    <row r="118" spans="1:15" x14ac:dyDescent="0.25">
      <c r="A118" s="101" t="str">
        <f>'Data Vlaue (Cr)'!C113</f>
        <v>KEI</v>
      </c>
      <c r="B118" s="50">
        <f>VLOOKUP($A118,'Data Vlaue (Cr)'!$C:$FB,8)</f>
        <v>5058.3</v>
      </c>
      <c r="C118" s="50">
        <f>VLOOKUP($A118,'Data Vlaue (Cr)'!$C:$FB,11)*100</f>
        <v>4.1300000000000008</v>
      </c>
      <c r="D118" s="50">
        <f>VLOOKUP($A118,'Data Vlaue (Cr)'!$C:$FB,143)</f>
        <v>1683.79</v>
      </c>
      <c r="E118" s="50">
        <f>VLOOKUP($A118,'Data Vlaue (Cr)'!$C:$FB,144)</f>
        <v>777.5</v>
      </c>
      <c r="F118" s="50">
        <f>VLOOKUP($A118,'Data Vlaue (Cr)'!$C:$FB,146)*100</f>
        <v>116.56</v>
      </c>
      <c r="G118" s="49">
        <f>VLOOKUP($A118,'Data Vlaue (Cr)'!$C:$FB,43)</f>
        <v>360</v>
      </c>
      <c r="H118" s="49">
        <f>VLOOKUP($A118,'Data Vlaue (Cr)'!$C:$FB,44)</f>
        <v>345</v>
      </c>
      <c r="I118" s="49">
        <f>VLOOKUP($A118,'Data Vlaue (Cr)'!$C:$FB,46)*100</f>
        <v>4.34</v>
      </c>
      <c r="J118" s="51">
        <f>VLOOKUP($A118,'Data Vlaue (Cr)'!$C:$FB,59)</f>
        <v>914</v>
      </c>
      <c r="K118" s="51">
        <f>VLOOKUP($A118,'Data Vlaue (Cr)'!$C:$FB,60)</f>
        <v>304</v>
      </c>
      <c r="L118" s="51">
        <f>VLOOKUP($A118,'Data Vlaue (Cr)'!$C:$FB,62)*100</f>
        <v>200.73</v>
      </c>
      <c r="M118" s="51">
        <f>VLOOKUP($A118,'Data Vlaue (Cr)'!$C:$FB,63)</f>
        <v>391</v>
      </c>
      <c r="N118" s="51">
        <f>VLOOKUP($A118,'Data Vlaue (Cr)'!$C:$FB,64)</f>
        <v>143</v>
      </c>
      <c r="O118" s="51">
        <f>VLOOKUP($A118,'Data Vlaue (Cr)'!$C:$FB,66)*100</f>
        <v>173.23</v>
      </c>
    </row>
    <row r="119" spans="1:15" x14ac:dyDescent="0.25">
      <c r="A119" s="101" t="str">
        <f>'Data Vlaue (Cr)'!C114</f>
        <v>KFINTECH</v>
      </c>
      <c r="B119" s="50">
        <f>VLOOKUP($A119,'Data Vlaue (Cr)'!$C:$FB,8)</f>
        <v>863.95</v>
      </c>
      <c r="C119" s="50">
        <f>VLOOKUP($A119,'Data Vlaue (Cr)'!$C:$FB,11)*100</f>
        <v>-3.54</v>
      </c>
      <c r="D119" s="50">
        <f>VLOOKUP($A119,'Data Vlaue (Cr)'!$C:$FB,143)</f>
        <v>1026.8499999999999</v>
      </c>
      <c r="E119" s="50">
        <f>VLOOKUP($A119,'Data Vlaue (Cr)'!$C:$FB,144)</f>
        <v>3332.19</v>
      </c>
      <c r="F119" s="50">
        <f>VLOOKUP($A119,'Data Vlaue (Cr)'!$C:$FB,146)*100</f>
        <v>-69.179999999999993</v>
      </c>
      <c r="G119" s="49">
        <f>VLOOKUP($A119,'Data Vlaue (Cr)'!$C:$FB,43)</f>
        <v>196</v>
      </c>
      <c r="H119" s="49">
        <f>VLOOKUP($A119,'Data Vlaue (Cr)'!$C:$FB,44)</f>
        <v>758</v>
      </c>
      <c r="I119" s="49">
        <f>VLOOKUP($A119,'Data Vlaue (Cr)'!$C:$FB,46)*100</f>
        <v>-74.16</v>
      </c>
      <c r="J119" s="51">
        <f>VLOOKUP($A119,'Data Vlaue (Cr)'!$C:$FB,59)</f>
        <v>517</v>
      </c>
      <c r="K119" s="51">
        <f>VLOOKUP($A119,'Data Vlaue (Cr)'!$C:$FB,60)</f>
        <v>1275</v>
      </c>
      <c r="L119" s="51">
        <f>VLOOKUP($A119,'Data Vlaue (Cr)'!$C:$FB,62)*100</f>
        <v>-59.41</v>
      </c>
      <c r="M119" s="51">
        <f>VLOOKUP($A119,'Data Vlaue (Cr)'!$C:$FB,63)</f>
        <v>249</v>
      </c>
      <c r="N119" s="51">
        <f>VLOOKUP($A119,'Data Vlaue (Cr)'!$C:$FB,64)</f>
        <v>955</v>
      </c>
      <c r="O119" s="51">
        <f>VLOOKUP($A119,'Data Vlaue (Cr)'!$C:$FB,66)*100</f>
        <v>-73.900000000000006</v>
      </c>
    </row>
    <row r="120" spans="1:15" x14ac:dyDescent="0.25">
      <c r="A120" s="101" t="str">
        <f>'Data Vlaue (Cr)'!C115</f>
        <v>KOTAKBANK</v>
      </c>
      <c r="B120" s="50">
        <f>VLOOKUP($A120,'Data Vlaue (Cr)'!$C:$FB,8)</f>
        <v>371.65</v>
      </c>
      <c r="C120" s="50">
        <f>VLOOKUP($A120,'Data Vlaue (Cr)'!$C:$FB,11)*100</f>
        <v>-3.04</v>
      </c>
      <c r="D120" s="50">
        <f>VLOOKUP($A120,'Data Vlaue (Cr)'!$C:$FB,143)</f>
        <v>12093.54</v>
      </c>
      <c r="E120" s="50">
        <f>VLOOKUP($A120,'Data Vlaue (Cr)'!$C:$FB,144)</f>
        <v>4503.62</v>
      </c>
      <c r="F120" s="50">
        <f>VLOOKUP($A120,'Data Vlaue (Cr)'!$C:$FB,146)*100</f>
        <v>168.53</v>
      </c>
      <c r="G120" s="49">
        <f>VLOOKUP($A120,'Data Vlaue (Cr)'!$C:$FB,43)</f>
        <v>3099</v>
      </c>
      <c r="H120" s="49">
        <f>VLOOKUP($A120,'Data Vlaue (Cr)'!$C:$FB,44)</f>
        <v>1460</v>
      </c>
      <c r="I120" s="49">
        <f>VLOOKUP($A120,'Data Vlaue (Cr)'!$C:$FB,46)*100</f>
        <v>112.23</v>
      </c>
      <c r="J120" s="51">
        <f>VLOOKUP($A120,'Data Vlaue (Cr)'!$C:$FB,59)</f>
        <v>5856</v>
      </c>
      <c r="K120" s="51">
        <f>VLOOKUP($A120,'Data Vlaue (Cr)'!$C:$FB,60)</f>
        <v>1699</v>
      </c>
      <c r="L120" s="51">
        <f>VLOOKUP($A120,'Data Vlaue (Cr)'!$C:$FB,62)*100</f>
        <v>244.59</v>
      </c>
      <c r="M120" s="51">
        <f>VLOOKUP($A120,'Data Vlaue (Cr)'!$C:$FB,63)</f>
        <v>2790</v>
      </c>
      <c r="N120" s="51">
        <f>VLOOKUP($A120,'Data Vlaue (Cr)'!$C:$FB,64)</f>
        <v>1135</v>
      </c>
      <c r="O120" s="51">
        <f>VLOOKUP($A120,'Data Vlaue (Cr)'!$C:$FB,66)*100</f>
        <v>145.71</v>
      </c>
    </row>
    <row r="121" spans="1:15" x14ac:dyDescent="0.25">
      <c r="A121" s="101" t="str">
        <f>'Data Vlaue (Cr)'!C116</f>
        <v>KPITTECH</v>
      </c>
      <c r="B121" s="50">
        <f>VLOOKUP($A121,'Data Vlaue (Cr)'!$C:$FB,8)</f>
        <v>768.55</v>
      </c>
      <c r="C121" s="50">
        <f>VLOOKUP($A121,'Data Vlaue (Cr)'!$C:$FB,11)*100</f>
        <v>1.25</v>
      </c>
      <c r="D121" s="50">
        <f>VLOOKUP($A121,'Data Vlaue (Cr)'!$C:$FB,143)</f>
        <v>589.98</v>
      </c>
      <c r="E121" s="50">
        <f>VLOOKUP($A121,'Data Vlaue (Cr)'!$C:$FB,144)</f>
        <v>752.92</v>
      </c>
      <c r="F121" s="50">
        <f>VLOOKUP($A121,'Data Vlaue (Cr)'!$C:$FB,146)*100</f>
        <v>-21.64</v>
      </c>
      <c r="G121" s="49">
        <f>VLOOKUP($A121,'Data Vlaue (Cr)'!$C:$FB,43)</f>
        <v>154</v>
      </c>
      <c r="H121" s="49">
        <f>VLOOKUP($A121,'Data Vlaue (Cr)'!$C:$FB,44)</f>
        <v>166</v>
      </c>
      <c r="I121" s="49">
        <f>VLOOKUP($A121,'Data Vlaue (Cr)'!$C:$FB,46)*100</f>
        <v>-7.23</v>
      </c>
      <c r="J121" s="51">
        <f>VLOOKUP($A121,'Data Vlaue (Cr)'!$C:$FB,59)</f>
        <v>328</v>
      </c>
      <c r="K121" s="51">
        <f>VLOOKUP($A121,'Data Vlaue (Cr)'!$C:$FB,60)</f>
        <v>437</v>
      </c>
      <c r="L121" s="51">
        <f>VLOOKUP($A121,'Data Vlaue (Cr)'!$C:$FB,62)*100</f>
        <v>-24.97</v>
      </c>
      <c r="M121" s="51">
        <f>VLOOKUP($A121,'Data Vlaue (Cr)'!$C:$FB,63)</f>
        <v>83</v>
      </c>
      <c r="N121" s="51">
        <f>VLOOKUP($A121,'Data Vlaue (Cr)'!$C:$FB,64)</f>
        <v>137</v>
      </c>
      <c r="O121" s="51">
        <f>VLOOKUP($A121,'Data Vlaue (Cr)'!$C:$FB,66)*100</f>
        <v>-39.03</v>
      </c>
    </row>
    <row r="122" spans="1:15" x14ac:dyDescent="0.25">
      <c r="A122" s="101" t="str">
        <f>'Data Vlaue (Cr)'!C117</f>
        <v>LAURUSLABS</v>
      </c>
      <c r="B122" s="50">
        <f>VLOOKUP($A122,'Data Vlaue (Cr)'!$C:$FB,8)</f>
        <v>1166.4000000000001</v>
      </c>
      <c r="C122" s="50">
        <f>VLOOKUP($A122,'Data Vlaue (Cr)'!$C:$FB,11)*100</f>
        <v>5.94</v>
      </c>
      <c r="D122" s="50">
        <f>VLOOKUP($A122,'Data Vlaue (Cr)'!$C:$FB,143)</f>
        <v>5617.61</v>
      </c>
      <c r="E122" s="50">
        <f>VLOOKUP($A122,'Data Vlaue (Cr)'!$C:$FB,144)</f>
        <v>2327.37</v>
      </c>
      <c r="F122" s="50">
        <f>VLOOKUP($A122,'Data Vlaue (Cr)'!$C:$FB,146)*100</f>
        <v>141.37</v>
      </c>
      <c r="G122" s="49">
        <f>VLOOKUP($A122,'Data Vlaue (Cr)'!$C:$FB,43)</f>
        <v>1071</v>
      </c>
      <c r="H122" s="49">
        <f>VLOOKUP($A122,'Data Vlaue (Cr)'!$C:$FB,44)</f>
        <v>576</v>
      </c>
      <c r="I122" s="49">
        <f>VLOOKUP($A122,'Data Vlaue (Cr)'!$C:$FB,46)*100</f>
        <v>86.1</v>
      </c>
      <c r="J122" s="51">
        <f>VLOOKUP($A122,'Data Vlaue (Cr)'!$C:$FB,59)</f>
        <v>3108</v>
      </c>
      <c r="K122" s="51">
        <f>VLOOKUP($A122,'Data Vlaue (Cr)'!$C:$FB,60)</f>
        <v>1143</v>
      </c>
      <c r="L122" s="51">
        <f>VLOOKUP($A122,'Data Vlaue (Cr)'!$C:$FB,62)*100</f>
        <v>171.92000000000002</v>
      </c>
      <c r="M122" s="51">
        <f>VLOOKUP($A122,'Data Vlaue (Cr)'!$C:$FB,63)</f>
        <v>1390</v>
      </c>
      <c r="N122" s="51">
        <f>VLOOKUP($A122,'Data Vlaue (Cr)'!$C:$FB,64)</f>
        <v>675</v>
      </c>
      <c r="O122" s="51">
        <f>VLOOKUP($A122,'Data Vlaue (Cr)'!$C:$FB,66)*100</f>
        <v>105.86</v>
      </c>
    </row>
    <row r="123" spans="1:15" x14ac:dyDescent="0.25">
      <c r="A123" s="101" t="str">
        <f>'Data Vlaue (Cr)'!C118</f>
        <v>LICHSGFIN</v>
      </c>
      <c r="B123" s="50">
        <f>VLOOKUP($A123,'Data Vlaue (Cr)'!$C:$FB,8)</f>
        <v>557</v>
      </c>
      <c r="C123" s="50">
        <f>VLOOKUP($A123,'Data Vlaue (Cr)'!$C:$FB,11)*100</f>
        <v>0.41000000000000003</v>
      </c>
      <c r="D123" s="50">
        <f>VLOOKUP($A123,'Data Vlaue (Cr)'!$C:$FB,143)</f>
        <v>346.53</v>
      </c>
      <c r="E123" s="50">
        <f>VLOOKUP($A123,'Data Vlaue (Cr)'!$C:$FB,144)</f>
        <v>470.32</v>
      </c>
      <c r="F123" s="50">
        <f>VLOOKUP($A123,'Data Vlaue (Cr)'!$C:$FB,146)*100</f>
        <v>-26.32</v>
      </c>
      <c r="G123" s="49">
        <f>VLOOKUP($A123,'Data Vlaue (Cr)'!$C:$FB,43)</f>
        <v>90</v>
      </c>
      <c r="H123" s="49">
        <f>VLOOKUP($A123,'Data Vlaue (Cr)'!$C:$FB,44)</f>
        <v>139</v>
      </c>
      <c r="I123" s="49">
        <f>VLOOKUP($A123,'Data Vlaue (Cr)'!$C:$FB,46)*100</f>
        <v>-35.65</v>
      </c>
      <c r="J123" s="51">
        <f>VLOOKUP($A123,'Data Vlaue (Cr)'!$C:$FB,59)</f>
        <v>176</v>
      </c>
      <c r="K123" s="51">
        <f>VLOOKUP($A123,'Data Vlaue (Cr)'!$C:$FB,60)</f>
        <v>188</v>
      </c>
      <c r="L123" s="51">
        <f>VLOOKUP($A123,'Data Vlaue (Cr)'!$C:$FB,62)*100</f>
        <v>-6.5699999999999994</v>
      </c>
      <c r="M123" s="51">
        <f>VLOOKUP($A123,'Data Vlaue (Cr)'!$C:$FB,63)</f>
        <v>72</v>
      </c>
      <c r="N123" s="51">
        <f>VLOOKUP($A123,'Data Vlaue (Cr)'!$C:$FB,64)</f>
        <v>141</v>
      </c>
      <c r="O123" s="51">
        <f>VLOOKUP($A123,'Data Vlaue (Cr)'!$C:$FB,66)*100</f>
        <v>-48.89</v>
      </c>
    </row>
    <row r="124" spans="1:15" x14ac:dyDescent="0.25">
      <c r="A124" s="101" t="str">
        <f>'Data Vlaue (Cr)'!C119</f>
        <v>LICI</v>
      </c>
      <c r="B124" s="50">
        <f>VLOOKUP($A124,'Data Vlaue (Cr)'!$C:$FB,8)</f>
        <v>802</v>
      </c>
      <c r="C124" s="50">
        <f>VLOOKUP($A124,'Data Vlaue (Cr)'!$C:$FB,11)*100</f>
        <v>0.51</v>
      </c>
      <c r="D124" s="50">
        <f>VLOOKUP($A124,'Data Vlaue (Cr)'!$C:$FB,143)</f>
        <v>477.78</v>
      </c>
      <c r="E124" s="50">
        <f>VLOOKUP($A124,'Data Vlaue (Cr)'!$C:$FB,144)</f>
        <v>599.08000000000004</v>
      </c>
      <c r="F124" s="50">
        <f>VLOOKUP($A124,'Data Vlaue (Cr)'!$C:$FB,146)*100</f>
        <v>-20.25</v>
      </c>
      <c r="G124" s="49">
        <f>VLOOKUP($A124,'Data Vlaue (Cr)'!$C:$FB,43)</f>
        <v>85</v>
      </c>
      <c r="H124" s="49">
        <f>VLOOKUP($A124,'Data Vlaue (Cr)'!$C:$FB,44)</f>
        <v>161</v>
      </c>
      <c r="I124" s="49">
        <f>VLOOKUP($A124,'Data Vlaue (Cr)'!$C:$FB,46)*100</f>
        <v>-47.339999999999996</v>
      </c>
      <c r="J124" s="51">
        <f>VLOOKUP($A124,'Data Vlaue (Cr)'!$C:$FB,59)</f>
        <v>279</v>
      </c>
      <c r="K124" s="51">
        <f>VLOOKUP($A124,'Data Vlaue (Cr)'!$C:$FB,60)</f>
        <v>258</v>
      </c>
      <c r="L124" s="51">
        <f>VLOOKUP($A124,'Data Vlaue (Cr)'!$C:$FB,62)*100</f>
        <v>8.08</v>
      </c>
      <c r="M124" s="51">
        <f>VLOOKUP($A124,'Data Vlaue (Cr)'!$C:$FB,63)</f>
        <v>97</v>
      </c>
      <c r="N124" s="51">
        <f>VLOOKUP($A124,'Data Vlaue (Cr)'!$C:$FB,64)</f>
        <v>166</v>
      </c>
      <c r="O124" s="51">
        <f>VLOOKUP($A124,'Data Vlaue (Cr)'!$C:$FB,66)*100</f>
        <v>-41.63</v>
      </c>
    </row>
    <row r="125" spans="1:15" x14ac:dyDescent="0.25">
      <c r="A125" s="101" t="str">
        <f>'Data Vlaue (Cr)'!C120</f>
        <v>LODHA</v>
      </c>
      <c r="B125" s="50">
        <f>VLOOKUP($A125,'Data Vlaue (Cr)'!$C:$FB,8)</f>
        <v>923.6</v>
      </c>
      <c r="C125" s="50">
        <f>VLOOKUP($A125,'Data Vlaue (Cr)'!$C:$FB,11)*100</f>
        <v>2.86</v>
      </c>
      <c r="D125" s="50">
        <f>VLOOKUP($A125,'Data Vlaue (Cr)'!$C:$FB,143)</f>
        <v>734.23</v>
      </c>
      <c r="E125" s="50">
        <f>VLOOKUP($A125,'Data Vlaue (Cr)'!$C:$FB,144)</f>
        <v>693.72</v>
      </c>
      <c r="F125" s="50">
        <f>VLOOKUP($A125,'Data Vlaue (Cr)'!$C:$FB,146)*100</f>
        <v>5.84</v>
      </c>
      <c r="G125" s="49">
        <f>VLOOKUP($A125,'Data Vlaue (Cr)'!$C:$FB,43)</f>
        <v>164</v>
      </c>
      <c r="H125" s="49">
        <f>VLOOKUP($A125,'Data Vlaue (Cr)'!$C:$FB,44)</f>
        <v>186</v>
      </c>
      <c r="I125" s="49">
        <f>VLOOKUP($A125,'Data Vlaue (Cr)'!$C:$FB,46)*100</f>
        <v>-11.67</v>
      </c>
      <c r="J125" s="51">
        <f>VLOOKUP($A125,'Data Vlaue (Cr)'!$C:$FB,59)</f>
        <v>406</v>
      </c>
      <c r="K125" s="51">
        <f>VLOOKUP($A125,'Data Vlaue (Cr)'!$C:$FB,60)</f>
        <v>325</v>
      </c>
      <c r="L125" s="51">
        <f>VLOOKUP($A125,'Data Vlaue (Cr)'!$C:$FB,62)*100</f>
        <v>25.019999999999996</v>
      </c>
      <c r="M125" s="51">
        <f>VLOOKUP($A125,'Data Vlaue (Cr)'!$C:$FB,63)</f>
        <v>143</v>
      </c>
      <c r="N125" s="51">
        <f>VLOOKUP($A125,'Data Vlaue (Cr)'!$C:$FB,64)</f>
        <v>175</v>
      </c>
      <c r="O125" s="51">
        <f>VLOOKUP($A125,'Data Vlaue (Cr)'!$C:$FB,66)*100</f>
        <v>-18.310000000000002</v>
      </c>
    </row>
    <row r="126" spans="1:15" x14ac:dyDescent="0.25">
      <c r="A126" s="101" t="str">
        <f>'Data Vlaue (Cr)'!C121</f>
        <v>LT</v>
      </c>
      <c r="B126" s="50">
        <f>VLOOKUP($A126,'Data Vlaue (Cr)'!$C:$FB,8)</f>
        <v>4100.8</v>
      </c>
      <c r="C126" s="50">
        <f>VLOOKUP($A126,'Data Vlaue (Cr)'!$C:$FB,11)*100</f>
        <v>2.16</v>
      </c>
      <c r="D126" s="50">
        <f>VLOOKUP($A126,'Data Vlaue (Cr)'!$C:$FB,143)</f>
        <v>6580.16</v>
      </c>
      <c r="E126" s="50">
        <f>VLOOKUP($A126,'Data Vlaue (Cr)'!$C:$FB,144)</f>
        <v>4179.82</v>
      </c>
      <c r="F126" s="50">
        <f>VLOOKUP($A126,'Data Vlaue (Cr)'!$C:$FB,146)*100</f>
        <v>57.430000000000007</v>
      </c>
      <c r="G126" s="49">
        <f>VLOOKUP($A126,'Data Vlaue (Cr)'!$C:$FB,43)</f>
        <v>935</v>
      </c>
      <c r="H126" s="49">
        <f>VLOOKUP($A126,'Data Vlaue (Cr)'!$C:$FB,44)</f>
        <v>954</v>
      </c>
      <c r="I126" s="49">
        <f>VLOOKUP($A126,'Data Vlaue (Cr)'!$C:$FB,46)*100</f>
        <v>-2</v>
      </c>
      <c r="J126" s="51">
        <f>VLOOKUP($A126,'Data Vlaue (Cr)'!$C:$FB,59)</f>
        <v>3972</v>
      </c>
      <c r="K126" s="51">
        <f>VLOOKUP($A126,'Data Vlaue (Cr)'!$C:$FB,60)</f>
        <v>1950</v>
      </c>
      <c r="L126" s="51">
        <f>VLOOKUP($A126,'Data Vlaue (Cr)'!$C:$FB,62)*100</f>
        <v>103.71</v>
      </c>
      <c r="M126" s="51">
        <f>VLOOKUP($A126,'Data Vlaue (Cr)'!$C:$FB,63)</f>
        <v>1462</v>
      </c>
      <c r="N126" s="51">
        <f>VLOOKUP($A126,'Data Vlaue (Cr)'!$C:$FB,64)</f>
        <v>1258</v>
      </c>
      <c r="O126" s="51">
        <f>VLOOKUP($A126,'Data Vlaue (Cr)'!$C:$FB,66)*100</f>
        <v>16.21</v>
      </c>
    </row>
    <row r="127" spans="1:15" x14ac:dyDescent="0.25">
      <c r="A127" s="101" t="str">
        <f>'Data Vlaue (Cr)'!C122</f>
        <v>LTF</v>
      </c>
      <c r="B127" s="50">
        <f>VLOOKUP($A127,'Data Vlaue (Cr)'!$C:$FB,8)</f>
        <v>285.64999999999998</v>
      </c>
      <c r="C127" s="50">
        <f>VLOOKUP($A127,'Data Vlaue (Cr)'!$C:$FB,11)*100</f>
        <v>2.12</v>
      </c>
      <c r="D127" s="50">
        <f>VLOOKUP($A127,'Data Vlaue (Cr)'!$C:$FB,143)</f>
        <v>554.16</v>
      </c>
      <c r="E127" s="50">
        <f>VLOOKUP($A127,'Data Vlaue (Cr)'!$C:$FB,144)</f>
        <v>476.3</v>
      </c>
      <c r="F127" s="50">
        <f>VLOOKUP($A127,'Data Vlaue (Cr)'!$C:$FB,146)*100</f>
        <v>16.350000000000001</v>
      </c>
      <c r="G127" s="49">
        <f>VLOOKUP($A127,'Data Vlaue (Cr)'!$C:$FB,43)</f>
        <v>210</v>
      </c>
      <c r="H127" s="49">
        <f>VLOOKUP($A127,'Data Vlaue (Cr)'!$C:$FB,44)</f>
        <v>183</v>
      </c>
      <c r="I127" s="49">
        <f>VLOOKUP($A127,'Data Vlaue (Cr)'!$C:$FB,46)*100</f>
        <v>14.75</v>
      </c>
      <c r="J127" s="51">
        <f>VLOOKUP($A127,'Data Vlaue (Cr)'!$C:$FB,59)</f>
        <v>244</v>
      </c>
      <c r="K127" s="51">
        <f>VLOOKUP($A127,'Data Vlaue (Cr)'!$C:$FB,60)</f>
        <v>187</v>
      </c>
      <c r="L127" s="51">
        <f>VLOOKUP($A127,'Data Vlaue (Cr)'!$C:$FB,62)*100</f>
        <v>30.85</v>
      </c>
      <c r="M127" s="51">
        <f>VLOOKUP($A127,'Data Vlaue (Cr)'!$C:$FB,63)</f>
        <v>81</v>
      </c>
      <c r="N127" s="51">
        <f>VLOOKUP($A127,'Data Vlaue (Cr)'!$C:$FB,64)</f>
        <v>97</v>
      </c>
      <c r="O127" s="51">
        <f>VLOOKUP($A127,'Data Vlaue (Cr)'!$C:$FB,66)*100</f>
        <v>-16.950000000000003</v>
      </c>
    </row>
    <row r="128" spans="1:15" x14ac:dyDescent="0.25">
      <c r="A128" s="101" t="str">
        <f>'Data Vlaue (Cr)'!C123</f>
        <v>LTM</v>
      </c>
      <c r="B128" s="50">
        <f>VLOOKUP($A128,'Data Vlaue (Cr)'!$C:$FB,8)</f>
        <v>4202.7</v>
      </c>
      <c r="C128" s="50">
        <f>VLOOKUP($A128,'Data Vlaue (Cr)'!$C:$FB,11)*100</f>
        <v>-1.5699999999999998</v>
      </c>
      <c r="D128" s="50">
        <f>VLOOKUP($A128,'Data Vlaue (Cr)'!$C:$FB,143)</f>
        <v>630.11</v>
      </c>
      <c r="E128" s="50">
        <f>VLOOKUP($A128,'Data Vlaue (Cr)'!$C:$FB,144)</f>
        <v>668.25</v>
      </c>
      <c r="F128" s="50">
        <f>VLOOKUP($A128,'Data Vlaue (Cr)'!$C:$FB,146)*100</f>
        <v>-5.71</v>
      </c>
      <c r="G128" s="49">
        <f>VLOOKUP($A128,'Data Vlaue (Cr)'!$C:$FB,43)</f>
        <v>147</v>
      </c>
      <c r="H128" s="49">
        <f>VLOOKUP($A128,'Data Vlaue (Cr)'!$C:$FB,44)</f>
        <v>220</v>
      </c>
      <c r="I128" s="49">
        <f>VLOOKUP($A128,'Data Vlaue (Cr)'!$C:$FB,46)*100</f>
        <v>-33.520000000000003</v>
      </c>
      <c r="J128" s="51">
        <f>VLOOKUP($A128,'Data Vlaue (Cr)'!$C:$FB,59)</f>
        <v>309</v>
      </c>
      <c r="K128" s="51">
        <f>VLOOKUP($A128,'Data Vlaue (Cr)'!$C:$FB,60)</f>
        <v>283</v>
      </c>
      <c r="L128" s="51">
        <f>VLOOKUP($A128,'Data Vlaue (Cr)'!$C:$FB,62)*100</f>
        <v>9.16</v>
      </c>
      <c r="M128" s="51">
        <f>VLOOKUP($A128,'Data Vlaue (Cr)'!$C:$FB,63)</f>
        <v>149</v>
      </c>
      <c r="N128" s="51">
        <f>VLOOKUP($A128,'Data Vlaue (Cr)'!$C:$FB,64)</f>
        <v>134</v>
      </c>
      <c r="O128" s="51">
        <f>VLOOKUP($A128,'Data Vlaue (Cr)'!$C:$FB,66)*100</f>
        <v>11.020000000000001</v>
      </c>
    </row>
    <row r="129" spans="1:15" x14ac:dyDescent="0.25">
      <c r="A129" s="101" t="str">
        <f>'Data Vlaue (Cr)'!C124</f>
        <v>LUPIN</v>
      </c>
      <c r="B129" s="50">
        <f>VLOOKUP($A129,'Data Vlaue (Cr)'!$C:$FB,8)</f>
        <v>2348.8000000000002</v>
      </c>
      <c r="C129" s="50">
        <f>VLOOKUP($A129,'Data Vlaue (Cr)'!$C:$FB,11)*100</f>
        <v>1.8900000000000001</v>
      </c>
      <c r="D129" s="50">
        <f>VLOOKUP($A129,'Data Vlaue (Cr)'!$C:$FB,143)</f>
        <v>2451.4299999999998</v>
      </c>
      <c r="E129" s="50">
        <f>VLOOKUP($A129,'Data Vlaue (Cr)'!$C:$FB,144)</f>
        <v>956.07</v>
      </c>
      <c r="F129" s="50">
        <f>VLOOKUP($A129,'Data Vlaue (Cr)'!$C:$FB,146)*100</f>
        <v>156.41</v>
      </c>
      <c r="G129" s="49">
        <f>VLOOKUP($A129,'Data Vlaue (Cr)'!$C:$FB,43)</f>
        <v>375</v>
      </c>
      <c r="H129" s="49">
        <f>VLOOKUP($A129,'Data Vlaue (Cr)'!$C:$FB,44)</f>
        <v>202</v>
      </c>
      <c r="I129" s="49">
        <f>VLOOKUP($A129,'Data Vlaue (Cr)'!$C:$FB,46)*100</f>
        <v>85.42</v>
      </c>
      <c r="J129" s="51">
        <f>VLOOKUP($A129,'Data Vlaue (Cr)'!$C:$FB,59)</f>
        <v>1534</v>
      </c>
      <c r="K129" s="51">
        <f>VLOOKUP($A129,'Data Vlaue (Cr)'!$C:$FB,60)</f>
        <v>446</v>
      </c>
      <c r="L129" s="51">
        <f>VLOOKUP($A129,'Data Vlaue (Cr)'!$C:$FB,62)*100</f>
        <v>243.69</v>
      </c>
      <c r="M129" s="51">
        <f>VLOOKUP($A129,'Data Vlaue (Cr)'!$C:$FB,63)</f>
        <v>467</v>
      </c>
      <c r="N129" s="51">
        <f>VLOOKUP($A129,'Data Vlaue (Cr)'!$C:$FB,64)</f>
        <v>307</v>
      </c>
      <c r="O129" s="51">
        <f>VLOOKUP($A129,'Data Vlaue (Cr)'!$C:$FB,66)*100</f>
        <v>52.349999999999994</v>
      </c>
    </row>
    <row r="130" spans="1:15" x14ac:dyDescent="0.25">
      <c r="A130" s="101" t="str">
        <f>'Data Vlaue (Cr)'!C125</f>
        <v>M&amp;M</v>
      </c>
      <c r="B130" s="50">
        <f>VLOOKUP($A130,'Data Vlaue (Cr)'!$C:$FB,8)</f>
        <v>3106.5</v>
      </c>
      <c r="C130" s="50">
        <f>VLOOKUP($A130,'Data Vlaue (Cr)'!$C:$FB,11)*100</f>
        <v>0.28999999999999998</v>
      </c>
      <c r="D130" s="50">
        <f>VLOOKUP($A130,'Data Vlaue (Cr)'!$C:$FB,143)</f>
        <v>5029</v>
      </c>
      <c r="E130" s="50">
        <f>VLOOKUP($A130,'Data Vlaue (Cr)'!$C:$FB,144)</f>
        <v>3242.45</v>
      </c>
      <c r="F130" s="50">
        <f>VLOOKUP($A130,'Data Vlaue (Cr)'!$C:$FB,146)*100</f>
        <v>55.1</v>
      </c>
      <c r="G130" s="49">
        <f>VLOOKUP($A130,'Data Vlaue (Cr)'!$C:$FB,43)</f>
        <v>976</v>
      </c>
      <c r="H130" s="49">
        <f>VLOOKUP($A130,'Data Vlaue (Cr)'!$C:$FB,44)</f>
        <v>656</v>
      </c>
      <c r="I130" s="49">
        <f>VLOOKUP($A130,'Data Vlaue (Cr)'!$C:$FB,46)*100</f>
        <v>48.67</v>
      </c>
      <c r="J130" s="51">
        <f>VLOOKUP($A130,'Data Vlaue (Cr)'!$C:$FB,59)</f>
        <v>2814</v>
      </c>
      <c r="K130" s="51">
        <f>VLOOKUP($A130,'Data Vlaue (Cr)'!$C:$FB,60)</f>
        <v>1450</v>
      </c>
      <c r="L130" s="51">
        <f>VLOOKUP($A130,'Data Vlaue (Cr)'!$C:$FB,62)*100</f>
        <v>94.06</v>
      </c>
      <c r="M130" s="51">
        <f>VLOOKUP($A130,'Data Vlaue (Cr)'!$C:$FB,63)</f>
        <v>1050</v>
      </c>
      <c r="N130" s="51">
        <f>VLOOKUP($A130,'Data Vlaue (Cr)'!$C:$FB,64)</f>
        <v>1062</v>
      </c>
      <c r="O130" s="51">
        <f>VLOOKUP($A130,'Data Vlaue (Cr)'!$C:$FB,66)*100</f>
        <v>-1.1299999999999999</v>
      </c>
    </row>
    <row r="131" spans="1:15" x14ac:dyDescent="0.25">
      <c r="A131" s="101" t="str">
        <f>'Data Vlaue (Cr)'!C126</f>
        <v>MANAPPURAM</v>
      </c>
      <c r="B131" s="50">
        <f>VLOOKUP($A131,'Data Vlaue (Cr)'!$C:$FB,8)</f>
        <v>305.14999999999998</v>
      </c>
      <c r="C131" s="50">
        <f>VLOOKUP($A131,'Data Vlaue (Cr)'!$C:$FB,11)*100</f>
        <v>3.6700000000000004</v>
      </c>
      <c r="D131" s="50">
        <f>VLOOKUP($A131,'Data Vlaue (Cr)'!$C:$FB,143)</f>
        <v>2320.77</v>
      </c>
      <c r="E131" s="50">
        <f>VLOOKUP($A131,'Data Vlaue (Cr)'!$C:$FB,144)</f>
        <v>550.67999999999995</v>
      </c>
      <c r="F131" s="50">
        <f>VLOOKUP($A131,'Data Vlaue (Cr)'!$C:$FB,146)*100</f>
        <v>321.43</v>
      </c>
      <c r="G131" s="49">
        <f>VLOOKUP($A131,'Data Vlaue (Cr)'!$C:$FB,43)</f>
        <v>665</v>
      </c>
      <c r="H131" s="49">
        <f>VLOOKUP($A131,'Data Vlaue (Cr)'!$C:$FB,44)</f>
        <v>227</v>
      </c>
      <c r="I131" s="49">
        <f>VLOOKUP($A131,'Data Vlaue (Cr)'!$C:$FB,46)*100</f>
        <v>193.38</v>
      </c>
      <c r="J131" s="51">
        <f>VLOOKUP($A131,'Data Vlaue (Cr)'!$C:$FB,59)</f>
        <v>1120</v>
      </c>
      <c r="K131" s="51">
        <f>VLOOKUP($A131,'Data Vlaue (Cr)'!$C:$FB,60)</f>
        <v>247</v>
      </c>
      <c r="L131" s="51">
        <f>VLOOKUP($A131,'Data Vlaue (Cr)'!$C:$FB,62)*100</f>
        <v>352.77</v>
      </c>
      <c r="M131" s="51">
        <f>VLOOKUP($A131,'Data Vlaue (Cr)'!$C:$FB,63)</f>
        <v>492</v>
      </c>
      <c r="N131" s="51">
        <f>VLOOKUP($A131,'Data Vlaue (Cr)'!$C:$FB,64)</f>
        <v>82</v>
      </c>
      <c r="O131" s="51">
        <f>VLOOKUP($A131,'Data Vlaue (Cr)'!$C:$FB,66)*100</f>
        <v>502.48</v>
      </c>
    </row>
    <row r="132" spans="1:15" x14ac:dyDescent="0.25">
      <c r="A132" s="101" t="str">
        <f>'Data Vlaue (Cr)'!C127</f>
        <v>MANKIND</v>
      </c>
      <c r="B132" s="50">
        <f>VLOOKUP($A132,'Data Vlaue (Cr)'!$C:$FB,8)</f>
        <v>2257.8000000000002</v>
      </c>
      <c r="C132" s="50">
        <f>VLOOKUP($A132,'Data Vlaue (Cr)'!$C:$FB,11)*100</f>
        <v>0.49</v>
      </c>
      <c r="D132" s="50">
        <f>VLOOKUP($A132,'Data Vlaue (Cr)'!$C:$FB,143)</f>
        <v>261.02999999999997</v>
      </c>
      <c r="E132" s="50">
        <f>VLOOKUP($A132,'Data Vlaue (Cr)'!$C:$FB,144)</f>
        <v>101.27</v>
      </c>
      <c r="F132" s="50">
        <f>VLOOKUP($A132,'Data Vlaue (Cr)'!$C:$FB,146)*100</f>
        <v>157.76</v>
      </c>
      <c r="G132" s="49">
        <f>VLOOKUP($A132,'Data Vlaue (Cr)'!$C:$FB,43)</f>
        <v>53</v>
      </c>
      <c r="H132" s="49">
        <f>VLOOKUP($A132,'Data Vlaue (Cr)'!$C:$FB,44)</f>
        <v>44</v>
      </c>
      <c r="I132" s="49">
        <f>VLOOKUP($A132,'Data Vlaue (Cr)'!$C:$FB,46)*100</f>
        <v>20.39</v>
      </c>
      <c r="J132" s="51">
        <f>VLOOKUP($A132,'Data Vlaue (Cr)'!$C:$FB,59)</f>
        <v>162</v>
      </c>
      <c r="K132" s="51">
        <f>VLOOKUP($A132,'Data Vlaue (Cr)'!$C:$FB,60)</f>
        <v>38</v>
      </c>
      <c r="L132" s="51">
        <f>VLOOKUP($A132,'Data Vlaue (Cr)'!$C:$FB,62)*100</f>
        <v>324.33</v>
      </c>
      <c r="M132" s="51">
        <f>VLOOKUP($A132,'Data Vlaue (Cr)'!$C:$FB,63)</f>
        <v>37</v>
      </c>
      <c r="N132" s="51">
        <f>VLOOKUP($A132,'Data Vlaue (Cr)'!$C:$FB,64)</f>
        <v>19</v>
      </c>
      <c r="O132" s="51">
        <f>VLOOKUP($A132,'Data Vlaue (Cr)'!$C:$FB,66)*100</f>
        <v>95.14</v>
      </c>
    </row>
    <row r="133" spans="1:15" x14ac:dyDescent="0.25">
      <c r="A133" s="101" t="str">
        <f>'Data Vlaue (Cr)'!C128</f>
        <v>MARICO</v>
      </c>
      <c r="B133" s="50">
        <f>VLOOKUP($A133,'Data Vlaue (Cr)'!$C:$FB,8)</f>
        <v>784.55</v>
      </c>
      <c r="C133" s="50">
        <f>VLOOKUP($A133,'Data Vlaue (Cr)'!$C:$FB,11)*100</f>
        <v>1.23</v>
      </c>
      <c r="D133" s="50">
        <f>VLOOKUP($A133,'Data Vlaue (Cr)'!$C:$FB,143)</f>
        <v>568.89</v>
      </c>
      <c r="E133" s="50">
        <f>VLOOKUP($A133,'Data Vlaue (Cr)'!$C:$FB,144)</f>
        <v>503.98</v>
      </c>
      <c r="F133" s="50">
        <f>VLOOKUP($A133,'Data Vlaue (Cr)'!$C:$FB,146)*100</f>
        <v>12.879999999999999</v>
      </c>
      <c r="G133" s="49">
        <f>VLOOKUP($A133,'Data Vlaue (Cr)'!$C:$FB,43)</f>
        <v>142</v>
      </c>
      <c r="H133" s="49">
        <f>VLOOKUP($A133,'Data Vlaue (Cr)'!$C:$FB,44)</f>
        <v>182</v>
      </c>
      <c r="I133" s="49">
        <f>VLOOKUP($A133,'Data Vlaue (Cr)'!$C:$FB,46)*100</f>
        <v>-22.09</v>
      </c>
      <c r="J133" s="51">
        <f>VLOOKUP($A133,'Data Vlaue (Cr)'!$C:$FB,59)</f>
        <v>234</v>
      </c>
      <c r="K133" s="51">
        <f>VLOOKUP($A133,'Data Vlaue (Cr)'!$C:$FB,60)</f>
        <v>198</v>
      </c>
      <c r="L133" s="51">
        <f>VLOOKUP($A133,'Data Vlaue (Cr)'!$C:$FB,62)*100</f>
        <v>18.11</v>
      </c>
      <c r="M133" s="51">
        <f>VLOOKUP($A133,'Data Vlaue (Cr)'!$C:$FB,63)</f>
        <v>193</v>
      </c>
      <c r="N133" s="51">
        <f>VLOOKUP($A133,'Data Vlaue (Cr)'!$C:$FB,64)</f>
        <v>120</v>
      </c>
      <c r="O133" s="51">
        <f>VLOOKUP($A133,'Data Vlaue (Cr)'!$C:$FB,66)*100</f>
        <v>61.12</v>
      </c>
    </row>
    <row r="134" spans="1:15" x14ac:dyDescent="0.25">
      <c r="A134" s="101" t="str">
        <f>'Data Vlaue (Cr)'!C129</f>
        <v>MARUTI</v>
      </c>
      <c r="B134" s="50">
        <f>VLOOKUP($A134,'Data Vlaue (Cr)'!$C:$FB,8)</f>
        <v>13580</v>
      </c>
      <c r="C134" s="50">
        <f>VLOOKUP($A134,'Data Vlaue (Cr)'!$C:$FB,11)*100</f>
        <v>2</v>
      </c>
      <c r="D134" s="50">
        <f>VLOOKUP($A134,'Data Vlaue (Cr)'!$C:$FB,143)</f>
        <v>15209.01</v>
      </c>
      <c r="E134" s="50">
        <f>VLOOKUP($A134,'Data Vlaue (Cr)'!$C:$FB,144)</f>
        <v>8091</v>
      </c>
      <c r="F134" s="50">
        <f>VLOOKUP($A134,'Data Vlaue (Cr)'!$C:$FB,146)*100</f>
        <v>87.97</v>
      </c>
      <c r="G134" s="49">
        <f>VLOOKUP($A134,'Data Vlaue (Cr)'!$C:$FB,43)</f>
        <v>1168</v>
      </c>
      <c r="H134" s="49">
        <f>VLOOKUP($A134,'Data Vlaue (Cr)'!$C:$FB,44)</f>
        <v>668</v>
      </c>
      <c r="I134" s="49">
        <f>VLOOKUP($A134,'Data Vlaue (Cr)'!$C:$FB,46)*100</f>
        <v>74.819999999999993</v>
      </c>
      <c r="J134" s="51">
        <f>VLOOKUP($A134,'Data Vlaue (Cr)'!$C:$FB,59)</f>
        <v>9032</v>
      </c>
      <c r="K134" s="51">
        <f>VLOOKUP($A134,'Data Vlaue (Cr)'!$C:$FB,60)</f>
        <v>4889</v>
      </c>
      <c r="L134" s="51">
        <f>VLOOKUP($A134,'Data Vlaue (Cr)'!$C:$FB,62)*100</f>
        <v>84.740000000000009</v>
      </c>
      <c r="M134" s="51">
        <f>VLOOKUP($A134,'Data Vlaue (Cr)'!$C:$FB,63)</f>
        <v>4564</v>
      </c>
      <c r="N134" s="51">
        <f>VLOOKUP($A134,'Data Vlaue (Cr)'!$C:$FB,64)</f>
        <v>2536</v>
      </c>
      <c r="O134" s="51">
        <f>VLOOKUP($A134,'Data Vlaue (Cr)'!$C:$FB,66)*100</f>
        <v>79.990000000000009</v>
      </c>
    </row>
    <row r="135" spans="1:15" x14ac:dyDescent="0.25">
      <c r="A135" s="101" t="str">
        <f>'Data Vlaue (Cr)'!C130</f>
        <v>MAXHEALTH</v>
      </c>
      <c r="B135" s="50">
        <f>VLOOKUP($A135,'Data Vlaue (Cr)'!$C:$FB,8)</f>
        <v>1011.55</v>
      </c>
      <c r="C135" s="50">
        <f>VLOOKUP($A135,'Data Vlaue (Cr)'!$C:$FB,11)*100</f>
        <v>1.8599999999999999</v>
      </c>
      <c r="D135" s="50">
        <f>VLOOKUP($A135,'Data Vlaue (Cr)'!$C:$FB,143)</f>
        <v>665.19</v>
      </c>
      <c r="E135" s="50">
        <f>VLOOKUP($A135,'Data Vlaue (Cr)'!$C:$FB,144)</f>
        <v>549.75</v>
      </c>
      <c r="F135" s="50">
        <f>VLOOKUP($A135,'Data Vlaue (Cr)'!$C:$FB,146)*100</f>
        <v>21</v>
      </c>
      <c r="G135" s="49">
        <f>VLOOKUP($A135,'Data Vlaue (Cr)'!$C:$FB,43)</f>
        <v>204</v>
      </c>
      <c r="H135" s="49">
        <f>VLOOKUP($A135,'Data Vlaue (Cr)'!$C:$FB,44)</f>
        <v>163</v>
      </c>
      <c r="I135" s="49">
        <f>VLOOKUP($A135,'Data Vlaue (Cr)'!$C:$FB,46)*100</f>
        <v>25.369999999999997</v>
      </c>
      <c r="J135" s="51">
        <f>VLOOKUP($A135,'Data Vlaue (Cr)'!$C:$FB,59)</f>
        <v>299</v>
      </c>
      <c r="K135" s="51">
        <f>VLOOKUP($A135,'Data Vlaue (Cr)'!$C:$FB,60)</f>
        <v>229</v>
      </c>
      <c r="L135" s="51">
        <f>VLOOKUP($A135,'Data Vlaue (Cr)'!$C:$FB,62)*100</f>
        <v>30.65</v>
      </c>
      <c r="M135" s="51">
        <f>VLOOKUP($A135,'Data Vlaue (Cr)'!$C:$FB,63)</f>
        <v>149</v>
      </c>
      <c r="N135" s="51">
        <f>VLOOKUP($A135,'Data Vlaue (Cr)'!$C:$FB,64)</f>
        <v>157</v>
      </c>
      <c r="O135" s="51">
        <f>VLOOKUP($A135,'Data Vlaue (Cr)'!$C:$FB,66)*100</f>
        <v>-4.78</v>
      </c>
    </row>
    <row r="136" spans="1:15" x14ac:dyDescent="0.25">
      <c r="A136" s="101" t="str">
        <f>'Data Vlaue (Cr)'!C131</f>
        <v>MAZDOCK</v>
      </c>
      <c r="B136" s="50">
        <f>VLOOKUP($A136,'Data Vlaue (Cr)'!$C:$FB,8)</f>
        <v>2611.6</v>
      </c>
      <c r="C136" s="50">
        <f>VLOOKUP($A136,'Data Vlaue (Cr)'!$C:$FB,11)*100</f>
        <v>-4.45</v>
      </c>
      <c r="D136" s="50">
        <f>VLOOKUP($A136,'Data Vlaue (Cr)'!$C:$FB,143)</f>
        <v>4749.42</v>
      </c>
      <c r="E136" s="50">
        <f>VLOOKUP($A136,'Data Vlaue (Cr)'!$C:$FB,144)</f>
        <v>1882.63</v>
      </c>
      <c r="F136" s="50">
        <f>VLOOKUP($A136,'Data Vlaue (Cr)'!$C:$FB,146)*100</f>
        <v>152.28</v>
      </c>
      <c r="G136" s="49">
        <f>VLOOKUP($A136,'Data Vlaue (Cr)'!$C:$FB,43)</f>
        <v>790</v>
      </c>
      <c r="H136" s="49">
        <f>VLOOKUP($A136,'Data Vlaue (Cr)'!$C:$FB,44)</f>
        <v>290</v>
      </c>
      <c r="I136" s="49">
        <f>VLOOKUP($A136,'Data Vlaue (Cr)'!$C:$FB,46)*100</f>
        <v>172.91</v>
      </c>
      <c r="J136" s="51">
        <f>VLOOKUP($A136,'Data Vlaue (Cr)'!$C:$FB,59)</f>
        <v>2682</v>
      </c>
      <c r="K136" s="51">
        <f>VLOOKUP($A136,'Data Vlaue (Cr)'!$C:$FB,60)</f>
        <v>1063</v>
      </c>
      <c r="L136" s="51">
        <f>VLOOKUP($A136,'Data Vlaue (Cr)'!$C:$FB,62)*100</f>
        <v>152.28</v>
      </c>
      <c r="M136" s="51">
        <f>VLOOKUP($A136,'Data Vlaue (Cr)'!$C:$FB,63)</f>
        <v>1041</v>
      </c>
      <c r="N136" s="51">
        <f>VLOOKUP($A136,'Data Vlaue (Cr)'!$C:$FB,64)</f>
        <v>383</v>
      </c>
      <c r="O136" s="51">
        <f>VLOOKUP($A136,'Data Vlaue (Cr)'!$C:$FB,66)*100</f>
        <v>171.51000000000002</v>
      </c>
    </row>
    <row r="137" spans="1:15" x14ac:dyDescent="0.25">
      <c r="A137" s="101" t="str">
        <f>'Data Vlaue (Cr)'!C132</f>
        <v>MCX</v>
      </c>
      <c r="B137" s="50">
        <f>VLOOKUP($A137,'Data Vlaue (Cr)'!$C:$FB,8)</f>
        <v>2912.9</v>
      </c>
      <c r="C137" s="50">
        <f>VLOOKUP($A137,'Data Vlaue (Cr)'!$C:$FB,11)*100</f>
        <v>-1.97</v>
      </c>
      <c r="D137" s="50">
        <f>VLOOKUP($A137,'Data Vlaue (Cr)'!$C:$FB,143)</f>
        <v>6848.85</v>
      </c>
      <c r="E137" s="50">
        <f>VLOOKUP($A137,'Data Vlaue (Cr)'!$C:$FB,144)</f>
        <v>5164.2</v>
      </c>
      <c r="F137" s="50">
        <f>VLOOKUP($A137,'Data Vlaue (Cr)'!$C:$FB,146)*100</f>
        <v>32.619999999999997</v>
      </c>
      <c r="G137" s="49">
        <f>VLOOKUP($A137,'Data Vlaue (Cr)'!$C:$FB,43)</f>
        <v>1281</v>
      </c>
      <c r="H137" s="49">
        <f>VLOOKUP($A137,'Data Vlaue (Cr)'!$C:$FB,44)</f>
        <v>864</v>
      </c>
      <c r="I137" s="49">
        <f>VLOOKUP($A137,'Data Vlaue (Cr)'!$C:$FB,46)*100</f>
        <v>48.26</v>
      </c>
      <c r="J137" s="51">
        <f>VLOOKUP($A137,'Data Vlaue (Cr)'!$C:$FB,59)</f>
        <v>3097</v>
      </c>
      <c r="K137" s="51">
        <f>VLOOKUP($A137,'Data Vlaue (Cr)'!$C:$FB,60)</f>
        <v>2432</v>
      </c>
      <c r="L137" s="51">
        <f>VLOOKUP($A137,'Data Vlaue (Cr)'!$C:$FB,62)*100</f>
        <v>27.339999999999996</v>
      </c>
      <c r="M137" s="51">
        <f>VLOOKUP($A137,'Data Vlaue (Cr)'!$C:$FB,63)</f>
        <v>2243</v>
      </c>
      <c r="N137" s="51">
        <f>VLOOKUP($A137,'Data Vlaue (Cr)'!$C:$FB,64)</f>
        <v>1687</v>
      </c>
      <c r="O137" s="51">
        <f>VLOOKUP($A137,'Data Vlaue (Cr)'!$C:$FB,66)*100</f>
        <v>33</v>
      </c>
    </row>
    <row r="138" spans="1:15" x14ac:dyDescent="0.25">
      <c r="A138" s="101" t="str">
        <f>'Data Vlaue (Cr)'!C133</f>
        <v>MFSL</v>
      </c>
      <c r="B138" s="50">
        <f>VLOOKUP($A138,'Data Vlaue (Cr)'!$C:$FB,8)</f>
        <v>1606.7</v>
      </c>
      <c r="C138" s="50">
        <f>VLOOKUP($A138,'Data Vlaue (Cr)'!$C:$FB,11)*100</f>
        <v>1.32</v>
      </c>
      <c r="D138" s="50">
        <f>VLOOKUP($A138,'Data Vlaue (Cr)'!$C:$FB,143)</f>
        <v>174.41</v>
      </c>
      <c r="E138" s="50">
        <f>VLOOKUP($A138,'Data Vlaue (Cr)'!$C:$FB,144)</f>
        <v>90.33</v>
      </c>
      <c r="F138" s="50">
        <f>VLOOKUP($A138,'Data Vlaue (Cr)'!$C:$FB,146)*100</f>
        <v>93.08</v>
      </c>
      <c r="G138" s="49">
        <f>VLOOKUP($A138,'Data Vlaue (Cr)'!$C:$FB,43)</f>
        <v>57</v>
      </c>
      <c r="H138" s="49">
        <f>VLOOKUP($A138,'Data Vlaue (Cr)'!$C:$FB,44)</f>
        <v>46</v>
      </c>
      <c r="I138" s="49">
        <f>VLOOKUP($A138,'Data Vlaue (Cr)'!$C:$FB,46)*100</f>
        <v>23.599999999999998</v>
      </c>
      <c r="J138" s="51">
        <f>VLOOKUP($A138,'Data Vlaue (Cr)'!$C:$FB,59)</f>
        <v>86</v>
      </c>
      <c r="K138" s="51">
        <f>VLOOKUP($A138,'Data Vlaue (Cr)'!$C:$FB,60)</f>
        <v>31</v>
      </c>
      <c r="L138" s="51">
        <f>VLOOKUP($A138,'Data Vlaue (Cr)'!$C:$FB,62)*100</f>
        <v>180.55</v>
      </c>
      <c r="M138" s="51">
        <f>VLOOKUP($A138,'Data Vlaue (Cr)'!$C:$FB,63)</f>
        <v>28</v>
      </c>
      <c r="N138" s="51">
        <f>VLOOKUP($A138,'Data Vlaue (Cr)'!$C:$FB,64)</f>
        <v>12</v>
      </c>
      <c r="O138" s="51">
        <f>VLOOKUP($A138,'Data Vlaue (Cr)'!$C:$FB,66)*100</f>
        <v>121.24</v>
      </c>
    </row>
    <row r="139" spans="1:15" x14ac:dyDescent="0.25">
      <c r="A139" s="101" t="str">
        <f>'Data Vlaue (Cr)'!C134</f>
        <v>MIDCPNIFTY</v>
      </c>
      <c r="B139" s="50">
        <f>VLOOKUP($A139,'Data Vlaue (Cr)'!$C:$FB,8)</f>
        <v>13930.2</v>
      </c>
      <c r="C139" s="50">
        <f>VLOOKUP($A139,'Data Vlaue (Cr)'!$C:$FB,11)*100</f>
        <v>0.75</v>
      </c>
      <c r="D139" s="50">
        <f>VLOOKUP($A139,'Data Vlaue (Cr)'!$C:$FB,143)</f>
        <v>19291.71</v>
      </c>
      <c r="E139" s="50">
        <f>VLOOKUP($A139,'Data Vlaue (Cr)'!$C:$FB,144)</f>
        <v>19168.93</v>
      </c>
      <c r="F139" s="50">
        <f>VLOOKUP($A139,'Data Vlaue (Cr)'!$C:$FB,146)*100</f>
        <v>0.64</v>
      </c>
      <c r="G139" s="49">
        <f>VLOOKUP($A139,'Data Vlaue (Cr)'!$C:$FB,43)</f>
        <v>615</v>
      </c>
      <c r="H139" s="49">
        <f>VLOOKUP($A139,'Data Vlaue (Cr)'!$C:$FB,44)</f>
        <v>1085</v>
      </c>
      <c r="I139" s="49">
        <f>VLOOKUP($A139,'Data Vlaue (Cr)'!$C:$FB,46)*100</f>
        <v>-43.36</v>
      </c>
      <c r="J139" s="51">
        <f>VLOOKUP($A139,'Data Vlaue (Cr)'!$C:$FB,59)</f>
        <v>9298</v>
      </c>
      <c r="K139" s="51">
        <f>VLOOKUP($A139,'Data Vlaue (Cr)'!$C:$FB,60)</f>
        <v>9994</v>
      </c>
      <c r="L139" s="51">
        <f>VLOOKUP($A139,'Data Vlaue (Cr)'!$C:$FB,62)*100</f>
        <v>-6.9599999999999991</v>
      </c>
      <c r="M139" s="51">
        <f>VLOOKUP($A139,'Data Vlaue (Cr)'!$C:$FB,63)</f>
        <v>9315</v>
      </c>
      <c r="N139" s="51">
        <f>VLOOKUP($A139,'Data Vlaue (Cr)'!$C:$FB,64)</f>
        <v>7928</v>
      </c>
      <c r="O139" s="51">
        <f>VLOOKUP($A139,'Data Vlaue (Cr)'!$C:$FB,66)*100</f>
        <v>17.5</v>
      </c>
    </row>
    <row r="140" spans="1:15" x14ac:dyDescent="0.25">
      <c r="A140" s="101" t="str">
        <f>'Data Vlaue (Cr)'!C135</f>
        <v>MOTHERSON</v>
      </c>
      <c r="B140" s="50">
        <f>VLOOKUP($A140,'Data Vlaue (Cr)'!$C:$FB,8)</f>
        <v>120.21</v>
      </c>
      <c r="C140" s="50">
        <f>VLOOKUP($A140,'Data Vlaue (Cr)'!$C:$FB,11)*100</f>
        <v>-0.83</v>
      </c>
      <c r="D140" s="50">
        <f>VLOOKUP($A140,'Data Vlaue (Cr)'!$C:$FB,143)</f>
        <v>423.29</v>
      </c>
      <c r="E140" s="50">
        <f>VLOOKUP($A140,'Data Vlaue (Cr)'!$C:$FB,144)</f>
        <v>753.14</v>
      </c>
      <c r="F140" s="50">
        <f>VLOOKUP($A140,'Data Vlaue (Cr)'!$C:$FB,146)*100</f>
        <v>-43.8</v>
      </c>
      <c r="G140" s="49">
        <f>VLOOKUP($A140,'Data Vlaue (Cr)'!$C:$FB,43)</f>
        <v>160</v>
      </c>
      <c r="H140" s="49">
        <f>VLOOKUP($A140,'Data Vlaue (Cr)'!$C:$FB,44)</f>
        <v>232</v>
      </c>
      <c r="I140" s="49">
        <f>VLOOKUP($A140,'Data Vlaue (Cr)'!$C:$FB,46)*100</f>
        <v>-31.05</v>
      </c>
      <c r="J140" s="51">
        <f>VLOOKUP($A140,'Data Vlaue (Cr)'!$C:$FB,59)</f>
        <v>170</v>
      </c>
      <c r="K140" s="51">
        <f>VLOOKUP($A140,'Data Vlaue (Cr)'!$C:$FB,60)</f>
        <v>309</v>
      </c>
      <c r="L140" s="51">
        <f>VLOOKUP($A140,'Data Vlaue (Cr)'!$C:$FB,62)*100</f>
        <v>-45.07</v>
      </c>
      <c r="M140" s="51">
        <f>VLOOKUP($A140,'Data Vlaue (Cr)'!$C:$FB,63)</f>
        <v>75</v>
      </c>
      <c r="N140" s="51">
        <f>VLOOKUP($A140,'Data Vlaue (Cr)'!$C:$FB,64)</f>
        <v>175</v>
      </c>
      <c r="O140" s="51">
        <f>VLOOKUP($A140,'Data Vlaue (Cr)'!$C:$FB,66)*100</f>
        <v>-56.889999999999993</v>
      </c>
    </row>
    <row r="141" spans="1:15" x14ac:dyDescent="0.25">
      <c r="A141" s="101" t="str">
        <f>'Data Vlaue (Cr)'!C136</f>
        <v>MOTILALOFS</v>
      </c>
      <c r="B141" s="50">
        <f>VLOOKUP($A141,'Data Vlaue (Cr)'!$C:$FB,8)</f>
        <v>836.6</v>
      </c>
      <c r="C141" s="50">
        <f>VLOOKUP($A141,'Data Vlaue (Cr)'!$C:$FB,11)*100</f>
        <v>4.54</v>
      </c>
      <c r="D141" s="50">
        <f>VLOOKUP($A141,'Data Vlaue (Cr)'!$C:$FB,143)</f>
        <v>713.17</v>
      </c>
      <c r="E141" s="50">
        <f>VLOOKUP($A141,'Data Vlaue (Cr)'!$C:$FB,144)</f>
        <v>1335.4</v>
      </c>
      <c r="F141" s="50">
        <f>VLOOKUP($A141,'Data Vlaue (Cr)'!$C:$FB,146)*100</f>
        <v>-46.589999999999996</v>
      </c>
      <c r="G141" s="49">
        <f>VLOOKUP($A141,'Data Vlaue (Cr)'!$C:$FB,43)</f>
        <v>154</v>
      </c>
      <c r="H141" s="49">
        <f>VLOOKUP($A141,'Data Vlaue (Cr)'!$C:$FB,44)</f>
        <v>256</v>
      </c>
      <c r="I141" s="49">
        <f>VLOOKUP($A141,'Data Vlaue (Cr)'!$C:$FB,46)*100</f>
        <v>-39.69</v>
      </c>
      <c r="J141" s="51">
        <f>VLOOKUP($A141,'Data Vlaue (Cr)'!$C:$FB,59)</f>
        <v>439</v>
      </c>
      <c r="K141" s="51">
        <f>VLOOKUP($A141,'Data Vlaue (Cr)'!$C:$FB,60)</f>
        <v>773</v>
      </c>
      <c r="L141" s="51">
        <f>VLOOKUP($A141,'Data Vlaue (Cr)'!$C:$FB,62)*100</f>
        <v>-43.230000000000004</v>
      </c>
      <c r="M141" s="51">
        <f>VLOOKUP($A141,'Data Vlaue (Cr)'!$C:$FB,63)</f>
        <v>107</v>
      </c>
      <c r="N141" s="51">
        <f>VLOOKUP($A141,'Data Vlaue (Cr)'!$C:$FB,64)</f>
        <v>319</v>
      </c>
      <c r="O141" s="51">
        <f>VLOOKUP($A141,'Data Vlaue (Cr)'!$C:$FB,66)*100</f>
        <v>-66.36999999999999</v>
      </c>
    </row>
    <row r="142" spans="1:15" x14ac:dyDescent="0.25">
      <c r="A142" s="101" t="str">
        <f>'Data Vlaue (Cr)'!C137</f>
        <v>MPHASIS</v>
      </c>
      <c r="B142" s="50">
        <f>VLOOKUP($A142,'Data Vlaue (Cr)'!$C:$FB,8)</f>
        <v>2276.6</v>
      </c>
      <c r="C142" s="50">
        <f>VLOOKUP($A142,'Data Vlaue (Cr)'!$C:$FB,11)*100</f>
        <v>0</v>
      </c>
      <c r="D142" s="50">
        <f>VLOOKUP($A142,'Data Vlaue (Cr)'!$C:$FB,143)</f>
        <v>648.82000000000005</v>
      </c>
      <c r="E142" s="50">
        <f>VLOOKUP($A142,'Data Vlaue (Cr)'!$C:$FB,144)</f>
        <v>4114.07</v>
      </c>
      <c r="F142" s="50">
        <f>VLOOKUP($A142,'Data Vlaue (Cr)'!$C:$FB,146)*100</f>
        <v>-84.23</v>
      </c>
      <c r="G142" s="49">
        <f>VLOOKUP($A142,'Data Vlaue (Cr)'!$C:$FB,43)</f>
        <v>170</v>
      </c>
      <c r="H142" s="49">
        <f>VLOOKUP($A142,'Data Vlaue (Cr)'!$C:$FB,44)</f>
        <v>714</v>
      </c>
      <c r="I142" s="49">
        <f>VLOOKUP($A142,'Data Vlaue (Cr)'!$C:$FB,46)*100</f>
        <v>-76.239999999999995</v>
      </c>
      <c r="J142" s="51">
        <f>VLOOKUP($A142,'Data Vlaue (Cr)'!$C:$FB,59)</f>
        <v>309</v>
      </c>
      <c r="K142" s="51">
        <f>VLOOKUP($A142,'Data Vlaue (Cr)'!$C:$FB,60)</f>
        <v>2231</v>
      </c>
      <c r="L142" s="51">
        <f>VLOOKUP($A142,'Data Vlaue (Cr)'!$C:$FB,62)*100</f>
        <v>-86.17</v>
      </c>
      <c r="M142" s="51">
        <f>VLOOKUP($A142,'Data Vlaue (Cr)'!$C:$FB,63)</f>
        <v>150</v>
      </c>
      <c r="N142" s="51">
        <f>VLOOKUP($A142,'Data Vlaue (Cr)'!$C:$FB,64)</f>
        <v>1010</v>
      </c>
      <c r="O142" s="51">
        <f>VLOOKUP($A142,'Data Vlaue (Cr)'!$C:$FB,66)*100</f>
        <v>-85.14</v>
      </c>
    </row>
    <row r="143" spans="1:15" x14ac:dyDescent="0.25">
      <c r="A143" s="101" t="str">
        <f>'Data Vlaue (Cr)'!C138</f>
        <v>MUTHOOTFIN</v>
      </c>
      <c r="B143" s="50">
        <f>VLOOKUP($A143,'Data Vlaue (Cr)'!$C:$FB,8)</f>
        <v>3487.7</v>
      </c>
      <c r="C143" s="50">
        <f>VLOOKUP($A143,'Data Vlaue (Cr)'!$C:$FB,11)*100</f>
        <v>1.8499999999999999</v>
      </c>
      <c r="D143" s="50">
        <f>VLOOKUP($A143,'Data Vlaue (Cr)'!$C:$FB,143)</f>
        <v>812.93</v>
      </c>
      <c r="E143" s="50">
        <f>VLOOKUP($A143,'Data Vlaue (Cr)'!$C:$FB,144)</f>
        <v>510.15</v>
      </c>
      <c r="F143" s="50">
        <f>VLOOKUP($A143,'Data Vlaue (Cr)'!$C:$FB,146)*100</f>
        <v>59.35</v>
      </c>
      <c r="G143" s="49">
        <f>VLOOKUP($A143,'Data Vlaue (Cr)'!$C:$FB,43)</f>
        <v>180</v>
      </c>
      <c r="H143" s="49">
        <f>VLOOKUP($A143,'Data Vlaue (Cr)'!$C:$FB,44)</f>
        <v>192</v>
      </c>
      <c r="I143" s="49">
        <f>VLOOKUP($A143,'Data Vlaue (Cr)'!$C:$FB,46)*100</f>
        <v>-6.3299999999999992</v>
      </c>
      <c r="J143" s="51">
        <f>VLOOKUP($A143,'Data Vlaue (Cr)'!$C:$FB,59)</f>
        <v>459</v>
      </c>
      <c r="K143" s="51">
        <f>VLOOKUP($A143,'Data Vlaue (Cr)'!$C:$FB,60)</f>
        <v>180</v>
      </c>
      <c r="L143" s="51">
        <f>VLOOKUP($A143,'Data Vlaue (Cr)'!$C:$FB,62)*100</f>
        <v>154.26999999999998</v>
      </c>
      <c r="M143" s="51">
        <f>VLOOKUP($A143,'Data Vlaue (Cr)'!$C:$FB,63)</f>
        <v>141</v>
      </c>
      <c r="N143" s="51">
        <f>VLOOKUP($A143,'Data Vlaue (Cr)'!$C:$FB,64)</f>
        <v>133</v>
      </c>
      <c r="O143" s="51">
        <f>VLOOKUP($A143,'Data Vlaue (Cr)'!$C:$FB,66)*100</f>
        <v>5.71</v>
      </c>
    </row>
    <row r="144" spans="1:15" x14ac:dyDescent="0.25">
      <c r="A144" s="101" t="str">
        <f>'Data Vlaue (Cr)'!C139</f>
        <v>NAM-INDIA</v>
      </c>
      <c r="B144" s="50">
        <f>VLOOKUP($A144,'Data Vlaue (Cr)'!$C:$FB,8)</f>
        <v>1019.3</v>
      </c>
      <c r="C144" s="50">
        <f>VLOOKUP($A144,'Data Vlaue (Cr)'!$C:$FB,11)*100</f>
        <v>0.92999999999999994</v>
      </c>
      <c r="D144" s="50">
        <f>VLOOKUP($A144,'Data Vlaue (Cr)'!$C:$FB,143)</f>
        <v>181.42</v>
      </c>
      <c r="E144" s="50">
        <f>VLOOKUP($A144,'Data Vlaue (Cr)'!$C:$FB,144)</f>
        <v>354.91</v>
      </c>
      <c r="F144" s="50">
        <f>VLOOKUP($A144,'Data Vlaue (Cr)'!$C:$FB,146)*100</f>
        <v>-48.88</v>
      </c>
      <c r="G144" s="49">
        <f>VLOOKUP($A144,'Data Vlaue (Cr)'!$C:$FB,43)</f>
        <v>66</v>
      </c>
      <c r="H144" s="49">
        <f>VLOOKUP($A144,'Data Vlaue (Cr)'!$C:$FB,44)</f>
        <v>89</v>
      </c>
      <c r="I144" s="49">
        <f>VLOOKUP($A144,'Data Vlaue (Cr)'!$C:$FB,46)*100</f>
        <v>-25.929999999999996</v>
      </c>
      <c r="J144" s="51">
        <f>VLOOKUP($A144,'Data Vlaue (Cr)'!$C:$FB,59)</f>
        <v>86</v>
      </c>
      <c r="K144" s="51">
        <f>VLOOKUP($A144,'Data Vlaue (Cr)'!$C:$FB,60)</f>
        <v>178</v>
      </c>
      <c r="L144" s="51">
        <f>VLOOKUP($A144,'Data Vlaue (Cr)'!$C:$FB,62)*100</f>
        <v>-51.66</v>
      </c>
      <c r="M144" s="51">
        <f>VLOOKUP($A144,'Data Vlaue (Cr)'!$C:$FB,63)</f>
        <v>21</v>
      </c>
      <c r="N144" s="51">
        <f>VLOOKUP($A144,'Data Vlaue (Cr)'!$C:$FB,64)</f>
        <v>74</v>
      </c>
      <c r="O144" s="51">
        <f>VLOOKUP($A144,'Data Vlaue (Cr)'!$C:$FB,66)*100</f>
        <v>-72.08</v>
      </c>
    </row>
    <row r="145" spans="1:15" x14ac:dyDescent="0.25">
      <c r="A145" s="101" t="str">
        <f>'Data Vlaue (Cr)'!C140</f>
        <v>NATIONALUM</v>
      </c>
      <c r="B145" s="50">
        <f>VLOOKUP($A145,'Data Vlaue (Cr)'!$C:$FB,8)</f>
        <v>407.8</v>
      </c>
      <c r="C145" s="50">
        <f>VLOOKUP($A145,'Data Vlaue (Cr)'!$C:$FB,11)*100</f>
        <v>2.13</v>
      </c>
      <c r="D145" s="50">
        <f>VLOOKUP($A145,'Data Vlaue (Cr)'!$C:$FB,143)</f>
        <v>4167.22</v>
      </c>
      <c r="E145" s="50">
        <f>VLOOKUP($A145,'Data Vlaue (Cr)'!$C:$FB,144)</f>
        <v>5357.4</v>
      </c>
      <c r="F145" s="50">
        <f>VLOOKUP($A145,'Data Vlaue (Cr)'!$C:$FB,146)*100</f>
        <v>-22.220000000000002</v>
      </c>
      <c r="G145" s="49">
        <f>VLOOKUP($A145,'Data Vlaue (Cr)'!$C:$FB,43)</f>
        <v>895</v>
      </c>
      <c r="H145" s="49">
        <f>VLOOKUP($A145,'Data Vlaue (Cr)'!$C:$FB,44)</f>
        <v>1244</v>
      </c>
      <c r="I145" s="49">
        <f>VLOOKUP($A145,'Data Vlaue (Cr)'!$C:$FB,46)*100</f>
        <v>-28.060000000000002</v>
      </c>
      <c r="J145" s="51">
        <f>VLOOKUP($A145,'Data Vlaue (Cr)'!$C:$FB,59)</f>
        <v>2174</v>
      </c>
      <c r="K145" s="51">
        <f>VLOOKUP($A145,'Data Vlaue (Cr)'!$C:$FB,60)</f>
        <v>2203</v>
      </c>
      <c r="L145" s="51">
        <f>VLOOKUP($A145,'Data Vlaue (Cr)'!$C:$FB,62)*100</f>
        <v>-1.3</v>
      </c>
      <c r="M145" s="51">
        <f>VLOOKUP($A145,'Data Vlaue (Cr)'!$C:$FB,63)</f>
        <v>980</v>
      </c>
      <c r="N145" s="51">
        <f>VLOOKUP($A145,'Data Vlaue (Cr)'!$C:$FB,64)</f>
        <v>1658</v>
      </c>
      <c r="O145" s="51">
        <f>VLOOKUP($A145,'Data Vlaue (Cr)'!$C:$FB,66)*100</f>
        <v>-40.92</v>
      </c>
    </row>
    <row r="146" spans="1:15" x14ac:dyDescent="0.25">
      <c r="A146" s="101" t="str">
        <f>'Data Vlaue (Cr)'!C141</f>
        <v>NAUKRI</v>
      </c>
      <c r="B146" s="50">
        <f>VLOOKUP($A146,'Data Vlaue (Cr)'!$C:$FB,8)</f>
        <v>976.65</v>
      </c>
      <c r="C146" s="50">
        <f>VLOOKUP($A146,'Data Vlaue (Cr)'!$C:$FB,11)*100</f>
        <v>0.38999999999999996</v>
      </c>
      <c r="D146" s="50">
        <f>VLOOKUP($A146,'Data Vlaue (Cr)'!$C:$FB,143)</f>
        <v>257.76</v>
      </c>
      <c r="E146" s="50">
        <f>VLOOKUP($A146,'Data Vlaue (Cr)'!$C:$FB,144)</f>
        <v>408.61</v>
      </c>
      <c r="F146" s="50">
        <f>VLOOKUP($A146,'Data Vlaue (Cr)'!$C:$FB,146)*100</f>
        <v>-36.919999999999995</v>
      </c>
      <c r="G146" s="49">
        <f>VLOOKUP($A146,'Data Vlaue (Cr)'!$C:$FB,43)</f>
        <v>98</v>
      </c>
      <c r="H146" s="49">
        <f>VLOOKUP($A146,'Data Vlaue (Cr)'!$C:$FB,44)</f>
        <v>145</v>
      </c>
      <c r="I146" s="49">
        <f>VLOOKUP($A146,'Data Vlaue (Cr)'!$C:$FB,46)*100</f>
        <v>-32.659999999999997</v>
      </c>
      <c r="J146" s="51">
        <f>VLOOKUP($A146,'Data Vlaue (Cr)'!$C:$FB,59)</f>
        <v>120</v>
      </c>
      <c r="K146" s="51">
        <f>VLOOKUP($A146,'Data Vlaue (Cr)'!$C:$FB,60)</f>
        <v>165</v>
      </c>
      <c r="L146" s="51">
        <f>VLOOKUP($A146,'Data Vlaue (Cr)'!$C:$FB,62)*100</f>
        <v>-27.339999999999996</v>
      </c>
      <c r="M146" s="51">
        <f>VLOOKUP($A146,'Data Vlaue (Cr)'!$C:$FB,63)</f>
        <v>30</v>
      </c>
      <c r="N146" s="51">
        <f>VLOOKUP($A146,'Data Vlaue (Cr)'!$C:$FB,64)</f>
        <v>88</v>
      </c>
      <c r="O146" s="51">
        <f>VLOOKUP($A146,'Data Vlaue (Cr)'!$C:$FB,66)*100</f>
        <v>-66.33</v>
      </c>
    </row>
    <row r="147" spans="1:15" x14ac:dyDescent="0.25">
      <c r="A147" s="101" t="str">
        <f>'Data Vlaue (Cr)'!C142</f>
        <v>NBCC</v>
      </c>
      <c r="B147" s="50">
        <f>VLOOKUP($A147,'Data Vlaue (Cr)'!$C:$FB,8)</f>
        <v>92.52</v>
      </c>
      <c r="C147" s="50">
        <f>VLOOKUP($A147,'Data Vlaue (Cr)'!$C:$FB,11)*100</f>
        <v>0.95</v>
      </c>
      <c r="D147" s="50">
        <f>VLOOKUP($A147,'Data Vlaue (Cr)'!$C:$FB,143)</f>
        <v>191.44</v>
      </c>
      <c r="E147" s="50">
        <f>VLOOKUP($A147,'Data Vlaue (Cr)'!$C:$FB,144)</f>
        <v>247.63</v>
      </c>
      <c r="F147" s="50">
        <f>VLOOKUP($A147,'Data Vlaue (Cr)'!$C:$FB,146)*100</f>
        <v>-22.689999999999998</v>
      </c>
      <c r="G147" s="49">
        <f>VLOOKUP($A147,'Data Vlaue (Cr)'!$C:$FB,43)</f>
        <v>58</v>
      </c>
      <c r="H147" s="49">
        <f>VLOOKUP($A147,'Data Vlaue (Cr)'!$C:$FB,44)</f>
        <v>88</v>
      </c>
      <c r="I147" s="49">
        <f>VLOOKUP($A147,'Data Vlaue (Cr)'!$C:$FB,46)*100</f>
        <v>-33.629999999999995</v>
      </c>
      <c r="J147" s="51">
        <f>VLOOKUP($A147,'Data Vlaue (Cr)'!$C:$FB,59)</f>
        <v>82</v>
      </c>
      <c r="K147" s="51">
        <f>VLOOKUP($A147,'Data Vlaue (Cr)'!$C:$FB,60)</f>
        <v>97</v>
      </c>
      <c r="L147" s="51">
        <f>VLOOKUP($A147,'Data Vlaue (Cr)'!$C:$FB,62)*100</f>
        <v>-15.629999999999999</v>
      </c>
      <c r="M147" s="51">
        <f>VLOOKUP($A147,'Data Vlaue (Cr)'!$C:$FB,63)</f>
        <v>47</v>
      </c>
      <c r="N147" s="51">
        <f>VLOOKUP($A147,'Data Vlaue (Cr)'!$C:$FB,64)</f>
        <v>60</v>
      </c>
      <c r="O147" s="51">
        <f>VLOOKUP($A147,'Data Vlaue (Cr)'!$C:$FB,66)*100</f>
        <v>-20.849999999999998</v>
      </c>
    </row>
    <row r="148" spans="1:15" x14ac:dyDescent="0.25">
      <c r="A148" s="101" t="str">
        <f>'Data Vlaue (Cr)'!C143</f>
        <v>NESTLEIND</v>
      </c>
      <c r="B148" s="50">
        <f>VLOOKUP($A148,'Data Vlaue (Cr)'!$C:$FB,8)</f>
        <v>1457.1</v>
      </c>
      <c r="C148" s="50">
        <f>VLOOKUP($A148,'Data Vlaue (Cr)'!$C:$FB,11)*100</f>
        <v>-0.1</v>
      </c>
      <c r="D148" s="50">
        <f>VLOOKUP($A148,'Data Vlaue (Cr)'!$C:$FB,143)</f>
        <v>1088.48</v>
      </c>
      <c r="E148" s="50">
        <f>VLOOKUP($A148,'Data Vlaue (Cr)'!$C:$FB,144)</f>
        <v>1582.2</v>
      </c>
      <c r="F148" s="50">
        <f>VLOOKUP($A148,'Data Vlaue (Cr)'!$C:$FB,146)*100</f>
        <v>-31.209999999999997</v>
      </c>
      <c r="G148" s="49">
        <f>VLOOKUP($A148,'Data Vlaue (Cr)'!$C:$FB,43)</f>
        <v>229</v>
      </c>
      <c r="H148" s="49">
        <f>VLOOKUP($A148,'Data Vlaue (Cr)'!$C:$FB,44)</f>
        <v>283</v>
      </c>
      <c r="I148" s="49">
        <f>VLOOKUP($A148,'Data Vlaue (Cr)'!$C:$FB,46)*100</f>
        <v>-18.86</v>
      </c>
      <c r="J148" s="51">
        <f>VLOOKUP($A148,'Data Vlaue (Cr)'!$C:$FB,59)</f>
        <v>526</v>
      </c>
      <c r="K148" s="51">
        <f>VLOOKUP($A148,'Data Vlaue (Cr)'!$C:$FB,60)</f>
        <v>703</v>
      </c>
      <c r="L148" s="51">
        <f>VLOOKUP($A148,'Data Vlaue (Cr)'!$C:$FB,62)*100</f>
        <v>-25.290000000000003</v>
      </c>
      <c r="M148" s="51">
        <f>VLOOKUP($A148,'Data Vlaue (Cr)'!$C:$FB,63)</f>
        <v>315</v>
      </c>
      <c r="N148" s="51">
        <f>VLOOKUP($A148,'Data Vlaue (Cr)'!$C:$FB,64)</f>
        <v>581</v>
      </c>
      <c r="O148" s="51">
        <f>VLOOKUP($A148,'Data Vlaue (Cr)'!$C:$FB,66)*100</f>
        <v>-45.87</v>
      </c>
    </row>
    <row r="149" spans="1:15" x14ac:dyDescent="0.25">
      <c r="A149" s="101" t="str">
        <f>'Data Vlaue (Cr)'!C144</f>
        <v>NHPC</v>
      </c>
      <c r="B149" s="50">
        <f>VLOOKUP($A149,'Data Vlaue (Cr)'!$C:$FB,8)</f>
        <v>83.28</v>
      </c>
      <c r="C149" s="50">
        <f>VLOOKUP($A149,'Data Vlaue (Cr)'!$C:$FB,11)*100</f>
        <v>0.1</v>
      </c>
      <c r="D149" s="50">
        <f>VLOOKUP($A149,'Data Vlaue (Cr)'!$C:$FB,143)</f>
        <v>461.28</v>
      </c>
      <c r="E149" s="50">
        <f>VLOOKUP($A149,'Data Vlaue (Cr)'!$C:$FB,144)</f>
        <v>504.86</v>
      </c>
      <c r="F149" s="50">
        <f>VLOOKUP($A149,'Data Vlaue (Cr)'!$C:$FB,146)*100</f>
        <v>-8.6300000000000008</v>
      </c>
      <c r="G149" s="49">
        <f>VLOOKUP($A149,'Data Vlaue (Cr)'!$C:$FB,43)</f>
        <v>103</v>
      </c>
      <c r="H149" s="49">
        <f>VLOOKUP($A149,'Data Vlaue (Cr)'!$C:$FB,44)</f>
        <v>106</v>
      </c>
      <c r="I149" s="49">
        <f>VLOOKUP($A149,'Data Vlaue (Cr)'!$C:$FB,46)*100</f>
        <v>-3.53</v>
      </c>
      <c r="J149" s="51">
        <f>VLOOKUP($A149,'Data Vlaue (Cr)'!$C:$FB,59)</f>
        <v>249</v>
      </c>
      <c r="K149" s="51">
        <f>VLOOKUP($A149,'Data Vlaue (Cr)'!$C:$FB,60)</f>
        <v>268</v>
      </c>
      <c r="L149" s="51">
        <f>VLOOKUP($A149,'Data Vlaue (Cr)'!$C:$FB,62)*100</f>
        <v>-7.39</v>
      </c>
      <c r="M149" s="51">
        <f>VLOOKUP($A149,'Data Vlaue (Cr)'!$C:$FB,63)</f>
        <v>92</v>
      </c>
      <c r="N149" s="51">
        <f>VLOOKUP($A149,'Data Vlaue (Cr)'!$C:$FB,64)</f>
        <v>112</v>
      </c>
      <c r="O149" s="51">
        <f>VLOOKUP($A149,'Data Vlaue (Cr)'!$C:$FB,66)*100</f>
        <v>-18.029999999999998</v>
      </c>
    </row>
    <row r="150" spans="1:15" x14ac:dyDescent="0.25">
      <c r="A150" s="101" t="str">
        <f>'Data Vlaue (Cr)'!C145</f>
        <v>NIFTY</v>
      </c>
      <c r="B150" s="50">
        <f>VLOOKUP($A150,'Data Vlaue (Cr)'!$C:$FB,8)</f>
        <v>24119.3</v>
      </c>
      <c r="C150" s="50">
        <f>VLOOKUP($A150,'Data Vlaue (Cr)'!$C:$FB,11)*100</f>
        <v>0.51</v>
      </c>
      <c r="D150" s="50">
        <f>VLOOKUP($A150,'Data Vlaue (Cr)'!$C:$FB,143)</f>
        <v>27354640.960000001</v>
      </c>
      <c r="E150" s="50">
        <f>VLOOKUP($A150,'Data Vlaue (Cr)'!$C:$FB,144)</f>
        <v>7886284.5599999996</v>
      </c>
      <c r="F150" s="50">
        <f>VLOOKUP($A150,'Data Vlaue (Cr)'!$C:$FB,146)*100</f>
        <v>246.85999999999999</v>
      </c>
      <c r="G150" s="49">
        <f>VLOOKUP($A150,'Data Vlaue (Cr)'!$C:$FB,43)</f>
        <v>12860</v>
      </c>
      <c r="H150" s="49">
        <f>VLOOKUP($A150,'Data Vlaue (Cr)'!$C:$FB,44)</f>
        <v>16659</v>
      </c>
      <c r="I150" s="49">
        <f>VLOOKUP($A150,'Data Vlaue (Cr)'!$C:$FB,46)*100</f>
        <v>-22.81</v>
      </c>
      <c r="J150" s="51">
        <f>VLOOKUP($A150,'Data Vlaue (Cr)'!$C:$FB,59)</f>
        <v>13039311</v>
      </c>
      <c r="K150" s="51">
        <f>VLOOKUP($A150,'Data Vlaue (Cr)'!$C:$FB,60)</f>
        <v>4124660</v>
      </c>
      <c r="L150" s="51">
        <f>VLOOKUP($A150,'Data Vlaue (Cr)'!$C:$FB,62)*100</f>
        <v>216.13000000000002</v>
      </c>
      <c r="M150" s="51">
        <f>VLOOKUP($A150,'Data Vlaue (Cr)'!$C:$FB,63)</f>
        <v>14309149</v>
      </c>
      <c r="N150" s="51">
        <f>VLOOKUP($A150,'Data Vlaue (Cr)'!$C:$FB,64)</f>
        <v>3782369</v>
      </c>
      <c r="O150" s="51">
        <f>VLOOKUP($A150,'Data Vlaue (Cr)'!$C:$FB,66)*100</f>
        <v>278.31</v>
      </c>
    </row>
    <row r="151" spans="1:15" x14ac:dyDescent="0.25">
      <c r="A151" s="101" t="str">
        <f>'Data Vlaue (Cr)'!C146</f>
        <v>NIFTYNXT50</v>
      </c>
      <c r="B151" s="50">
        <f>VLOOKUP($A151,'Data Vlaue (Cr)'!$C:$FB,8)</f>
        <v>70283.850000000006</v>
      </c>
      <c r="C151" s="50">
        <f>VLOOKUP($A151,'Data Vlaue (Cr)'!$C:$FB,11)*100</f>
        <v>0.91999999999999993</v>
      </c>
      <c r="D151" s="50">
        <f>VLOOKUP($A151,'Data Vlaue (Cr)'!$C:$FB,143)</f>
        <v>63.11</v>
      </c>
      <c r="E151" s="50">
        <f>VLOOKUP($A151,'Data Vlaue (Cr)'!$C:$FB,144)</f>
        <v>46.21</v>
      </c>
      <c r="F151" s="50">
        <f>VLOOKUP($A151,'Data Vlaue (Cr)'!$C:$FB,146)*100</f>
        <v>36.57</v>
      </c>
      <c r="G151" s="49">
        <f>VLOOKUP($A151,'Data Vlaue (Cr)'!$C:$FB,43)</f>
        <v>36</v>
      </c>
      <c r="H151" s="49">
        <f>VLOOKUP($A151,'Data Vlaue (Cr)'!$C:$FB,44)</f>
        <v>42</v>
      </c>
      <c r="I151" s="49">
        <f>VLOOKUP($A151,'Data Vlaue (Cr)'!$C:$FB,46)*100</f>
        <v>-13.81</v>
      </c>
      <c r="J151" s="51">
        <f>VLOOKUP($A151,'Data Vlaue (Cr)'!$C:$FB,59)</f>
        <v>25</v>
      </c>
      <c r="K151" s="51">
        <f>VLOOKUP($A151,'Data Vlaue (Cr)'!$C:$FB,60)</f>
        <v>3</v>
      </c>
      <c r="L151" s="51">
        <f>VLOOKUP($A151,'Data Vlaue (Cr)'!$C:$FB,62)*100</f>
        <v>735.29</v>
      </c>
      <c r="M151" s="51">
        <f>VLOOKUP($A151,'Data Vlaue (Cr)'!$C:$FB,63)</f>
        <v>1</v>
      </c>
      <c r="N151" s="51">
        <f>VLOOKUP($A151,'Data Vlaue (Cr)'!$C:$FB,64)</f>
        <v>1</v>
      </c>
      <c r="O151" s="51">
        <f>VLOOKUP($A151,'Data Vlaue (Cr)'!$C:$FB,66)*100</f>
        <v>-25</v>
      </c>
    </row>
    <row r="152" spans="1:15" x14ac:dyDescent="0.25">
      <c r="A152" s="101" t="str">
        <f>'Data Vlaue (Cr)'!C147</f>
        <v>NMDC</v>
      </c>
      <c r="B152" s="50">
        <f>VLOOKUP($A152,'Data Vlaue (Cr)'!$C:$FB,8)</f>
        <v>89.09</v>
      </c>
      <c r="C152" s="50">
        <f>VLOOKUP($A152,'Data Vlaue (Cr)'!$C:$FB,11)*100</f>
        <v>-1.4200000000000002</v>
      </c>
      <c r="D152" s="50">
        <f>VLOOKUP($A152,'Data Vlaue (Cr)'!$C:$FB,143)</f>
        <v>860</v>
      </c>
      <c r="E152" s="50">
        <f>VLOOKUP($A152,'Data Vlaue (Cr)'!$C:$FB,144)</f>
        <v>779.79</v>
      </c>
      <c r="F152" s="50">
        <f>VLOOKUP($A152,'Data Vlaue (Cr)'!$C:$FB,146)*100</f>
        <v>10.290000000000001</v>
      </c>
      <c r="G152" s="49">
        <f>VLOOKUP($A152,'Data Vlaue (Cr)'!$C:$FB,43)</f>
        <v>208</v>
      </c>
      <c r="H152" s="49">
        <f>VLOOKUP($A152,'Data Vlaue (Cr)'!$C:$FB,44)</f>
        <v>179</v>
      </c>
      <c r="I152" s="49">
        <f>VLOOKUP($A152,'Data Vlaue (Cr)'!$C:$FB,46)*100</f>
        <v>15.989999999999998</v>
      </c>
      <c r="J152" s="51">
        <f>VLOOKUP($A152,'Data Vlaue (Cr)'!$C:$FB,59)</f>
        <v>453</v>
      </c>
      <c r="K152" s="51">
        <f>VLOOKUP($A152,'Data Vlaue (Cr)'!$C:$FB,60)</f>
        <v>397</v>
      </c>
      <c r="L152" s="51">
        <f>VLOOKUP($A152,'Data Vlaue (Cr)'!$C:$FB,62)*100</f>
        <v>14.2</v>
      </c>
      <c r="M152" s="51">
        <f>VLOOKUP($A152,'Data Vlaue (Cr)'!$C:$FB,63)</f>
        <v>172</v>
      </c>
      <c r="N152" s="51">
        <f>VLOOKUP($A152,'Data Vlaue (Cr)'!$C:$FB,64)</f>
        <v>175</v>
      </c>
      <c r="O152" s="51">
        <f>VLOOKUP($A152,'Data Vlaue (Cr)'!$C:$FB,66)*100</f>
        <v>-1.66</v>
      </c>
    </row>
    <row r="153" spans="1:15" x14ac:dyDescent="0.25">
      <c r="A153" s="101" t="str">
        <f>'Data Vlaue (Cr)'!C148</f>
        <v>NTPC</v>
      </c>
      <c r="B153" s="50">
        <f>VLOOKUP($A153,'Data Vlaue (Cr)'!$C:$FB,8)</f>
        <v>400.05</v>
      </c>
      <c r="C153" s="50">
        <f>VLOOKUP($A153,'Data Vlaue (Cr)'!$C:$FB,11)*100</f>
        <v>0.22999999999999998</v>
      </c>
      <c r="D153" s="50">
        <f>VLOOKUP($A153,'Data Vlaue (Cr)'!$C:$FB,143)</f>
        <v>1738.64</v>
      </c>
      <c r="E153" s="50">
        <f>VLOOKUP($A153,'Data Vlaue (Cr)'!$C:$FB,144)</f>
        <v>2550.6799999999998</v>
      </c>
      <c r="F153" s="50">
        <f>VLOOKUP($A153,'Data Vlaue (Cr)'!$C:$FB,146)*100</f>
        <v>-31.840000000000003</v>
      </c>
      <c r="G153" s="49">
        <f>VLOOKUP($A153,'Data Vlaue (Cr)'!$C:$FB,43)</f>
        <v>281</v>
      </c>
      <c r="H153" s="49">
        <f>VLOOKUP($A153,'Data Vlaue (Cr)'!$C:$FB,44)</f>
        <v>293</v>
      </c>
      <c r="I153" s="49">
        <f>VLOOKUP($A153,'Data Vlaue (Cr)'!$C:$FB,46)*100</f>
        <v>-3.9899999999999998</v>
      </c>
      <c r="J153" s="51">
        <f>VLOOKUP($A153,'Data Vlaue (Cr)'!$C:$FB,59)</f>
        <v>1011</v>
      </c>
      <c r="K153" s="51">
        <f>VLOOKUP($A153,'Data Vlaue (Cr)'!$C:$FB,60)</f>
        <v>1697</v>
      </c>
      <c r="L153" s="51">
        <f>VLOOKUP($A153,'Data Vlaue (Cr)'!$C:$FB,62)*100</f>
        <v>-40.400000000000006</v>
      </c>
      <c r="M153" s="51">
        <f>VLOOKUP($A153,'Data Vlaue (Cr)'!$C:$FB,63)</f>
        <v>392</v>
      </c>
      <c r="N153" s="51">
        <f>VLOOKUP($A153,'Data Vlaue (Cr)'!$C:$FB,64)</f>
        <v>487</v>
      </c>
      <c r="O153" s="51">
        <f>VLOOKUP($A153,'Data Vlaue (Cr)'!$C:$FB,66)*100</f>
        <v>-19.37</v>
      </c>
    </row>
    <row r="154" spans="1:15" x14ac:dyDescent="0.25">
      <c r="A154" s="101" t="str">
        <f>'Data Vlaue (Cr)'!C149</f>
        <v>NUVAMA</v>
      </c>
      <c r="B154" s="50">
        <f>VLOOKUP($A154,'Data Vlaue (Cr)'!$C:$FB,8)</f>
        <v>1329.3</v>
      </c>
      <c r="C154" s="50">
        <f>VLOOKUP($A154,'Data Vlaue (Cr)'!$C:$FB,11)*100</f>
        <v>0.21</v>
      </c>
      <c r="D154" s="50">
        <f>VLOOKUP($A154,'Data Vlaue (Cr)'!$C:$FB,143)</f>
        <v>175.87</v>
      </c>
      <c r="E154" s="50">
        <f>VLOOKUP($A154,'Data Vlaue (Cr)'!$C:$FB,144)</f>
        <v>140.28</v>
      </c>
      <c r="F154" s="50">
        <f>VLOOKUP($A154,'Data Vlaue (Cr)'!$C:$FB,146)*100</f>
        <v>25.369999999999997</v>
      </c>
      <c r="G154" s="49">
        <f>VLOOKUP($A154,'Data Vlaue (Cr)'!$C:$FB,43)</f>
        <v>83</v>
      </c>
      <c r="H154" s="49">
        <f>VLOOKUP($A154,'Data Vlaue (Cr)'!$C:$FB,44)</f>
        <v>79</v>
      </c>
      <c r="I154" s="49">
        <f>VLOOKUP($A154,'Data Vlaue (Cr)'!$C:$FB,46)*100</f>
        <v>5.45</v>
      </c>
      <c r="J154" s="51">
        <f>VLOOKUP($A154,'Data Vlaue (Cr)'!$C:$FB,59)</f>
        <v>70</v>
      </c>
      <c r="K154" s="51">
        <f>VLOOKUP($A154,'Data Vlaue (Cr)'!$C:$FB,60)</f>
        <v>36</v>
      </c>
      <c r="L154" s="51">
        <f>VLOOKUP($A154,'Data Vlaue (Cr)'!$C:$FB,62)*100</f>
        <v>94.81</v>
      </c>
      <c r="M154" s="51">
        <f>VLOOKUP($A154,'Data Vlaue (Cr)'!$C:$FB,63)</f>
        <v>16</v>
      </c>
      <c r="N154" s="51">
        <f>VLOOKUP($A154,'Data Vlaue (Cr)'!$C:$FB,64)</f>
        <v>25</v>
      </c>
      <c r="O154" s="51">
        <f>VLOOKUP($A154,'Data Vlaue (Cr)'!$C:$FB,66)*100</f>
        <v>-35.36</v>
      </c>
    </row>
    <row r="155" spans="1:15" x14ac:dyDescent="0.25">
      <c r="A155" s="101" t="str">
        <f>'Data Vlaue (Cr)'!C150</f>
        <v>NYKAA</v>
      </c>
      <c r="B155" s="50">
        <f>VLOOKUP($A155,'Data Vlaue (Cr)'!$C:$FB,8)</f>
        <v>264.85000000000002</v>
      </c>
      <c r="C155" s="50">
        <f>VLOOKUP($A155,'Data Vlaue (Cr)'!$C:$FB,11)*100</f>
        <v>0.03</v>
      </c>
      <c r="D155" s="50">
        <f>VLOOKUP($A155,'Data Vlaue (Cr)'!$C:$FB,143)</f>
        <v>205.52</v>
      </c>
      <c r="E155" s="50">
        <f>VLOOKUP($A155,'Data Vlaue (Cr)'!$C:$FB,144)</f>
        <v>201.03</v>
      </c>
      <c r="F155" s="50">
        <f>VLOOKUP($A155,'Data Vlaue (Cr)'!$C:$FB,146)*100</f>
        <v>2.2399999999999998</v>
      </c>
      <c r="G155" s="49">
        <f>VLOOKUP($A155,'Data Vlaue (Cr)'!$C:$FB,43)</f>
        <v>78</v>
      </c>
      <c r="H155" s="49">
        <f>VLOOKUP($A155,'Data Vlaue (Cr)'!$C:$FB,44)</f>
        <v>85</v>
      </c>
      <c r="I155" s="49">
        <f>VLOOKUP($A155,'Data Vlaue (Cr)'!$C:$FB,46)*100</f>
        <v>-8.57</v>
      </c>
      <c r="J155" s="51">
        <f>VLOOKUP($A155,'Data Vlaue (Cr)'!$C:$FB,59)</f>
        <v>92</v>
      </c>
      <c r="K155" s="51">
        <f>VLOOKUP($A155,'Data Vlaue (Cr)'!$C:$FB,60)</f>
        <v>54</v>
      </c>
      <c r="L155" s="51">
        <f>VLOOKUP($A155,'Data Vlaue (Cr)'!$C:$FB,62)*100</f>
        <v>72.2</v>
      </c>
      <c r="M155" s="51">
        <f>VLOOKUP($A155,'Data Vlaue (Cr)'!$C:$FB,63)</f>
        <v>29</v>
      </c>
      <c r="N155" s="51">
        <f>VLOOKUP($A155,'Data Vlaue (Cr)'!$C:$FB,64)</f>
        <v>59</v>
      </c>
      <c r="O155" s="51">
        <f>VLOOKUP($A155,'Data Vlaue (Cr)'!$C:$FB,66)*100</f>
        <v>-51.12</v>
      </c>
    </row>
    <row r="156" spans="1:15" x14ac:dyDescent="0.25">
      <c r="A156" s="101" t="str">
        <f>'Data Vlaue (Cr)'!C151</f>
        <v>OBEROIRLTY</v>
      </c>
      <c r="B156" s="50">
        <f>VLOOKUP($A156,'Data Vlaue (Cr)'!$C:$FB,8)</f>
        <v>1693.7</v>
      </c>
      <c r="C156" s="50">
        <f>VLOOKUP($A156,'Data Vlaue (Cr)'!$C:$FB,11)*100</f>
        <v>1.44</v>
      </c>
      <c r="D156" s="50">
        <f>VLOOKUP($A156,'Data Vlaue (Cr)'!$C:$FB,143)</f>
        <v>211.74</v>
      </c>
      <c r="E156" s="50">
        <f>VLOOKUP($A156,'Data Vlaue (Cr)'!$C:$FB,144)</f>
        <v>218.16</v>
      </c>
      <c r="F156" s="50">
        <f>VLOOKUP($A156,'Data Vlaue (Cr)'!$C:$FB,146)*100</f>
        <v>-2.94</v>
      </c>
      <c r="G156" s="49">
        <f>VLOOKUP($A156,'Data Vlaue (Cr)'!$C:$FB,43)</f>
        <v>84</v>
      </c>
      <c r="H156" s="49">
        <f>VLOOKUP($A156,'Data Vlaue (Cr)'!$C:$FB,44)</f>
        <v>120</v>
      </c>
      <c r="I156" s="49">
        <f>VLOOKUP($A156,'Data Vlaue (Cr)'!$C:$FB,46)*100</f>
        <v>-29.959999999999997</v>
      </c>
      <c r="J156" s="51">
        <f>VLOOKUP($A156,'Data Vlaue (Cr)'!$C:$FB,59)</f>
        <v>93</v>
      </c>
      <c r="K156" s="51">
        <f>VLOOKUP($A156,'Data Vlaue (Cr)'!$C:$FB,60)</f>
        <v>65</v>
      </c>
      <c r="L156" s="51">
        <f>VLOOKUP($A156,'Data Vlaue (Cr)'!$C:$FB,62)*100</f>
        <v>42.79</v>
      </c>
      <c r="M156" s="51">
        <f>VLOOKUP($A156,'Data Vlaue (Cr)'!$C:$FB,63)</f>
        <v>28</v>
      </c>
      <c r="N156" s="51">
        <f>VLOOKUP($A156,'Data Vlaue (Cr)'!$C:$FB,64)</f>
        <v>31</v>
      </c>
      <c r="O156" s="51">
        <f>VLOOKUP($A156,'Data Vlaue (Cr)'!$C:$FB,66)*100</f>
        <v>-7.93</v>
      </c>
    </row>
    <row r="157" spans="1:15" x14ac:dyDescent="0.25">
      <c r="A157" s="101" t="str">
        <f>'Data Vlaue (Cr)'!C152</f>
        <v>OFSS</v>
      </c>
      <c r="B157" s="50">
        <f>VLOOKUP($A157,'Data Vlaue (Cr)'!$C:$FB,8)</f>
        <v>9730</v>
      </c>
      <c r="C157" s="50">
        <f>VLOOKUP($A157,'Data Vlaue (Cr)'!$C:$FB,11)*100</f>
        <v>0.04</v>
      </c>
      <c r="D157" s="50">
        <f>VLOOKUP($A157,'Data Vlaue (Cr)'!$C:$FB,143)</f>
        <v>1846.14</v>
      </c>
      <c r="E157" s="50">
        <f>VLOOKUP($A157,'Data Vlaue (Cr)'!$C:$FB,144)</f>
        <v>2220.2399999999998</v>
      </c>
      <c r="F157" s="50">
        <f>VLOOKUP($A157,'Data Vlaue (Cr)'!$C:$FB,146)*100</f>
        <v>-16.850000000000001</v>
      </c>
      <c r="G157" s="49">
        <f>VLOOKUP($A157,'Data Vlaue (Cr)'!$C:$FB,43)</f>
        <v>231</v>
      </c>
      <c r="H157" s="49">
        <f>VLOOKUP($A157,'Data Vlaue (Cr)'!$C:$FB,44)</f>
        <v>270</v>
      </c>
      <c r="I157" s="49">
        <f>VLOOKUP($A157,'Data Vlaue (Cr)'!$C:$FB,46)*100</f>
        <v>-14.48</v>
      </c>
      <c r="J157" s="51">
        <f>VLOOKUP($A157,'Data Vlaue (Cr)'!$C:$FB,59)</f>
        <v>977</v>
      </c>
      <c r="K157" s="51">
        <f>VLOOKUP($A157,'Data Vlaue (Cr)'!$C:$FB,60)</f>
        <v>1280</v>
      </c>
      <c r="L157" s="51">
        <f>VLOOKUP($A157,'Data Vlaue (Cr)'!$C:$FB,62)*100</f>
        <v>-23.66</v>
      </c>
      <c r="M157" s="51">
        <f>VLOOKUP($A157,'Data Vlaue (Cr)'!$C:$FB,63)</f>
        <v>585</v>
      </c>
      <c r="N157" s="51">
        <f>VLOOKUP($A157,'Data Vlaue (Cr)'!$C:$FB,64)</f>
        <v>615</v>
      </c>
      <c r="O157" s="51">
        <f>VLOOKUP($A157,'Data Vlaue (Cr)'!$C:$FB,66)*100</f>
        <v>-4.8500000000000005</v>
      </c>
    </row>
    <row r="158" spans="1:15" x14ac:dyDescent="0.25">
      <c r="A158" s="101" t="str">
        <f>'Data Vlaue (Cr)'!C153</f>
        <v>OIL</v>
      </c>
      <c r="B158" s="50">
        <f>VLOOKUP($A158,'Data Vlaue (Cr)'!$C:$FB,8)</f>
        <v>475.1</v>
      </c>
      <c r="C158" s="50">
        <f>VLOOKUP($A158,'Data Vlaue (Cr)'!$C:$FB,11)*100</f>
        <v>-3.2</v>
      </c>
      <c r="D158" s="50">
        <f>VLOOKUP($A158,'Data Vlaue (Cr)'!$C:$FB,143)</f>
        <v>1000.05</v>
      </c>
      <c r="E158" s="50">
        <f>VLOOKUP($A158,'Data Vlaue (Cr)'!$C:$FB,144)</f>
        <v>919.43</v>
      </c>
      <c r="F158" s="50">
        <f>VLOOKUP($A158,'Data Vlaue (Cr)'!$C:$FB,146)*100</f>
        <v>8.77</v>
      </c>
      <c r="G158" s="49">
        <f>VLOOKUP($A158,'Data Vlaue (Cr)'!$C:$FB,43)</f>
        <v>186</v>
      </c>
      <c r="H158" s="49">
        <f>VLOOKUP($A158,'Data Vlaue (Cr)'!$C:$FB,44)</f>
        <v>168</v>
      </c>
      <c r="I158" s="49">
        <f>VLOOKUP($A158,'Data Vlaue (Cr)'!$C:$FB,46)*100</f>
        <v>10.37</v>
      </c>
      <c r="J158" s="51">
        <f>VLOOKUP($A158,'Data Vlaue (Cr)'!$C:$FB,59)</f>
        <v>533</v>
      </c>
      <c r="K158" s="51">
        <f>VLOOKUP($A158,'Data Vlaue (Cr)'!$C:$FB,60)</f>
        <v>517</v>
      </c>
      <c r="L158" s="51">
        <f>VLOOKUP($A158,'Data Vlaue (Cr)'!$C:$FB,62)*100</f>
        <v>3.0700000000000003</v>
      </c>
      <c r="M158" s="51">
        <f>VLOOKUP($A158,'Data Vlaue (Cr)'!$C:$FB,63)</f>
        <v>236</v>
      </c>
      <c r="N158" s="51">
        <f>VLOOKUP($A158,'Data Vlaue (Cr)'!$C:$FB,64)</f>
        <v>173</v>
      </c>
      <c r="O158" s="51">
        <f>VLOOKUP($A158,'Data Vlaue (Cr)'!$C:$FB,66)*100</f>
        <v>36.340000000000003</v>
      </c>
    </row>
    <row r="159" spans="1:15" x14ac:dyDescent="0.25">
      <c r="A159" s="101" t="str">
        <f>'Data Vlaue (Cr)'!C154</f>
        <v>ONGC</v>
      </c>
      <c r="B159" s="50">
        <f>VLOOKUP($A159,'Data Vlaue (Cr)'!$C:$FB,8)</f>
        <v>292.89999999999998</v>
      </c>
      <c r="C159" s="50">
        <f>VLOOKUP($A159,'Data Vlaue (Cr)'!$C:$FB,11)*100</f>
        <v>-2.2200000000000002</v>
      </c>
      <c r="D159" s="50">
        <f>VLOOKUP($A159,'Data Vlaue (Cr)'!$C:$FB,143)</f>
        <v>2468.3200000000002</v>
      </c>
      <c r="E159" s="50">
        <f>VLOOKUP($A159,'Data Vlaue (Cr)'!$C:$FB,144)</f>
        <v>4081.86</v>
      </c>
      <c r="F159" s="50">
        <f>VLOOKUP($A159,'Data Vlaue (Cr)'!$C:$FB,146)*100</f>
        <v>-39.53</v>
      </c>
      <c r="G159" s="49">
        <f>VLOOKUP($A159,'Data Vlaue (Cr)'!$C:$FB,43)</f>
        <v>294</v>
      </c>
      <c r="H159" s="49">
        <f>VLOOKUP($A159,'Data Vlaue (Cr)'!$C:$FB,44)</f>
        <v>401</v>
      </c>
      <c r="I159" s="49">
        <f>VLOOKUP($A159,'Data Vlaue (Cr)'!$C:$FB,46)*100</f>
        <v>-26.640000000000004</v>
      </c>
      <c r="J159" s="51">
        <f>VLOOKUP($A159,'Data Vlaue (Cr)'!$C:$FB,59)</f>
        <v>1549</v>
      </c>
      <c r="K159" s="51">
        <f>VLOOKUP($A159,'Data Vlaue (Cr)'!$C:$FB,60)</f>
        <v>2631</v>
      </c>
      <c r="L159" s="51">
        <f>VLOOKUP($A159,'Data Vlaue (Cr)'!$C:$FB,62)*100</f>
        <v>-41.120000000000005</v>
      </c>
      <c r="M159" s="51">
        <f>VLOOKUP($A159,'Data Vlaue (Cr)'!$C:$FB,63)</f>
        <v>527</v>
      </c>
      <c r="N159" s="51">
        <f>VLOOKUP($A159,'Data Vlaue (Cr)'!$C:$FB,64)</f>
        <v>809</v>
      </c>
      <c r="O159" s="51">
        <f>VLOOKUP($A159,'Data Vlaue (Cr)'!$C:$FB,66)*100</f>
        <v>-34.910000000000004</v>
      </c>
    </row>
    <row r="160" spans="1:15" x14ac:dyDescent="0.25">
      <c r="A160" s="101" t="str">
        <f>'Data Vlaue (Cr)'!C155</f>
        <v>PAGEIND</v>
      </c>
      <c r="B160" s="50">
        <f>VLOOKUP($A160,'Data Vlaue (Cr)'!$C:$FB,8)</f>
        <v>36955</v>
      </c>
      <c r="C160" s="50">
        <f>VLOOKUP($A160,'Data Vlaue (Cr)'!$C:$FB,11)*100</f>
        <v>0.45999999999999996</v>
      </c>
      <c r="D160" s="50">
        <f>VLOOKUP($A160,'Data Vlaue (Cr)'!$C:$FB,143)</f>
        <v>151.11000000000001</v>
      </c>
      <c r="E160" s="50">
        <f>VLOOKUP($A160,'Data Vlaue (Cr)'!$C:$FB,144)</f>
        <v>213.3</v>
      </c>
      <c r="F160" s="50">
        <f>VLOOKUP($A160,'Data Vlaue (Cr)'!$C:$FB,146)*100</f>
        <v>-29.15</v>
      </c>
      <c r="G160" s="49">
        <f>VLOOKUP($A160,'Data Vlaue (Cr)'!$C:$FB,43)</f>
        <v>76</v>
      </c>
      <c r="H160" s="49">
        <f>VLOOKUP($A160,'Data Vlaue (Cr)'!$C:$FB,44)</f>
        <v>83</v>
      </c>
      <c r="I160" s="49">
        <f>VLOOKUP($A160,'Data Vlaue (Cr)'!$C:$FB,46)*100</f>
        <v>-9.1999999999999993</v>
      </c>
      <c r="J160" s="51">
        <f>VLOOKUP($A160,'Data Vlaue (Cr)'!$C:$FB,59)</f>
        <v>49</v>
      </c>
      <c r="K160" s="51">
        <f>VLOOKUP($A160,'Data Vlaue (Cr)'!$C:$FB,60)</f>
        <v>97</v>
      </c>
      <c r="L160" s="51">
        <f>VLOOKUP($A160,'Data Vlaue (Cr)'!$C:$FB,62)*100</f>
        <v>-49.11</v>
      </c>
      <c r="M160" s="51">
        <f>VLOOKUP($A160,'Data Vlaue (Cr)'!$C:$FB,63)</f>
        <v>23</v>
      </c>
      <c r="N160" s="51">
        <f>VLOOKUP($A160,'Data Vlaue (Cr)'!$C:$FB,64)</f>
        <v>29</v>
      </c>
      <c r="O160" s="51">
        <f>VLOOKUP($A160,'Data Vlaue (Cr)'!$C:$FB,66)*100</f>
        <v>-18.09</v>
      </c>
    </row>
    <row r="161" spans="1:15" x14ac:dyDescent="0.25">
      <c r="A161" s="101" t="str">
        <f>'Data Vlaue (Cr)'!C156</f>
        <v>PATANJALI</v>
      </c>
      <c r="B161" s="50">
        <f>VLOOKUP($A161,'Data Vlaue (Cr)'!$C:$FB,8)</f>
        <v>456.25</v>
      </c>
      <c r="C161" s="50">
        <f>VLOOKUP($A161,'Data Vlaue (Cr)'!$C:$FB,11)*100</f>
        <v>-0.70000000000000007</v>
      </c>
      <c r="D161" s="50">
        <f>VLOOKUP($A161,'Data Vlaue (Cr)'!$C:$FB,143)</f>
        <v>417.69</v>
      </c>
      <c r="E161" s="50">
        <f>VLOOKUP($A161,'Data Vlaue (Cr)'!$C:$FB,144)</f>
        <v>262.37</v>
      </c>
      <c r="F161" s="50">
        <f>VLOOKUP($A161,'Data Vlaue (Cr)'!$C:$FB,146)*100</f>
        <v>59.199999999999996</v>
      </c>
      <c r="G161" s="49">
        <f>VLOOKUP($A161,'Data Vlaue (Cr)'!$C:$FB,43)</f>
        <v>143</v>
      </c>
      <c r="H161" s="49">
        <f>VLOOKUP($A161,'Data Vlaue (Cr)'!$C:$FB,44)</f>
        <v>121</v>
      </c>
      <c r="I161" s="49">
        <f>VLOOKUP($A161,'Data Vlaue (Cr)'!$C:$FB,46)*100</f>
        <v>17.740000000000002</v>
      </c>
      <c r="J161" s="51">
        <f>VLOOKUP($A161,'Data Vlaue (Cr)'!$C:$FB,59)</f>
        <v>220</v>
      </c>
      <c r="K161" s="51">
        <f>VLOOKUP($A161,'Data Vlaue (Cr)'!$C:$FB,60)</f>
        <v>99</v>
      </c>
      <c r="L161" s="51">
        <f>VLOOKUP($A161,'Data Vlaue (Cr)'!$C:$FB,62)*100</f>
        <v>122.33000000000001</v>
      </c>
      <c r="M161" s="51">
        <f>VLOOKUP($A161,'Data Vlaue (Cr)'!$C:$FB,63)</f>
        <v>38</v>
      </c>
      <c r="N161" s="51">
        <f>VLOOKUP($A161,'Data Vlaue (Cr)'!$C:$FB,64)</f>
        <v>32</v>
      </c>
      <c r="O161" s="51">
        <f>VLOOKUP($A161,'Data Vlaue (Cr)'!$C:$FB,66)*100</f>
        <v>17.16</v>
      </c>
    </row>
    <row r="162" spans="1:15" x14ac:dyDescent="0.25">
      <c r="A162" s="101" t="str">
        <f>'Data Vlaue (Cr)'!C157</f>
        <v>PAYTM</v>
      </c>
      <c r="B162" s="50">
        <f>VLOOKUP($A162,'Data Vlaue (Cr)'!$C:$FB,8)</f>
        <v>1115.8</v>
      </c>
      <c r="C162" s="50">
        <f>VLOOKUP($A162,'Data Vlaue (Cr)'!$C:$FB,11)*100</f>
        <v>1.83</v>
      </c>
      <c r="D162" s="50">
        <f>VLOOKUP($A162,'Data Vlaue (Cr)'!$C:$FB,143)</f>
        <v>1015.71</v>
      </c>
      <c r="E162" s="50">
        <f>VLOOKUP($A162,'Data Vlaue (Cr)'!$C:$FB,144)</f>
        <v>1228.26</v>
      </c>
      <c r="F162" s="50">
        <f>VLOOKUP($A162,'Data Vlaue (Cr)'!$C:$FB,146)*100</f>
        <v>-17.299999999999997</v>
      </c>
      <c r="G162" s="49">
        <f>VLOOKUP($A162,'Data Vlaue (Cr)'!$C:$FB,43)</f>
        <v>173</v>
      </c>
      <c r="H162" s="49">
        <f>VLOOKUP($A162,'Data Vlaue (Cr)'!$C:$FB,44)</f>
        <v>212</v>
      </c>
      <c r="I162" s="49">
        <f>VLOOKUP($A162,'Data Vlaue (Cr)'!$C:$FB,46)*100</f>
        <v>-18.45</v>
      </c>
      <c r="J162" s="51">
        <f>VLOOKUP($A162,'Data Vlaue (Cr)'!$C:$FB,59)</f>
        <v>441</v>
      </c>
      <c r="K162" s="51">
        <f>VLOOKUP($A162,'Data Vlaue (Cr)'!$C:$FB,60)</f>
        <v>470</v>
      </c>
      <c r="L162" s="51">
        <f>VLOOKUP($A162,'Data Vlaue (Cr)'!$C:$FB,62)*100</f>
        <v>-6.25</v>
      </c>
      <c r="M162" s="51">
        <f>VLOOKUP($A162,'Data Vlaue (Cr)'!$C:$FB,63)</f>
        <v>379</v>
      </c>
      <c r="N162" s="51">
        <f>VLOOKUP($A162,'Data Vlaue (Cr)'!$C:$FB,64)</f>
        <v>526</v>
      </c>
      <c r="O162" s="51">
        <f>VLOOKUP($A162,'Data Vlaue (Cr)'!$C:$FB,66)*100</f>
        <v>-27.93</v>
      </c>
    </row>
    <row r="163" spans="1:15" x14ac:dyDescent="0.25">
      <c r="A163" s="101" t="str">
        <f>'Data Vlaue (Cr)'!C158</f>
        <v>PERSISTENT</v>
      </c>
      <c r="B163" s="50">
        <f>VLOOKUP($A163,'Data Vlaue (Cr)'!$C:$FB,8)</f>
        <v>4788.1000000000004</v>
      </c>
      <c r="C163" s="50">
        <f>VLOOKUP($A163,'Data Vlaue (Cr)'!$C:$FB,11)*100</f>
        <v>-0.25</v>
      </c>
      <c r="D163" s="50">
        <f>VLOOKUP($A163,'Data Vlaue (Cr)'!$C:$FB,143)</f>
        <v>1042.3</v>
      </c>
      <c r="E163" s="50">
        <f>VLOOKUP($A163,'Data Vlaue (Cr)'!$C:$FB,144)</f>
        <v>929.75</v>
      </c>
      <c r="F163" s="50">
        <f>VLOOKUP($A163,'Data Vlaue (Cr)'!$C:$FB,146)*100</f>
        <v>12.11</v>
      </c>
      <c r="G163" s="49">
        <f>VLOOKUP($A163,'Data Vlaue (Cr)'!$C:$FB,43)</f>
        <v>197</v>
      </c>
      <c r="H163" s="49">
        <f>VLOOKUP($A163,'Data Vlaue (Cr)'!$C:$FB,44)</f>
        <v>210</v>
      </c>
      <c r="I163" s="49">
        <f>VLOOKUP($A163,'Data Vlaue (Cr)'!$C:$FB,46)*100</f>
        <v>-6.38</v>
      </c>
      <c r="J163" s="51">
        <f>VLOOKUP($A163,'Data Vlaue (Cr)'!$C:$FB,59)</f>
        <v>539</v>
      </c>
      <c r="K163" s="51">
        <f>VLOOKUP($A163,'Data Vlaue (Cr)'!$C:$FB,60)</f>
        <v>455</v>
      </c>
      <c r="L163" s="51">
        <f>VLOOKUP($A163,'Data Vlaue (Cr)'!$C:$FB,62)*100</f>
        <v>18.420000000000002</v>
      </c>
      <c r="M163" s="51">
        <f>VLOOKUP($A163,'Data Vlaue (Cr)'!$C:$FB,63)</f>
        <v>266</v>
      </c>
      <c r="N163" s="51">
        <f>VLOOKUP($A163,'Data Vlaue (Cr)'!$C:$FB,64)</f>
        <v>226</v>
      </c>
      <c r="O163" s="51">
        <f>VLOOKUP($A163,'Data Vlaue (Cr)'!$C:$FB,66)*100</f>
        <v>17.46</v>
      </c>
    </row>
    <row r="164" spans="1:15" x14ac:dyDescent="0.25">
      <c r="A164" s="101" t="str">
        <f>'Data Vlaue (Cr)'!C159</f>
        <v>PETRONET</v>
      </c>
      <c r="B164" s="50">
        <f>VLOOKUP($A164,'Data Vlaue (Cr)'!$C:$FB,8)</f>
        <v>276.7</v>
      </c>
      <c r="C164" s="50">
        <f>VLOOKUP($A164,'Data Vlaue (Cr)'!$C:$FB,11)*100</f>
        <v>-0.02</v>
      </c>
      <c r="D164" s="50">
        <f>VLOOKUP($A164,'Data Vlaue (Cr)'!$C:$FB,143)</f>
        <v>594.08000000000004</v>
      </c>
      <c r="E164" s="50">
        <f>VLOOKUP($A164,'Data Vlaue (Cr)'!$C:$FB,144)</f>
        <v>296.31</v>
      </c>
      <c r="F164" s="50">
        <f>VLOOKUP($A164,'Data Vlaue (Cr)'!$C:$FB,146)*100</f>
        <v>100.49</v>
      </c>
      <c r="G164" s="49">
        <f>VLOOKUP($A164,'Data Vlaue (Cr)'!$C:$FB,43)</f>
        <v>93</v>
      </c>
      <c r="H164" s="49">
        <f>VLOOKUP($A164,'Data Vlaue (Cr)'!$C:$FB,44)</f>
        <v>91</v>
      </c>
      <c r="I164" s="49">
        <f>VLOOKUP($A164,'Data Vlaue (Cr)'!$C:$FB,46)*100</f>
        <v>2.4899999999999998</v>
      </c>
      <c r="J164" s="51">
        <f>VLOOKUP($A164,'Data Vlaue (Cr)'!$C:$FB,59)</f>
        <v>261</v>
      </c>
      <c r="K164" s="51">
        <f>VLOOKUP($A164,'Data Vlaue (Cr)'!$C:$FB,60)</f>
        <v>119</v>
      </c>
      <c r="L164" s="51">
        <f>VLOOKUP($A164,'Data Vlaue (Cr)'!$C:$FB,62)*100</f>
        <v>119.6</v>
      </c>
      <c r="M164" s="51">
        <f>VLOOKUP($A164,'Data Vlaue (Cr)'!$C:$FB,63)</f>
        <v>220</v>
      </c>
      <c r="N164" s="51">
        <f>VLOOKUP($A164,'Data Vlaue (Cr)'!$C:$FB,64)</f>
        <v>78</v>
      </c>
      <c r="O164" s="51">
        <f>VLOOKUP($A164,'Data Vlaue (Cr)'!$C:$FB,66)*100</f>
        <v>181.15</v>
      </c>
    </row>
    <row r="165" spans="1:15" x14ac:dyDescent="0.25">
      <c r="A165" s="101" t="str">
        <f>'Data Vlaue (Cr)'!C160</f>
        <v>PFC</v>
      </c>
      <c r="B165" s="50">
        <f>VLOOKUP($A165,'Data Vlaue (Cr)'!$C:$FB,8)</f>
        <v>448.25</v>
      </c>
      <c r="C165" s="50">
        <f>VLOOKUP($A165,'Data Vlaue (Cr)'!$C:$FB,11)*100</f>
        <v>-0.03</v>
      </c>
      <c r="D165" s="50">
        <f>VLOOKUP($A165,'Data Vlaue (Cr)'!$C:$FB,143)</f>
        <v>1286.42</v>
      </c>
      <c r="E165" s="50">
        <f>VLOOKUP($A165,'Data Vlaue (Cr)'!$C:$FB,144)</f>
        <v>2570.69</v>
      </c>
      <c r="F165" s="50">
        <f>VLOOKUP($A165,'Data Vlaue (Cr)'!$C:$FB,146)*100</f>
        <v>-49.96</v>
      </c>
      <c r="G165" s="49">
        <f>VLOOKUP($A165,'Data Vlaue (Cr)'!$C:$FB,43)</f>
        <v>296</v>
      </c>
      <c r="H165" s="49">
        <f>VLOOKUP($A165,'Data Vlaue (Cr)'!$C:$FB,44)</f>
        <v>463</v>
      </c>
      <c r="I165" s="49">
        <f>VLOOKUP($A165,'Data Vlaue (Cr)'!$C:$FB,46)*100</f>
        <v>-36.049999999999997</v>
      </c>
      <c r="J165" s="51">
        <f>VLOOKUP($A165,'Data Vlaue (Cr)'!$C:$FB,59)</f>
        <v>638</v>
      </c>
      <c r="K165" s="51">
        <f>VLOOKUP($A165,'Data Vlaue (Cr)'!$C:$FB,60)</f>
        <v>1225</v>
      </c>
      <c r="L165" s="51">
        <f>VLOOKUP($A165,'Data Vlaue (Cr)'!$C:$FB,62)*100</f>
        <v>-47.9</v>
      </c>
      <c r="M165" s="51">
        <f>VLOOKUP($A165,'Data Vlaue (Cr)'!$C:$FB,63)</f>
        <v>297</v>
      </c>
      <c r="N165" s="51">
        <f>VLOOKUP($A165,'Data Vlaue (Cr)'!$C:$FB,64)</f>
        <v>756</v>
      </c>
      <c r="O165" s="51">
        <f>VLOOKUP($A165,'Data Vlaue (Cr)'!$C:$FB,66)*100</f>
        <v>-60.640000000000008</v>
      </c>
    </row>
    <row r="166" spans="1:15" x14ac:dyDescent="0.25">
      <c r="A166" s="101" t="str">
        <f>'Data Vlaue (Cr)'!C161</f>
        <v>PGEL</v>
      </c>
      <c r="B166" s="50">
        <f>VLOOKUP($A166,'Data Vlaue (Cr)'!$C:$FB,8)</f>
        <v>534.5</v>
      </c>
      <c r="C166" s="50">
        <f>VLOOKUP($A166,'Data Vlaue (Cr)'!$C:$FB,11)*100</f>
        <v>0.09</v>
      </c>
      <c r="D166" s="50">
        <f>VLOOKUP($A166,'Data Vlaue (Cr)'!$C:$FB,143)</f>
        <v>348.36</v>
      </c>
      <c r="E166" s="50">
        <f>VLOOKUP($A166,'Data Vlaue (Cr)'!$C:$FB,144)</f>
        <v>761.41</v>
      </c>
      <c r="F166" s="50">
        <f>VLOOKUP($A166,'Data Vlaue (Cr)'!$C:$FB,146)*100</f>
        <v>-54.25</v>
      </c>
      <c r="G166" s="49">
        <f>VLOOKUP($A166,'Data Vlaue (Cr)'!$C:$FB,43)</f>
        <v>85</v>
      </c>
      <c r="H166" s="49">
        <f>VLOOKUP($A166,'Data Vlaue (Cr)'!$C:$FB,44)</f>
        <v>215</v>
      </c>
      <c r="I166" s="49">
        <f>VLOOKUP($A166,'Data Vlaue (Cr)'!$C:$FB,46)*100</f>
        <v>-60.58</v>
      </c>
      <c r="J166" s="51">
        <f>VLOOKUP($A166,'Data Vlaue (Cr)'!$C:$FB,59)</f>
        <v>167</v>
      </c>
      <c r="K166" s="51">
        <f>VLOOKUP($A166,'Data Vlaue (Cr)'!$C:$FB,60)</f>
        <v>283</v>
      </c>
      <c r="L166" s="51">
        <f>VLOOKUP($A166,'Data Vlaue (Cr)'!$C:$FB,62)*100</f>
        <v>-40.94</v>
      </c>
      <c r="M166" s="51">
        <f>VLOOKUP($A166,'Data Vlaue (Cr)'!$C:$FB,63)</f>
        <v>81</v>
      </c>
      <c r="N166" s="51">
        <f>VLOOKUP($A166,'Data Vlaue (Cr)'!$C:$FB,64)</f>
        <v>246</v>
      </c>
      <c r="O166" s="51">
        <f>VLOOKUP($A166,'Data Vlaue (Cr)'!$C:$FB,66)*100</f>
        <v>-66.930000000000007</v>
      </c>
    </row>
    <row r="167" spans="1:15" x14ac:dyDescent="0.25">
      <c r="A167" s="101" t="str">
        <f>'Data Vlaue (Cr)'!C162</f>
        <v>PHOENIXLTD</v>
      </c>
      <c r="B167" s="50">
        <f>VLOOKUP($A167,'Data Vlaue (Cr)'!$C:$FB,8)</f>
        <v>1787.4</v>
      </c>
      <c r="C167" s="50">
        <f>VLOOKUP($A167,'Data Vlaue (Cr)'!$C:$FB,11)*100</f>
        <v>1.27</v>
      </c>
      <c r="D167" s="50">
        <f>VLOOKUP($A167,'Data Vlaue (Cr)'!$C:$FB,143)</f>
        <v>332.72</v>
      </c>
      <c r="E167" s="50">
        <f>VLOOKUP($A167,'Data Vlaue (Cr)'!$C:$FB,144)</f>
        <v>667.6</v>
      </c>
      <c r="F167" s="50">
        <f>VLOOKUP($A167,'Data Vlaue (Cr)'!$C:$FB,146)*100</f>
        <v>-50.160000000000004</v>
      </c>
      <c r="G167" s="49">
        <f>VLOOKUP($A167,'Data Vlaue (Cr)'!$C:$FB,43)</f>
        <v>72</v>
      </c>
      <c r="H167" s="49">
        <f>VLOOKUP($A167,'Data Vlaue (Cr)'!$C:$FB,44)</f>
        <v>133</v>
      </c>
      <c r="I167" s="49">
        <f>VLOOKUP($A167,'Data Vlaue (Cr)'!$C:$FB,46)*100</f>
        <v>-46.06</v>
      </c>
      <c r="J167" s="51">
        <f>VLOOKUP($A167,'Data Vlaue (Cr)'!$C:$FB,59)</f>
        <v>176</v>
      </c>
      <c r="K167" s="51">
        <f>VLOOKUP($A167,'Data Vlaue (Cr)'!$C:$FB,60)</f>
        <v>254</v>
      </c>
      <c r="L167" s="51">
        <f>VLOOKUP($A167,'Data Vlaue (Cr)'!$C:$FB,62)*100</f>
        <v>-30.53</v>
      </c>
      <c r="M167" s="51">
        <f>VLOOKUP($A167,'Data Vlaue (Cr)'!$C:$FB,63)</f>
        <v>76</v>
      </c>
      <c r="N167" s="51">
        <f>VLOOKUP($A167,'Data Vlaue (Cr)'!$C:$FB,64)</f>
        <v>278</v>
      </c>
      <c r="O167" s="51">
        <f>VLOOKUP($A167,'Data Vlaue (Cr)'!$C:$FB,66)*100</f>
        <v>-72.55</v>
      </c>
    </row>
    <row r="168" spans="1:15" x14ac:dyDescent="0.25">
      <c r="A168" s="101" t="str">
        <f>'Data Vlaue (Cr)'!C163</f>
        <v>PIDILITIND</v>
      </c>
      <c r="B168" s="50">
        <f>VLOOKUP($A168,'Data Vlaue (Cr)'!$C:$FB,8)</f>
        <v>1364.6</v>
      </c>
      <c r="C168" s="50">
        <f>VLOOKUP($A168,'Data Vlaue (Cr)'!$C:$FB,11)*100</f>
        <v>-0.80999999999999994</v>
      </c>
      <c r="D168" s="50">
        <f>VLOOKUP($A168,'Data Vlaue (Cr)'!$C:$FB,143)</f>
        <v>377.25</v>
      </c>
      <c r="E168" s="50">
        <f>VLOOKUP($A168,'Data Vlaue (Cr)'!$C:$FB,144)</f>
        <v>345.97</v>
      </c>
      <c r="F168" s="50">
        <f>VLOOKUP($A168,'Data Vlaue (Cr)'!$C:$FB,146)*100</f>
        <v>9.0399999999999991</v>
      </c>
      <c r="G168" s="49">
        <f>VLOOKUP($A168,'Data Vlaue (Cr)'!$C:$FB,43)</f>
        <v>144</v>
      </c>
      <c r="H168" s="49">
        <f>VLOOKUP($A168,'Data Vlaue (Cr)'!$C:$FB,44)</f>
        <v>176</v>
      </c>
      <c r="I168" s="49">
        <f>VLOOKUP($A168,'Data Vlaue (Cr)'!$C:$FB,46)*100</f>
        <v>-17.97</v>
      </c>
      <c r="J168" s="51">
        <f>VLOOKUP($A168,'Data Vlaue (Cr)'!$C:$FB,59)</f>
        <v>148</v>
      </c>
      <c r="K168" s="51">
        <f>VLOOKUP($A168,'Data Vlaue (Cr)'!$C:$FB,60)</f>
        <v>98</v>
      </c>
      <c r="L168" s="51">
        <f>VLOOKUP($A168,'Data Vlaue (Cr)'!$C:$FB,62)*100</f>
        <v>51.4</v>
      </c>
      <c r="M168" s="51">
        <f>VLOOKUP($A168,'Data Vlaue (Cr)'!$C:$FB,63)</f>
        <v>75</v>
      </c>
      <c r="N168" s="51">
        <f>VLOOKUP($A168,'Data Vlaue (Cr)'!$C:$FB,64)</f>
        <v>66</v>
      </c>
      <c r="O168" s="51">
        <f>VLOOKUP($A168,'Data Vlaue (Cr)'!$C:$FB,66)*100</f>
        <v>14.09</v>
      </c>
    </row>
    <row r="169" spans="1:15" x14ac:dyDescent="0.25">
      <c r="A169" s="101" t="str">
        <f>'Data Vlaue (Cr)'!C164</f>
        <v>PIIND</v>
      </c>
      <c r="B169" s="50">
        <f>VLOOKUP($A169,'Data Vlaue (Cr)'!$C:$FB,8)</f>
        <v>3047.5</v>
      </c>
      <c r="C169" s="50">
        <f>VLOOKUP($A169,'Data Vlaue (Cr)'!$C:$FB,11)*100</f>
        <v>-0.24</v>
      </c>
      <c r="D169" s="50">
        <f>VLOOKUP($A169,'Data Vlaue (Cr)'!$C:$FB,143)</f>
        <v>394.82</v>
      </c>
      <c r="E169" s="50">
        <f>VLOOKUP($A169,'Data Vlaue (Cr)'!$C:$FB,144)</f>
        <v>493.08</v>
      </c>
      <c r="F169" s="50">
        <f>VLOOKUP($A169,'Data Vlaue (Cr)'!$C:$FB,146)*100</f>
        <v>-19.93</v>
      </c>
      <c r="G169" s="49">
        <f>VLOOKUP($A169,'Data Vlaue (Cr)'!$C:$FB,43)</f>
        <v>93</v>
      </c>
      <c r="H169" s="49">
        <f>VLOOKUP($A169,'Data Vlaue (Cr)'!$C:$FB,44)</f>
        <v>77</v>
      </c>
      <c r="I169" s="49">
        <f>VLOOKUP($A169,'Data Vlaue (Cr)'!$C:$FB,46)*100</f>
        <v>20.72</v>
      </c>
      <c r="J169" s="51">
        <f>VLOOKUP($A169,'Data Vlaue (Cr)'!$C:$FB,59)</f>
        <v>226</v>
      </c>
      <c r="K169" s="51">
        <f>VLOOKUP($A169,'Data Vlaue (Cr)'!$C:$FB,60)</f>
        <v>315</v>
      </c>
      <c r="L169" s="51">
        <f>VLOOKUP($A169,'Data Vlaue (Cr)'!$C:$FB,62)*100</f>
        <v>-28.03</v>
      </c>
      <c r="M169" s="51">
        <f>VLOOKUP($A169,'Data Vlaue (Cr)'!$C:$FB,63)</f>
        <v>55</v>
      </c>
      <c r="N169" s="51">
        <f>VLOOKUP($A169,'Data Vlaue (Cr)'!$C:$FB,64)</f>
        <v>69</v>
      </c>
      <c r="O169" s="51">
        <f>VLOOKUP($A169,'Data Vlaue (Cr)'!$C:$FB,66)*100</f>
        <v>-20.53</v>
      </c>
    </row>
    <row r="170" spans="1:15" x14ac:dyDescent="0.25">
      <c r="A170" s="101" t="str">
        <f>'Data Vlaue (Cr)'!C165</f>
        <v>PNB</v>
      </c>
      <c r="B170" s="50">
        <f>VLOOKUP($A170,'Data Vlaue (Cr)'!$C:$FB,8)</f>
        <v>108.68</v>
      </c>
      <c r="C170" s="50">
        <f>VLOOKUP($A170,'Data Vlaue (Cr)'!$C:$FB,11)*100</f>
        <v>-0.62</v>
      </c>
      <c r="D170" s="50">
        <f>VLOOKUP($A170,'Data Vlaue (Cr)'!$C:$FB,143)</f>
        <v>1561.35</v>
      </c>
      <c r="E170" s="50">
        <f>VLOOKUP($A170,'Data Vlaue (Cr)'!$C:$FB,144)</f>
        <v>1827.77</v>
      </c>
      <c r="F170" s="50">
        <f>VLOOKUP($A170,'Data Vlaue (Cr)'!$C:$FB,146)*100</f>
        <v>-14.580000000000002</v>
      </c>
      <c r="G170" s="49">
        <f>VLOOKUP($A170,'Data Vlaue (Cr)'!$C:$FB,43)</f>
        <v>420</v>
      </c>
      <c r="H170" s="49">
        <f>VLOOKUP($A170,'Data Vlaue (Cr)'!$C:$FB,44)</f>
        <v>426</v>
      </c>
      <c r="I170" s="49">
        <f>VLOOKUP($A170,'Data Vlaue (Cr)'!$C:$FB,46)*100</f>
        <v>-1.44</v>
      </c>
      <c r="J170" s="51">
        <f>VLOOKUP($A170,'Data Vlaue (Cr)'!$C:$FB,59)</f>
        <v>665</v>
      </c>
      <c r="K170" s="51">
        <f>VLOOKUP($A170,'Data Vlaue (Cr)'!$C:$FB,60)</f>
        <v>817</v>
      </c>
      <c r="L170" s="51">
        <f>VLOOKUP($A170,'Data Vlaue (Cr)'!$C:$FB,62)*100</f>
        <v>-18.55</v>
      </c>
      <c r="M170" s="51">
        <f>VLOOKUP($A170,'Data Vlaue (Cr)'!$C:$FB,63)</f>
        <v>423</v>
      </c>
      <c r="N170" s="51">
        <f>VLOOKUP($A170,'Data Vlaue (Cr)'!$C:$FB,64)</f>
        <v>520</v>
      </c>
      <c r="O170" s="51">
        <f>VLOOKUP($A170,'Data Vlaue (Cr)'!$C:$FB,66)*100</f>
        <v>-18.709999999999997</v>
      </c>
    </row>
    <row r="171" spans="1:15" x14ac:dyDescent="0.25">
      <c r="A171" s="101" t="str">
        <f>'Data Vlaue (Cr)'!C166</f>
        <v>PNBHOUSING</v>
      </c>
      <c r="B171" s="50">
        <f>VLOOKUP($A171,'Data Vlaue (Cr)'!$C:$FB,8)</f>
        <v>1042.2</v>
      </c>
      <c r="C171" s="50">
        <f>VLOOKUP($A171,'Data Vlaue (Cr)'!$C:$FB,11)*100</f>
        <v>-0.33</v>
      </c>
      <c r="D171" s="50">
        <f>VLOOKUP($A171,'Data Vlaue (Cr)'!$C:$FB,143)</f>
        <v>273.24</v>
      </c>
      <c r="E171" s="50">
        <f>VLOOKUP($A171,'Data Vlaue (Cr)'!$C:$FB,144)</f>
        <v>441.33</v>
      </c>
      <c r="F171" s="50">
        <f>VLOOKUP($A171,'Data Vlaue (Cr)'!$C:$FB,146)*100</f>
        <v>-38.090000000000003</v>
      </c>
      <c r="G171" s="49">
        <f>VLOOKUP($A171,'Data Vlaue (Cr)'!$C:$FB,43)</f>
        <v>90</v>
      </c>
      <c r="H171" s="49">
        <f>VLOOKUP($A171,'Data Vlaue (Cr)'!$C:$FB,44)</f>
        <v>179</v>
      </c>
      <c r="I171" s="49">
        <f>VLOOKUP($A171,'Data Vlaue (Cr)'!$C:$FB,46)*100</f>
        <v>-49.81</v>
      </c>
      <c r="J171" s="51">
        <f>VLOOKUP($A171,'Data Vlaue (Cr)'!$C:$FB,59)</f>
        <v>114</v>
      </c>
      <c r="K171" s="51">
        <f>VLOOKUP($A171,'Data Vlaue (Cr)'!$C:$FB,60)</f>
        <v>142</v>
      </c>
      <c r="L171" s="51">
        <f>VLOOKUP($A171,'Data Vlaue (Cr)'!$C:$FB,62)*100</f>
        <v>-19.600000000000001</v>
      </c>
      <c r="M171" s="51">
        <f>VLOOKUP($A171,'Data Vlaue (Cr)'!$C:$FB,63)</f>
        <v>63</v>
      </c>
      <c r="N171" s="51">
        <f>VLOOKUP($A171,'Data Vlaue (Cr)'!$C:$FB,64)</f>
        <v>115</v>
      </c>
      <c r="O171" s="51">
        <f>VLOOKUP($A171,'Data Vlaue (Cr)'!$C:$FB,66)*100</f>
        <v>-45.33</v>
      </c>
    </row>
    <row r="172" spans="1:15" x14ac:dyDescent="0.25">
      <c r="A172" s="101" t="str">
        <f>'Data Vlaue (Cr)'!C167</f>
        <v>POLICYBZR</v>
      </c>
      <c r="B172" s="50">
        <f>VLOOKUP($A172,'Data Vlaue (Cr)'!$C:$FB,8)</f>
        <v>1670.8</v>
      </c>
      <c r="C172" s="50">
        <f>VLOOKUP($A172,'Data Vlaue (Cr)'!$C:$FB,11)*100</f>
        <v>0.27999999999999997</v>
      </c>
      <c r="D172" s="50">
        <f>VLOOKUP($A172,'Data Vlaue (Cr)'!$C:$FB,143)</f>
        <v>352.19</v>
      </c>
      <c r="E172" s="50">
        <f>VLOOKUP($A172,'Data Vlaue (Cr)'!$C:$FB,144)</f>
        <v>326.77999999999997</v>
      </c>
      <c r="F172" s="50">
        <f>VLOOKUP($A172,'Data Vlaue (Cr)'!$C:$FB,146)*100</f>
        <v>7.7799999999999994</v>
      </c>
      <c r="G172" s="49">
        <f>VLOOKUP($A172,'Data Vlaue (Cr)'!$C:$FB,43)</f>
        <v>104</v>
      </c>
      <c r="H172" s="49">
        <f>VLOOKUP($A172,'Data Vlaue (Cr)'!$C:$FB,44)</f>
        <v>108</v>
      </c>
      <c r="I172" s="49">
        <f>VLOOKUP($A172,'Data Vlaue (Cr)'!$C:$FB,46)*100</f>
        <v>-3.5900000000000003</v>
      </c>
      <c r="J172" s="51">
        <f>VLOOKUP($A172,'Data Vlaue (Cr)'!$C:$FB,59)</f>
        <v>168</v>
      </c>
      <c r="K172" s="51">
        <f>VLOOKUP($A172,'Data Vlaue (Cr)'!$C:$FB,60)</f>
        <v>123</v>
      </c>
      <c r="L172" s="51">
        <f>VLOOKUP($A172,'Data Vlaue (Cr)'!$C:$FB,62)*100</f>
        <v>36.75</v>
      </c>
      <c r="M172" s="51">
        <f>VLOOKUP($A172,'Data Vlaue (Cr)'!$C:$FB,63)</f>
        <v>69</v>
      </c>
      <c r="N172" s="51">
        <f>VLOOKUP($A172,'Data Vlaue (Cr)'!$C:$FB,64)</f>
        <v>87</v>
      </c>
      <c r="O172" s="51">
        <f>VLOOKUP($A172,'Data Vlaue (Cr)'!$C:$FB,66)*100</f>
        <v>-20.82</v>
      </c>
    </row>
    <row r="173" spans="1:15" x14ac:dyDescent="0.25">
      <c r="A173" s="101" t="str">
        <f>'Data Vlaue (Cr)'!C168</f>
        <v>POLYCAB</v>
      </c>
      <c r="B173" s="50">
        <f>VLOOKUP($A173,'Data Vlaue (Cr)'!$C:$FB,8)</f>
        <v>8344.5</v>
      </c>
      <c r="C173" s="50">
        <f>VLOOKUP($A173,'Data Vlaue (Cr)'!$C:$FB,11)*100</f>
        <v>2.8899999999999997</v>
      </c>
      <c r="D173" s="50">
        <f>VLOOKUP($A173,'Data Vlaue (Cr)'!$C:$FB,143)</f>
        <v>3279.45</v>
      </c>
      <c r="E173" s="50">
        <f>VLOOKUP($A173,'Data Vlaue (Cr)'!$C:$FB,144)</f>
        <v>1340.34</v>
      </c>
      <c r="F173" s="50">
        <f>VLOOKUP($A173,'Data Vlaue (Cr)'!$C:$FB,146)*100</f>
        <v>144.67000000000002</v>
      </c>
      <c r="G173" s="49">
        <f>VLOOKUP($A173,'Data Vlaue (Cr)'!$C:$FB,43)</f>
        <v>516</v>
      </c>
      <c r="H173" s="49">
        <f>VLOOKUP($A173,'Data Vlaue (Cr)'!$C:$FB,44)</f>
        <v>465</v>
      </c>
      <c r="I173" s="49">
        <f>VLOOKUP($A173,'Data Vlaue (Cr)'!$C:$FB,46)*100</f>
        <v>11.15</v>
      </c>
      <c r="J173" s="51">
        <f>VLOOKUP($A173,'Data Vlaue (Cr)'!$C:$FB,59)</f>
        <v>1293</v>
      </c>
      <c r="K173" s="51">
        <f>VLOOKUP($A173,'Data Vlaue (Cr)'!$C:$FB,60)</f>
        <v>497</v>
      </c>
      <c r="L173" s="51">
        <f>VLOOKUP($A173,'Data Vlaue (Cr)'!$C:$FB,62)*100</f>
        <v>160.13999999999999</v>
      </c>
      <c r="M173" s="51">
        <f>VLOOKUP($A173,'Data Vlaue (Cr)'!$C:$FB,63)</f>
        <v>1570</v>
      </c>
      <c r="N173" s="51">
        <f>VLOOKUP($A173,'Data Vlaue (Cr)'!$C:$FB,64)</f>
        <v>398</v>
      </c>
      <c r="O173" s="51">
        <f>VLOOKUP($A173,'Data Vlaue (Cr)'!$C:$FB,66)*100</f>
        <v>294.13</v>
      </c>
    </row>
    <row r="174" spans="1:15" x14ac:dyDescent="0.25">
      <c r="A174" s="101" t="str">
        <f>'Data Vlaue (Cr)'!C169</f>
        <v>POWERGRID</v>
      </c>
      <c r="B174" s="50">
        <f>VLOOKUP($A174,'Data Vlaue (Cr)'!$C:$FB,8)</f>
        <v>319.05</v>
      </c>
      <c r="C174" s="50">
        <f>VLOOKUP($A174,'Data Vlaue (Cr)'!$C:$FB,11)*100</f>
        <v>0.22</v>
      </c>
      <c r="D174" s="50">
        <f>VLOOKUP($A174,'Data Vlaue (Cr)'!$C:$FB,143)</f>
        <v>1286.01</v>
      </c>
      <c r="E174" s="50">
        <f>VLOOKUP($A174,'Data Vlaue (Cr)'!$C:$FB,144)</f>
        <v>1289.6400000000001</v>
      </c>
      <c r="F174" s="50">
        <f>VLOOKUP($A174,'Data Vlaue (Cr)'!$C:$FB,146)*100</f>
        <v>-0.27999999999999997</v>
      </c>
      <c r="G174" s="49">
        <f>VLOOKUP($A174,'Data Vlaue (Cr)'!$C:$FB,43)</f>
        <v>227</v>
      </c>
      <c r="H174" s="49">
        <f>VLOOKUP($A174,'Data Vlaue (Cr)'!$C:$FB,44)</f>
        <v>279</v>
      </c>
      <c r="I174" s="49">
        <f>VLOOKUP($A174,'Data Vlaue (Cr)'!$C:$FB,46)*100</f>
        <v>-18.420000000000002</v>
      </c>
      <c r="J174" s="51">
        <f>VLOOKUP($A174,'Data Vlaue (Cr)'!$C:$FB,59)</f>
        <v>696</v>
      </c>
      <c r="K174" s="51">
        <f>VLOOKUP($A174,'Data Vlaue (Cr)'!$C:$FB,60)</f>
        <v>659</v>
      </c>
      <c r="L174" s="51">
        <f>VLOOKUP($A174,'Data Vlaue (Cr)'!$C:$FB,62)*100</f>
        <v>5.63</v>
      </c>
      <c r="M174" s="51">
        <f>VLOOKUP($A174,'Data Vlaue (Cr)'!$C:$FB,63)</f>
        <v>332</v>
      </c>
      <c r="N174" s="51">
        <f>VLOOKUP($A174,'Data Vlaue (Cr)'!$C:$FB,64)</f>
        <v>323</v>
      </c>
      <c r="O174" s="51">
        <f>VLOOKUP($A174,'Data Vlaue (Cr)'!$C:$FB,66)*100</f>
        <v>2.94</v>
      </c>
    </row>
    <row r="175" spans="1:15" x14ac:dyDescent="0.25">
      <c r="A175" s="101" t="str">
        <f>'Data Vlaue (Cr)'!C170</f>
        <v>POWERINDIA</v>
      </c>
      <c r="B175" s="50">
        <f>VLOOKUP($A175,'Data Vlaue (Cr)'!$C:$FB,8)</f>
        <v>33730</v>
      </c>
      <c r="C175" s="50">
        <f>VLOOKUP($A175,'Data Vlaue (Cr)'!$C:$FB,11)*100</f>
        <v>0.54</v>
      </c>
      <c r="D175" s="50">
        <f>VLOOKUP($A175,'Data Vlaue (Cr)'!$C:$FB,143)</f>
        <v>1845.33</v>
      </c>
      <c r="E175" s="50">
        <f>VLOOKUP($A175,'Data Vlaue (Cr)'!$C:$FB,144)</f>
        <v>1888.22</v>
      </c>
      <c r="F175" s="50">
        <f>VLOOKUP($A175,'Data Vlaue (Cr)'!$C:$FB,146)*100</f>
        <v>-2.27</v>
      </c>
      <c r="G175" s="49">
        <f>VLOOKUP($A175,'Data Vlaue (Cr)'!$C:$FB,43)</f>
        <v>333</v>
      </c>
      <c r="H175" s="49">
        <f>VLOOKUP($A175,'Data Vlaue (Cr)'!$C:$FB,44)</f>
        <v>345</v>
      </c>
      <c r="I175" s="49">
        <f>VLOOKUP($A175,'Data Vlaue (Cr)'!$C:$FB,46)*100</f>
        <v>-3.42</v>
      </c>
      <c r="J175" s="51">
        <f>VLOOKUP($A175,'Data Vlaue (Cr)'!$C:$FB,59)</f>
        <v>921</v>
      </c>
      <c r="K175" s="51">
        <f>VLOOKUP($A175,'Data Vlaue (Cr)'!$C:$FB,60)</f>
        <v>857</v>
      </c>
      <c r="L175" s="51">
        <f>VLOOKUP($A175,'Data Vlaue (Cr)'!$C:$FB,62)*100</f>
        <v>7.57</v>
      </c>
      <c r="M175" s="51">
        <f>VLOOKUP($A175,'Data Vlaue (Cr)'!$C:$FB,63)</f>
        <v>569</v>
      </c>
      <c r="N175" s="51">
        <f>VLOOKUP($A175,'Data Vlaue (Cr)'!$C:$FB,64)</f>
        <v>715</v>
      </c>
      <c r="O175" s="51">
        <f>VLOOKUP($A175,'Data Vlaue (Cr)'!$C:$FB,66)*100</f>
        <v>-20.53</v>
      </c>
    </row>
    <row r="176" spans="1:15" x14ac:dyDescent="0.25">
      <c r="A176" s="101" t="str">
        <f>'Data Vlaue (Cr)'!C171</f>
        <v>PREMIERENE</v>
      </c>
      <c r="B176" s="50">
        <f>VLOOKUP($A176,'Data Vlaue (Cr)'!$C:$FB,8)</f>
        <v>1035.0999999999999</v>
      </c>
      <c r="C176" s="50">
        <f>VLOOKUP($A176,'Data Vlaue (Cr)'!$C:$FB,11)*100</f>
        <v>1.66</v>
      </c>
      <c r="D176" s="50">
        <f>VLOOKUP($A176,'Data Vlaue (Cr)'!$C:$FB,143)</f>
        <v>464.22</v>
      </c>
      <c r="E176" s="50">
        <f>VLOOKUP($A176,'Data Vlaue (Cr)'!$C:$FB,144)</f>
        <v>713.14</v>
      </c>
      <c r="F176" s="50">
        <f>VLOOKUP($A176,'Data Vlaue (Cr)'!$C:$FB,146)*100</f>
        <v>-34.910000000000004</v>
      </c>
      <c r="G176" s="49">
        <f>VLOOKUP($A176,'Data Vlaue (Cr)'!$C:$FB,43)</f>
        <v>110</v>
      </c>
      <c r="H176" s="49">
        <f>VLOOKUP($A176,'Data Vlaue (Cr)'!$C:$FB,44)</f>
        <v>276</v>
      </c>
      <c r="I176" s="49">
        <f>VLOOKUP($A176,'Data Vlaue (Cr)'!$C:$FB,46)*100</f>
        <v>-60</v>
      </c>
      <c r="J176" s="51">
        <f>VLOOKUP($A176,'Data Vlaue (Cr)'!$C:$FB,59)</f>
        <v>226</v>
      </c>
      <c r="K176" s="51">
        <f>VLOOKUP($A176,'Data Vlaue (Cr)'!$C:$FB,60)</f>
        <v>253</v>
      </c>
      <c r="L176" s="51">
        <f>VLOOKUP($A176,'Data Vlaue (Cr)'!$C:$FB,62)*100</f>
        <v>-10.63</v>
      </c>
      <c r="M176" s="51">
        <f>VLOOKUP($A176,'Data Vlaue (Cr)'!$C:$FB,63)</f>
        <v>118</v>
      </c>
      <c r="N176" s="51">
        <f>VLOOKUP($A176,'Data Vlaue (Cr)'!$C:$FB,64)</f>
        <v>191</v>
      </c>
      <c r="O176" s="51">
        <f>VLOOKUP($A176,'Data Vlaue (Cr)'!$C:$FB,66)*100</f>
        <v>-38.019999999999996</v>
      </c>
    </row>
    <row r="177" spans="1:15" x14ac:dyDescent="0.25">
      <c r="A177" s="101" t="str">
        <f>'Data Vlaue (Cr)'!C172</f>
        <v>PRESTIGE</v>
      </c>
      <c r="B177" s="50">
        <f>VLOOKUP($A177,'Data Vlaue (Cr)'!$C:$FB,8)</f>
        <v>1454.4</v>
      </c>
      <c r="C177" s="50">
        <f>VLOOKUP($A177,'Data Vlaue (Cr)'!$C:$FB,11)*100</f>
        <v>2.83</v>
      </c>
      <c r="D177" s="50">
        <f>VLOOKUP($A177,'Data Vlaue (Cr)'!$C:$FB,143)</f>
        <v>302.52999999999997</v>
      </c>
      <c r="E177" s="50">
        <f>VLOOKUP($A177,'Data Vlaue (Cr)'!$C:$FB,144)</f>
        <v>226.48</v>
      </c>
      <c r="F177" s="50">
        <f>VLOOKUP($A177,'Data Vlaue (Cr)'!$C:$FB,146)*100</f>
        <v>33.58</v>
      </c>
      <c r="G177" s="49">
        <f>VLOOKUP($A177,'Data Vlaue (Cr)'!$C:$FB,43)</f>
        <v>116</v>
      </c>
      <c r="H177" s="49">
        <f>VLOOKUP($A177,'Data Vlaue (Cr)'!$C:$FB,44)</f>
        <v>82</v>
      </c>
      <c r="I177" s="49">
        <f>VLOOKUP($A177,'Data Vlaue (Cr)'!$C:$FB,46)*100</f>
        <v>42.11</v>
      </c>
      <c r="J177" s="51">
        <f>VLOOKUP($A177,'Data Vlaue (Cr)'!$C:$FB,59)</f>
        <v>141</v>
      </c>
      <c r="K177" s="51">
        <f>VLOOKUP($A177,'Data Vlaue (Cr)'!$C:$FB,60)</f>
        <v>74</v>
      </c>
      <c r="L177" s="51">
        <f>VLOOKUP($A177,'Data Vlaue (Cr)'!$C:$FB,62)*100</f>
        <v>90.48</v>
      </c>
      <c r="M177" s="51">
        <f>VLOOKUP($A177,'Data Vlaue (Cr)'!$C:$FB,63)</f>
        <v>38</v>
      </c>
      <c r="N177" s="51">
        <f>VLOOKUP($A177,'Data Vlaue (Cr)'!$C:$FB,64)</f>
        <v>74</v>
      </c>
      <c r="O177" s="51">
        <f>VLOOKUP($A177,'Data Vlaue (Cr)'!$C:$FB,66)*100</f>
        <v>-48.13</v>
      </c>
    </row>
    <row r="178" spans="1:15" x14ac:dyDescent="0.25">
      <c r="A178" s="101" t="str">
        <f>'Data Vlaue (Cr)'!C173</f>
        <v>RBLBANK</v>
      </c>
      <c r="B178" s="50">
        <f>VLOOKUP($A178,'Data Vlaue (Cr)'!$C:$FB,8)</f>
        <v>330.2</v>
      </c>
      <c r="C178" s="50">
        <f>VLOOKUP($A178,'Data Vlaue (Cr)'!$C:$FB,11)*100</f>
        <v>-1.8900000000000001</v>
      </c>
      <c r="D178" s="50">
        <f>VLOOKUP($A178,'Data Vlaue (Cr)'!$C:$FB,143)</f>
        <v>2393.14</v>
      </c>
      <c r="E178" s="50">
        <f>VLOOKUP($A178,'Data Vlaue (Cr)'!$C:$FB,144)</f>
        <v>2328.71</v>
      </c>
      <c r="F178" s="50">
        <f>VLOOKUP($A178,'Data Vlaue (Cr)'!$C:$FB,146)*100</f>
        <v>2.77</v>
      </c>
      <c r="G178" s="49">
        <f>VLOOKUP($A178,'Data Vlaue (Cr)'!$C:$FB,43)</f>
        <v>500</v>
      </c>
      <c r="H178" s="49">
        <f>VLOOKUP($A178,'Data Vlaue (Cr)'!$C:$FB,44)</f>
        <v>476</v>
      </c>
      <c r="I178" s="49">
        <f>VLOOKUP($A178,'Data Vlaue (Cr)'!$C:$FB,46)*100</f>
        <v>5.1499999999999995</v>
      </c>
      <c r="J178" s="51">
        <f>VLOOKUP($A178,'Data Vlaue (Cr)'!$C:$FB,59)</f>
        <v>1126</v>
      </c>
      <c r="K178" s="51">
        <f>VLOOKUP($A178,'Data Vlaue (Cr)'!$C:$FB,60)</f>
        <v>1034</v>
      </c>
      <c r="L178" s="51">
        <f>VLOOKUP($A178,'Data Vlaue (Cr)'!$C:$FB,62)*100</f>
        <v>8.870000000000001</v>
      </c>
      <c r="M178" s="51">
        <f>VLOOKUP($A178,'Data Vlaue (Cr)'!$C:$FB,63)</f>
        <v>687</v>
      </c>
      <c r="N178" s="51">
        <f>VLOOKUP($A178,'Data Vlaue (Cr)'!$C:$FB,64)</f>
        <v>728</v>
      </c>
      <c r="O178" s="51">
        <f>VLOOKUP($A178,'Data Vlaue (Cr)'!$C:$FB,66)*100</f>
        <v>-5.64</v>
      </c>
    </row>
    <row r="179" spans="1:15" x14ac:dyDescent="0.25">
      <c r="A179" s="101" t="str">
        <f>'Data Vlaue (Cr)'!C174</f>
        <v>RECLTD</v>
      </c>
      <c r="B179" s="50">
        <f>VLOOKUP($A179,'Data Vlaue (Cr)'!$C:$FB,8)</f>
        <v>353.5</v>
      </c>
      <c r="C179" s="50">
        <f>VLOOKUP($A179,'Data Vlaue (Cr)'!$C:$FB,11)*100</f>
        <v>-0.22999999999999998</v>
      </c>
      <c r="D179" s="50">
        <f>VLOOKUP($A179,'Data Vlaue (Cr)'!$C:$FB,143)</f>
        <v>1226.05</v>
      </c>
      <c r="E179" s="50">
        <f>VLOOKUP($A179,'Data Vlaue (Cr)'!$C:$FB,144)</f>
        <v>2454.5700000000002</v>
      </c>
      <c r="F179" s="50">
        <f>VLOOKUP($A179,'Data Vlaue (Cr)'!$C:$FB,146)*100</f>
        <v>-50.05</v>
      </c>
      <c r="G179" s="49">
        <f>VLOOKUP($A179,'Data Vlaue (Cr)'!$C:$FB,43)</f>
        <v>176</v>
      </c>
      <c r="H179" s="49">
        <f>VLOOKUP($A179,'Data Vlaue (Cr)'!$C:$FB,44)</f>
        <v>324</v>
      </c>
      <c r="I179" s="49">
        <f>VLOOKUP($A179,'Data Vlaue (Cr)'!$C:$FB,46)*100</f>
        <v>-45.72</v>
      </c>
      <c r="J179" s="51">
        <f>VLOOKUP($A179,'Data Vlaue (Cr)'!$C:$FB,59)</f>
        <v>688</v>
      </c>
      <c r="K179" s="51">
        <f>VLOOKUP($A179,'Data Vlaue (Cr)'!$C:$FB,60)</f>
        <v>1294</v>
      </c>
      <c r="L179" s="51">
        <f>VLOOKUP($A179,'Data Vlaue (Cr)'!$C:$FB,62)*100</f>
        <v>-46.839999999999996</v>
      </c>
      <c r="M179" s="51">
        <f>VLOOKUP($A179,'Data Vlaue (Cr)'!$C:$FB,63)</f>
        <v>306</v>
      </c>
      <c r="N179" s="51">
        <f>VLOOKUP($A179,'Data Vlaue (Cr)'!$C:$FB,64)</f>
        <v>724</v>
      </c>
      <c r="O179" s="51">
        <f>VLOOKUP($A179,'Data Vlaue (Cr)'!$C:$FB,66)*100</f>
        <v>-57.79</v>
      </c>
    </row>
    <row r="180" spans="1:15" x14ac:dyDescent="0.25">
      <c r="A180" s="101" t="str">
        <f>'Data Vlaue (Cr)'!C175</f>
        <v>RELIANCE</v>
      </c>
      <c r="B180" s="50">
        <f>VLOOKUP($A180,'Data Vlaue (Cr)'!$C:$FB,8)</f>
        <v>1463.1</v>
      </c>
      <c r="C180" s="50">
        <f>VLOOKUP($A180,'Data Vlaue (Cr)'!$C:$FB,11)*100</f>
        <v>2.2599999999999998</v>
      </c>
      <c r="D180" s="50">
        <f>VLOOKUP($A180,'Data Vlaue (Cr)'!$C:$FB,143)</f>
        <v>25803.29</v>
      </c>
      <c r="E180" s="50">
        <f>VLOOKUP($A180,'Data Vlaue (Cr)'!$C:$FB,144)</f>
        <v>22422.799999999999</v>
      </c>
      <c r="F180" s="50">
        <f>VLOOKUP($A180,'Data Vlaue (Cr)'!$C:$FB,146)*100</f>
        <v>15.079999999999998</v>
      </c>
      <c r="G180" s="49">
        <f>VLOOKUP($A180,'Data Vlaue (Cr)'!$C:$FB,43)</f>
        <v>2665</v>
      </c>
      <c r="H180" s="49">
        <f>VLOOKUP($A180,'Data Vlaue (Cr)'!$C:$FB,44)</f>
        <v>2528</v>
      </c>
      <c r="I180" s="49">
        <f>VLOOKUP($A180,'Data Vlaue (Cr)'!$C:$FB,46)*100</f>
        <v>5.4</v>
      </c>
      <c r="J180" s="51">
        <f>VLOOKUP($A180,'Data Vlaue (Cr)'!$C:$FB,59)</f>
        <v>13906</v>
      </c>
      <c r="K180" s="51">
        <f>VLOOKUP($A180,'Data Vlaue (Cr)'!$C:$FB,60)</f>
        <v>12077</v>
      </c>
      <c r="L180" s="51">
        <f>VLOOKUP($A180,'Data Vlaue (Cr)'!$C:$FB,62)*100</f>
        <v>15.14</v>
      </c>
      <c r="M180" s="51">
        <f>VLOOKUP($A180,'Data Vlaue (Cr)'!$C:$FB,63)</f>
        <v>9168</v>
      </c>
      <c r="N180" s="51">
        <f>VLOOKUP($A180,'Data Vlaue (Cr)'!$C:$FB,64)</f>
        <v>8177</v>
      </c>
      <c r="O180" s="51">
        <f>VLOOKUP($A180,'Data Vlaue (Cr)'!$C:$FB,66)*100</f>
        <v>12.11</v>
      </c>
    </row>
    <row r="181" spans="1:15" x14ac:dyDescent="0.25">
      <c r="A181" s="101" t="str">
        <f>'Data Vlaue (Cr)'!C176</f>
        <v>RVNL</v>
      </c>
      <c r="B181" s="50">
        <f>VLOOKUP($A181,'Data Vlaue (Cr)'!$C:$FB,8)</f>
        <v>296.64999999999998</v>
      </c>
      <c r="C181" s="50">
        <f>VLOOKUP($A181,'Data Vlaue (Cr)'!$C:$FB,11)*100</f>
        <v>-0.33999999999999997</v>
      </c>
      <c r="D181" s="50">
        <f>VLOOKUP($A181,'Data Vlaue (Cr)'!$C:$FB,143)</f>
        <v>926.15</v>
      </c>
      <c r="E181" s="50">
        <f>VLOOKUP($A181,'Data Vlaue (Cr)'!$C:$FB,144)</f>
        <v>529.37</v>
      </c>
      <c r="F181" s="50">
        <f>VLOOKUP($A181,'Data Vlaue (Cr)'!$C:$FB,146)*100</f>
        <v>74.95</v>
      </c>
      <c r="G181" s="49">
        <f>VLOOKUP($A181,'Data Vlaue (Cr)'!$C:$FB,43)</f>
        <v>327</v>
      </c>
      <c r="H181" s="49">
        <f>VLOOKUP($A181,'Data Vlaue (Cr)'!$C:$FB,44)</f>
        <v>185</v>
      </c>
      <c r="I181" s="49">
        <f>VLOOKUP($A181,'Data Vlaue (Cr)'!$C:$FB,46)*100</f>
        <v>77.03</v>
      </c>
      <c r="J181" s="51">
        <f>VLOOKUP($A181,'Data Vlaue (Cr)'!$C:$FB,59)</f>
        <v>403</v>
      </c>
      <c r="K181" s="51">
        <f>VLOOKUP($A181,'Data Vlaue (Cr)'!$C:$FB,60)</f>
        <v>219</v>
      </c>
      <c r="L181" s="51">
        <f>VLOOKUP($A181,'Data Vlaue (Cr)'!$C:$FB,62)*100</f>
        <v>84.32</v>
      </c>
      <c r="M181" s="51">
        <f>VLOOKUP($A181,'Data Vlaue (Cr)'!$C:$FB,63)</f>
        <v>151</v>
      </c>
      <c r="N181" s="51">
        <f>VLOOKUP($A181,'Data Vlaue (Cr)'!$C:$FB,64)</f>
        <v>105</v>
      </c>
      <c r="O181" s="51">
        <f>VLOOKUP($A181,'Data Vlaue (Cr)'!$C:$FB,66)*100</f>
        <v>43.97</v>
      </c>
    </row>
    <row r="182" spans="1:15" x14ac:dyDescent="0.25">
      <c r="A182" s="101" t="str">
        <f>'Data Vlaue (Cr)'!C177</f>
        <v>SAIL</v>
      </c>
      <c r="B182" s="50">
        <f>VLOOKUP($A182,'Data Vlaue (Cr)'!$C:$FB,8)</f>
        <v>186.15</v>
      </c>
      <c r="C182" s="50">
        <f>VLOOKUP($A182,'Data Vlaue (Cr)'!$C:$FB,11)*100</f>
        <v>0.83</v>
      </c>
      <c r="D182" s="50">
        <f>VLOOKUP($A182,'Data Vlaue (Cr)'!$C:$FB,143)</f>
        <v>589.29999999999995</v>
      </c>
      <c r="E182" s="50">
        <f>VLOOKUP($A182,'Data Vlaue (Cr)'!$C:$FB,144)</f>
        <v>1064.3</v>
      </c>
      <c r="F182" s="50">
        <f>VLOOKUP($A182,'Data Vlaue (Cr)'!$C:$FB,146)*100</f>
        <v>-44.629999999999995</v>
      </c>
      <c r="G182" s="49">
        <f>VLOOKUP($A182,'Data Vlaue (Cr)'!$C:$FB,43)</f>
        <v>298</v>
      </c>
      <c r="H182" s="49">
        <f>VLOOKUP($A182,'Data Vlaue (Cr)'!$C:$FB,44)</f>
        <v>666</v>
      </c>
      <c r="I182" s="49">
        <f>VLOOKUP($A182,'Data Vlaue (Cr)'!$C:$FB,46)*100</f>
        <v>-55.2</v>
      </c>
      <c r="J182" s="51">
        <f>VLOOKUP($A182,'Data Vlaue (Cr)'!$C:$FB,59)</f>
        <v>167</v>
      </c>
      <c r="K182" s="51">
        <f>VLOOKUP($A182,'Data Vlaue (Cr)'!$C:$FB,60)</f>
        <v>262</v>
      </c>
      <c r="L182" s="51">
        <f>VLOOKUP($A182,'Data Vlaue (Cr)'!$C:$FB,62)*100</f>
        <v>-36.19</v>
      </c>
      <c r="M182" s="51">
        <f>VLOOKUP($A182,'Data Vlaue (Cr)'!$C:$FB,63)</f>
        <v>119</v>
      </c>
      <c r="N182" s="51">
        <f>VLOOKUP($A182,'Data Vlaue (Cr)'!$C:$FB,64)</f>
        <v>136</v>
      </c>
      <c r="O182" s="51">
        <f>VLOOKUP($A182,'Data Vlaue (Cr)'!$C:$FB,66)*100</f>
        <v>-12.879999999999999</v>
      </c>
    </row>
    <row r="183" spans="1:15" x14ac:dyDescent="0.25">
      <c r="A183" s="101" t="str">
        <f>'Data Vlaue (Cr)'!C178</f>
        <v>SAMMAANCAP</v>
      </c>
      <c r="B183" s="50">
        <f>VLOOKUP($A183,'Data Vlaue (Cr)'!$C:$FB,8)</f>
        <v>146.88999999999999</v>
      </c>
      <c r="C183" s="50">
        <f>VLOOKUP($A183,'Data Vlaue (Cr)'!$C:$FB,11)*100</f>
        <v>1.58</v>
      </c>
      <c r="D183" s="50">
        <f>VLOOKUP($A183,'Data Vlaue (Cr)'!$C:$FB,143)</f>
        <v>735.78</v>
      </c>
      <c r="E183" s="50">
        <f>VLOOKUP($A183,'Data Vlaue (Cr)'!$C:$FB,144)</f>
        <v>1631.57</v>
      </c>
      <c r="F183" s="50">
        <f>VLOOKUP($A183,'Data Vlaue (Cr)'!$C:$FB,146)*100</f>
        <v>-54.900000000000006</v>
      </c>
      <c r="G183" s="49">
        <f>VLOOKUP($A183,'Data Vlaue (Cr)'!$C:$FB,43)</f>
        <v>292</v>
      </c>
      <c r="H183" s="49">
        <f>VLOOKUP($A183,'Data Vlaue (Cr)'!$C:$FB,44)</f>
        <v>742</v>
      </c>
      <c r="I183" s="49">
        <f>VLOOKUP($A183,'Data Vlaue (Cr)'!$C:$FB,46)*100</f>
        <v>-60.58</v>
      </c>
      <c r="J183" s="51">
        <f>VLOOKUP($A183,'Data Vlaue (Cr)'!$C:$FB,59)</f>
        <v>309</v>
      </c>
      <c r="K183" s="51">
        <f>VLOOKUP($A183,'Data Vlaue (Cr)'!$C:$FB,60)</f>
        <v>666</v>
      </c>
      <c r="L183" s="51">
        <f>VLOOKUP($A183,'Data Vlaue (Cr)'!$C:$FB,62)*100</f>
        <v>-53.66</v>
      </c>
      <c r="M183" s="51">
        <f>VLOOKUP($A183,'Data Vlaue (Cr)'!$C:$FB,63)</f>
        <v>118</v>
      </c>
      <c r="N183" s="51">
        <f>VLOOKUP($A183,'Data Vlaue (Cr)'!$C:$FB,64)</f>
        <v>223</v>
      </c>
      <c r="O183" s="51">
        <f>VLOOKUP($A183,'Data Vlaue (Cr)'!$C:$FB,66)*100</f>
        <v>-47.25</v>
      </c>
    </row>
    <row r="184" spans="1:15" x14ac:dyDescent="0.25">
      <c r="A184" s="101" t="str">
        <f>'Data Vlaue (Cr)'!C179</f>
        <v>SBICARD</v>
      </c>
      <c r="B184" s="50">
        <f>VLOOKUP($A184,'Data Vlaue (Cr)'!$C:$FB,8)</f>
        <v>644.79999999999995</v>
      </c>
      <c r="C184" s="50">
        <f>VLOOKUP($A184,'Data Vlaue (Cr)'!$C:$FB,11)*100</f>
        <v>0.13999999999999999</v>
      </c>
      <c r="D184" s="50">
        <f>VLOOKUP($A184,'Data Vlaue (Cr)'!$C:$FB,143)</f>
        <v>714.91</v>
      </c>
      <c r="E184" s="50">
        <f>VLOOKUP($A184,'Data Vlaue (Cr)'!$C:$FB,144)</f>
        <v>1091.78</v>
      </c>
      <c r="F184" s="50">
        <f>VLOOKUP($A184,'Data Vlaue (Cr)'!$C:$FB,146)*100</f>
        <v>-34.520000000000003</v>
      </c>
      <c r="G184" s="49">
        <f>VLOOKUP($A184,'Data Vlaue (Cr)'!$C:$FB,43)</f>
        <v>148</v>
      </c>
      <c r="H184" s="49">
        <f>VLOOKUP($A184,'Data Vlaue (Cr)'!$C:$FB,44)</f>
        <v>213</v>
      </c>
      <c r="I184" s="49">
        <f>VLOOKUP($A184,'Data Vlaue (Cr)'!$C:$FB,46)*100</f>
        <v>-30.39</v>
      </c>
      <c r="J184" s="51">
        <f>VLOOKUP($A184,'Data Vlaue (Cr)'!$C:$FB,59)</f>
        <v>363</v>
      </c>
      <c r="K184" s="51">
        <f>VLOOKUP($A184,'Data Vlaue (Cr)'!$C:$FB,60)</f>
        <v>507</v>
      </c>
      <c r="L184" s="51">
        <f>VLOOKUP($A184,'Data Vlaue (Cr)'!$C:$FB,62)*100</f>
        <v>-28.389999999999997</v>
      </c>
      <c r="M184" s="51">
        <f>VLOOKUP($A184,'Data Vlaue (Cr)'!$C:$FB,63)</f>
        <v>183</v>
      </c>
      <c r="N184" s="51">
        <f>VLOOKUP($A184,'Data Vlaue (Cr)'!$C:$FB,64)</f>
        <v>343</v>
      </c>
      <c r="O184" s="51">
        <f>VLOOKUP($A184,'Data Vlaue (Cr)'!$C:$FB,66)*100</f>
        <v>-46.760000000000005</v>
      </c>
    </row>
    <row r="185" spans="1:15" x14ac:dyDescent="0.25">
      <c r="A185" s="101" t="str">
        <f>'Data Vlaue (Cr)'!C180</f>
        <v>SBILIFE</v>
      </c>
      <c r="B185" s="50">
        <f>VLOOKUP($A185,'Data Vlaue (Cr)'!$C:$FB,8)</f>
        <v>1820.1</v>
      </c>
      <c r="C185" s="50">
        <f>VLOOKUP($A185,'Data Vlaue (Cr)'!$C:$FB,11)*100</f>
        <v>0.06</v>
      </c>
      <c r="D185" s="50">
        <f>VLOOKUP($A185,'Data Vlaue (Cr)'!$C:$FB,143)</f>
        <v>977.94</v>
      </c>
      <c r="E185" s="50">
        <f>VLOOKUP($A185,'Data Vlaue (Cr)'!$C:$FB,144)</f>
        <v>680.73</v>
      </c>
      <c r="F185" s="50">
        <f>VLOOKUP($A185,'Data Vlaue (Cr)'!$C:$FB,146)*100</f>
        <v>43.66</v>
      </c>
      <c r="G185" s="49">
        <f>VLOOKUP($A185,'Data Vlaue (Cr)'!$C:$FB,43)</f>
        <v>193</v>
      </c>
      <c r="H185" s="49">
        <f>VLOOKUP($A185,'Data Vlaue (Cr)'!$C:$FB,44)</f>
        <v>176</v>
      </c>
      <c r="I185" s="49">
        <f>VLOOKUP($A185,'Data Vlaue (Cr)'!$C:$FB,46)*100</f>
        <v>10.02</v>
      </c>
      <c r="J185" s="51">
        <f>VLOOKUP($A185,'Data Vlaue (Cr)'!$C:$FB,59)</f>
        <v>540</v>
      </c>
      <c r="K185" s="51">
        <f>VLOOKUP($A185,'Data Vlaue (Cr)'!$C:$FB,60)</f>
        <v>321</v>
      </c>
      <c r="L185" s="51">
        <f>VLOOKUP($A185,'Data Vlaue (Cr)'!$C:$FB,62)*100</f>
        <v>68.300000000000011</v>
      </c>
      <c r="M185" s="51">
        <f>VLOOKUP($A185,'Data Vlaue (Cr)'!$C:$FB,63)</f>
        <v>216</v>
      </c>
      <c r="N185" s="51">
        <f>VLOOKUP($A185,'Data Vlaue (Cr)'!$C:$FB,64)</f>
        <v>175</v>
      </c>
      <c r="O185" s="51">
        <f>VLOOKUP($A185,'Data Vlaue (Cr)'!$C:$FB,66)*100</f>
        <v>23.91</v>
      </c>
    </row>
    <row r="186" spans="1:15" x14ac:dyDescent="0.25">
      <c r="A186" s="101" t="str">
        <f>'Data Vlaue (Cr)'!C181</f>
        <v>SBIN</v>
      </c>
      <c r="B186" s="50">
        <f>VLOOKUP($A186,'Data Vlaue (Cr)'!$C:$FB,8)</f>
        <v>1068.4000000000001</v>
      </c>
      <c r="C186" s="50">
        <f>VLOOKUP($A186,'Data Vlaue (Cr)'!$C:$FB,11)*100</f>
        <v>0</v>
      </c>
      <c r="D186" s="50">
        <f>VLOOKUP($A186,'Data Vlaue (Cr)'!$C:$FB,143)</f>
        <v>8004.55</v>
      </c>
      <c r="E186" s="50">
        <f>VLOOKUP($A186,'Data Vlaue (Cr)'!$C:$FB,144)</f>
        <v>8236.93</v>
      </c>
      <c r="F186" s="50">
        <f>VLOOKUP($A186,'Data Vlaue (Cr)'!$C:$FB,146)*100</f>
        <v>-2.82</v>
      </c>
      <c r="G186" s="49">
        <f>VLOOKUP($A186,'Data Vlaue (Cr)'!$C:$FB,43)</f>
        <v>1289</v>
      </c>
      <c r="H186" s="49">
        <f>VLOOKUP($A186,'Data Vlaue (Cr)'!$C:$FB,44)</f>
        <v>1419</v>
      </c>
      <c r="I186" s="49">
        <f>VLOOKUP($A186,'Data Vlaue (Cr)'!$C:$FB,46)*100</f>
        <v>-9.17</v>
      </c>
      <c r="J186" s="51">
        <f>VLOOKUP($A186,'Data Vlaue (Cr)'!$C:$FB,59)</f>
        <v>4093</v>
      </c>
      <c r="K186" s="51">
        <f>VLOOKUP($A186,'Data Vlaue (Cr)'!$C:$FB,60)</f>
        <v>3835</v>
      </c>
      <c r="L186" s="51">
        <f>VLOOKUP($A186,'Data Vlaue (Cr)'!$C:$FB,62)*100</f>
        <v>6.72</v>
      </c>
      <c r="M186" s="51">
        <f>VLOOKUP($A186,'Data Vlaue (Cr)'!$C:$FB,63)</f>
        <v>2324</v>
      </c>
      <c r="N186" s="51">
        <f>VLOOKUP($A186,'Data Vlaue (Cr)'!$C:$FB,64)</f>
        <v>2715</v>
      </c>
      <c r="O186" s="51">
        <f>VLOOKUP($A186,'Data Vlaue (Cr)'!$C:$FB,66)*100</f>
        <v>-14.41</v>
      </c>
    </row>
    <row r="187" spans="1:15" x14ac:dyDescent="0.25">
      <c r="A187" s="101" t="str">
        <f>'Data Vlaue (Cr)'!C182</f>
        <v>SHREECEM</v>
      </c>
      <c r="B187" s="50">
        <f>VLOOKUP($A187,'Data Vlaue (Cr)'!$C:$FB,8)</f>
        <v>24740</v>
      </c>
      <c r="C187" s="50">
        <f>VLOOKUP($A187,'Data Vlaue (Cr)'!$C:$FB,11)*100</f>
        <v>2.25</v>
      </c>
      <c r="D187" s="50">
        <f>VLOOKUP($A187,'Data Vlaue (Cr)'!$C:$FB,143)</f>
        <v>326.7</v>
      </c>
      <c r="E187" s="50">
        <f>VLOOKUP($A187,'Data Vlaue (Cr)'!$C:$FB,144)</f>
        <v>343.03</v>
      </c>
      <c r="F187" s="50">
        <f>VLOOKUP($A187,'Data Vlaue (Cr)'!$C:$FB,146)*100</f>
        <v>-4.7600000000000007</v>
      </c>
      <c r="G187" s="49">
        <f>VLOOKUP($A187,'Data Vlaue (Cr)'!$C:$FB,43)</f>
        <v>137</v>
      </c>
      <c r="H187" s="49">
        <f>VLOOKUP($A187,'Data Vlaue (Cr)'!$C:$FB,44)</f>
        <v>109</v>
      </c>
      <c r="I187" s="49">
        <f>VLOOKUP($A187,'Data Vlaue (Cr)'!$C:$FB,46)*100</f>
        <v>25.380000000000003</v>
      </c>
      <c r="J187" s="51">
        <f>VLOOKUP($A187,'Data Vlaue (Cr)'!$C:$FB,59)</f>
        <v>132</v>
      </c>
      <c r="K187" s="51">
        <f>VLOOKUP($A187,'Data Vlaue (Cr)'!$C:$FB,60)</f>
        <v>150</v>
      </c>
      <c r="L187" s="51">
        <f>VLOOKUP($A187,'Data Vlaue (Cr)'!$C:$FB,62)*100</f>
        <v>-11.95</v>
      </c>
      <c r="M187" s="51">
        <f>VLOOKUP($A187,'Data Vlaue (Cr)'!$C:$FB,63)</f>
        <v>53</v>
      </c>
      <c r="N187" s="51">
        <f>VLOOKUP($A187,'Data Vlaue (Cr)'!$C:$FB,64)</f>
        <v>86</v>
      </c>
      <c r="O187" s="51">
        <f>VLOOKUP($A187,'Data Vlaue (Cr)'!$C:$FB,66)*100</f>
        <v>-38.96</v>
      </c>
    </row>
    <row r="188" spans="1:15" x14ac:dyDescent="0.25">
      <c r="A188" s="101" t="str">
        <f>'Data Vlaue (Cr)'!C183</f>
        <v>SHRIRAMFIN</v>
      </c>
      <c r="B188" s="50">
        <f>VLOOKUP($A188,'Data Vlaue (Cr)'!$C:$FB,8)</f>
        <v>960.45</v>
      </c>
      <c r="C188" s="50">
        <f>VLOOKUP($A188,'Data Vlaue (Cr)'!$C:$FB,11)*100</f>
        <v>2.46</v>
      </c>
      <c r="D188" s="50">
        <f>VLOOKUP($A188,'Data Vlaue (Cr)'!$C:$FB,143)</f>
        <v>2904.39</v>
      </c>
      <c r="E188" s="50">
        <f>VLOOKUP($A188,'Data Vlaue (Cr)'!$C:$FB,144)</f>
        <v>3499.99</v>
      </c>
      <c r="F188" s="50">
        <f>VLOOKUP($A188,'Data Vlaue (Cr)'!$C:$FB,146)*100</f>
        <v>-17.02</v>
      </c>
      <c r="G188" s="49">
        <f>VLOOKUP($A188,'Data Vlaue (Cr)'!$C:$FB,43)</f>
        <v>601</v>
      </c>
      <c r="H188" s="49">
        <f>VLOOKUP($A188,'Data Vlaue (Cr)'!$C:$FB,44)</f>
        <v>634</v>
      </c>
      <c r="I188" s="49">
        <f>VLOOKUP($A188,'Data Vlaue (Cr)'!$C:$FB,46)*100</f>
        <v>-5.18</v>
      </c>
      <c r="J188" s="51">
        <f>VLOOKUP($A188,'Data Vlaue (Cr)'!$C:$FB,59)</f>
        <v>1599</v>
      </c>
      <c r="K188" s="51">
        <f>VLOOKUP($A188,'Data Vlaue (Cr)'!$C:$FB,60)</f>
        <v>1817</v>
      </c>
      <c r="L188" s="51">
        <f>VLOOKUP($A188,'Data Vlaue (Cr)'!$C:$FB,62)*100</f>
        <v>-12.02</v>
      </c>
      <c r="M188" s="51">
        <f>VLOOKUP($A188,'Data Vlaue (Cr)'!$C:$FB,63)</f>
        <v>600</v>
      </c>
      <c r="N188" s="51">
        <f>VLOOKUP($A188,'Data Vlaue (Cr)'!$C:$FB,64)</f>
        <v>978</v>
      </c>
      <c r="O188" s="51">
        <f>VLOOKUP($A188,'Data Vlaue (Cr)'!$C:$FB,66)*100</f>
        <v>-38.659999999999997</v>
      </c>
    </row>
    <row r="189" spans="1:15" x14ac:dyDescent="0.25">
      <c r="A189" s="101" t="str">
        <f>'Data Vlaue (Cr)'!C184</f>
        <v>SIEMENS</v>
      </c>
      <c r="B189" s="50">
        <f>VLOOKUP($A189,'Data Vlaue (Cr)'!$C:$FB,8)</f>
        <v>3834.1</v>
      </c>
      <c r="C189" s="50">
        <f>VLOOKUP($A189,'Data Vlaue (Cr)'!$C:$FB,11)*100</f>
        <v>0.67999999999999994</v>
      </c>
      <c r="D189" s="50">
        <f>VLOOKUP($A189,'Data Vlaue (Cr)'!$C:$FB,143)</f>
        <v>2170.19</v>
      </c>
      <c r="E189" s="50">
        <f>VLOOKUP($A189,'Data Vlaue (Cr)'!$C:$FB,144)</f>
        <v>1049.08</v>
      </c>
      <c r="F189" s="50">
        <f>VLOOKUP($A189,'Data Vlaue (Cr)'!$C:$FB,146)*100</f>
        <v>106.87</v>
      </c>
      <c r="G189" s="49">
        <f>VLOOKUP($A189,'Data Vlaue (Cr)'!$C:$FB,43)</f>
        <v>337</v>
      </c>
      <c r="H189" s="49">
        <f>VLOOKUP($A189,'Data Vlaue (Cr)'!$C:$FB,44)</f>
        <v>226</v>
      </c>
      <c r="I189" s="49">
        <f>VLOOKUP($A189,'Data Vlaue (Cr)'!$C:$FB,46)*100</f>
        <v>48.949999999999996</v>
      </c>
      <c r="J189" s="51">
        <f>VLOOKUP($A189,'Data Vlaue (Cr)'!$C:$FB,59)</f>
        <v>1356</v>
      </c>
      <c r="K189" s="51">
        <f>VLOOKUP($A189,'Data Vlaue (Cr)'!$C:$FB,60)</f>
        <v>576</v>
      </c>
      <c r="L189" s="51">
        <f>VLOOKUP($A189,'Data Vlaue (Cr)'!$C:$FB,62)*100</f>
        <v>135.51</v>
      </c>
      <c r="M189" s="51">
        <f>VLOOKUP($A189,'Data Vlaue (Cr)'!$C:$FB,63)</f>
        <v>373</v>
      </c>
      <c r="N189" s="51">
        <f>VLOOKUP($A189,'Data Vlaue (Cr)'!$C:$FB,64)</f>
        <v>218</v>
      </c>
      <c r="O189" s="51">
        <f>VLOOKUP($A189,'Data Vlaue (Cr)'!$C:$FB,66)*100</f>
        <v>71.22</v>
      </c>
    </row>
    <row r="190" spans="1:15" x14ac:dyDescent="0.25">
      <c r="A190" s="101" t="str">
        <f>'Data Vlaue (Cr)'!C185</f>
        <v>SOLARINDS</v>
      </c>
      <c r="B190" s="50">
        <f>VLOOKUP($A190,'Data Vlaue (Cr)'!$C:$FB,8)</f>
        <v>15459</v>
      </c>
      <c r="C190" s="50">
        <f>VLOOKUP($A190,'Data Vlaue (Cr)'!$C:$FB,11)*100</f>
        <v>0.13</v>
      </c>
      <c r="D190" s="50">
        <f>VLOOKUP($A190,'Data Vlaue (Cr)'!$C:$FB,143)</f>
        <v>317.16000000000003</v>
      </c>
      <c r="E190" s="50">
        <f>VLOOKUP($A190,'Data Vlaue (Cr)'!$C:$FB,144)</f>
        <v>455.17</v>
      </c>
      <c r="F190" s="50">
        <f>VLOOKUP($A190,'Data Vlaue (Cr)'!$C:$FB,146)*100</f>
        <v>-30.320000000000004</v>
      </c>
      <c r="G190" s="49">
        <f>VLOOKUP($A190,'Data Vlaue (Cr)'!$C:$FB,43)</f>
        <v>84</v>
      </c>
      <c r="H190" s="49">
        <f>VLOOKUP($A190,'Data Vlaue (Cr)'!$C:$FB,44)</f>
        <v>131</v>
      </c>
      <c r="I190" s="49">
        <f>VLOOKUP($A190,'Data Vlaue (Cr)'!$C:$FB,46)*100</f>
        <v>-35.58</v>
      </c>
      <c r="J190" s="51">
        <f>VLOOKUP($A190,'Data Vlaue (Cr)'!$C:$FB,59)</f>
        <v>142</v>
      </c>
      <c r="K190" s="51">
        <f>VLOOKUP($A190,'Data Vlaue (Cr)'!$C:$FB,60)</f>
        <v>223</v>
      </c>
      <c r="L190" s="51">
        <f>VLOOKUP($A190,'Data Vlaue (Cr)'!$C:$FB,62)*100</f>
        <v>-36.4</v>
      </c>
      <c r="M190" s="51">
        <f>VLOOKUP($A190,'Data Vlaue (Cr)'!$C:$FB,63)</f>
        <v>88</v>
      </c>
      <c r="N190" s="51">
        <f>VLOOKUP($A190,'Data Vlaue (Cr)'!$C:$FB,64)</f>
        <v>91</v>
      </c>
      <c r="O190" s="51">
        <f>VLOOKUP($A190,'Data Vlaue (Cr)'!$C:$FB,66)*100</f>
        <v>-3.83</v>
      </c>
    </row>
    <row r="191" spans="1:15" x14ac:dyDescent="0.25">
      <c r="A191" s="101" t="str">
        <f>'Data Vlaue (Cr)'!C186</f>
        <v>SONACOMS</v>
      </c>
      <c r="B191" s="50">
        <f>VLOOKUP($A191,'Data Vlaue (Cr)'!$C:$FB,8)</f>
        <v>575.45000000000005</v>
      </c>
      <c r="C191" s="50">
        <f>VLOOKUP($A191,'Data Vlaue (Cr)'!$C:$FB,11)*100</f>
        <v>-5.24</v>
      </c>
      <c r="D191" s="50">
        <f>VLOOKUP($A191,'Data Vlaue (Cr)'!$C:$FB,143)</f>
        <v>1959.89</v>
      </c>
      <c r="E191" s="50">
        <f>VLOOKUP($A191,'Data Vlaue (Cr)'!$C:$FB,144)</f>
        <v>875.59</v>
      </c>
      <c r="F191" s="50">
        <f>VLOOKUP($A191,'Data Vlaue (Cr)'!$C:$FB,146)*100</f>
        <v>123.83999999999999</v>
      </c>
      <c r="G191" s="49">
        <f>VLOOKUP($A191,'Data Vlaue (Cr)'!$C:$FB,43)</f>
        <v>636</v>
      </c>
      <c r="H191" s="49">
        <f>VLOOKUP($A191,'Data Vlaue (Cr)'!$C:$FB,44)</f>
        <v>223</v>
      </c>
      <c r="I191" s="49">
        <f>VLOOKUP($A191,'Data Vlaue (Cr)'!$C:$FB,46)*100</f>
        <v>185.87</v>
      </c>
      <c r="J191" s="51">
        <f>VLOOKUP($A191,'Data Vlaue (Cr)'!$C:$FB,59)</f>
        <v>780</v>
      </c>
      <c r="K191" s="51">
        <f>VLOOKUP($A191,'Data Vlaue (Cr)'!$C:$FB,60)</f>
        <v>393</v>
      </c>
      <c r="L191" s="51">
        <f>VLOOKUP($A191,'Data Vlaue (Cr)'!$C:$FB,62)*100</f>
        <v>98.53</v>
      </c>
      <c r="M191" s="51">
        <f>VLOOKUP($A191,'Data Vlaue (Cr)'!$C:$FB,63)</f>
        <v>465</v>
      </c>
      <c r="N191" s="51">
        <f>VLOOKUP($A191,'Data Vlaue (Cr)'!$C:$FB,64)</f>
        <v>199</v>
      </c>
      <c r="O191" s="51">
        <f>VLOOKUP($A191,'Data Vlaue (Cr)'!$C:$FB,66)*100</f>
        <v>133.62</v>
      </c>
    </row>
    <row r="192" spans="1:15" x14ac:dyDescent="0.25">
      <c r="A192" s="101" t="str">
        <f>'Data Vlaue (Cr)'!C187</f>
        <v>SRF</v>
      </c>
      <c r="B192" s="50">
        <f>VLOOKUP($A192,'Data Vlaue (Cr)'!$C:$FB,8)</f>
        <v>2551.4</v>
      </c>
      <c r="C192" s="50">
        <f>VLOOKUP($A192,'Data Vlaue (Cr)'!$C:$FB,11)*100</f>
        <v>1.3</v>
      </c>
      <c r="D192" s="50">
        <f>VLOOKUP($A192,'Data Vlaue (Cr)'!$C:$FB,143)</f>
        <v>583.66</v>
      </c>
      <c r="E192" s="50">
        <f>VLOOKUP($A192,'Data Vlaue (Cr)'!$C:$FB,144)</f>
        <v>426.01</v>
      </c>
      <c r="F192" s="50">
        <f>VLOOKUP($A192,'Data Vlaue (Cr)'!$C:$FB,146)*100</f>
        <v>37.01</v>
      </c>
      <c r="G192" s="49">
        <f>VLOOKUP($A192,'Data Vlaue (Cr)'!$C:$FB,43)</f>
        <v>164</v>
      </c>
      <c r="H192" s="49">
        <f>VLOOKUP($A192,'Data Vlaue (Cr)'!$C:$FB,44)</f>
        <v>155</v>
      </c>
      <c r="I192" s="49">
        <f>VLOOKUP($A192,'Data Vlaue (Cr)'!$C:$FB,46)*100</f>
        <v>5.4899999999999993</v>
      </c>
      <c r="J192" s="51">
        <f>VLOOKUP($A192,'Data Vlaue (Cr)'!$C:$FB,59)</f>
        <v>290</v>
      </c>
      <c r="K192" s="51">
        <f>VLOOKUP($A192,'Data Vlaue (Cr)'!$C:$FB,60)</f>
        <v>186</v>
      </c>
      <c r="L192" s="51">
        <f>VLOOKUP($A192,'Data Vlaue (Cr)'!$C:$FB,62)*100</f>
        <v>56.54</v>
      </c>
      <c r="M192" s="51">
        <f>VLOOKUP($A192,'Data Vlaue (Cr)'!$C:$FB,63)</f>
        <v>115</v>
      </c>
      <c r="N192" s="51">
        <f>VLOOKUP($A192,'Data Vlaue (Cr)'!$C:$FB,64)</f>
        <v>81</v>
      </c>
      <c r="O192" s="51">
        <f>VLOOKUP($A192,'Data Vlaue (Cr)'!$C:$FB,66)*100</f>
        <v>41.88</v>
      </c>
    </row>
    <row r="193" spans="1:15" x14ac:dyDescent="0.25">
      <c r="A193" s="101" t="str">
        <f>'Data Vlaue (Cr)'!C188</f>
        <v>SUNPHARMA</v>
      </c>
      <c r="B193" s="50">
        <f>VLOOKUP($A193,'Data Vlaue (Cr)'!$C:$FB,8)</f>
        <v>1823.5</v>
      </c>
      <c r="C193" s="50">
        <f>VLOOKUP($A193,'Data Vlaue (Cr)'!$C:$FB,11)*100</f>
        <v>0.84</v>
      </c>
      <c r="D193" s="50">
        <f>VLOOKUP($A193,'Data Vlaue (Cr)'!$C:$FB,143)</f>
        <v>4248.84</v>
      </c>
      <c r="E193" s="50">
        <f>VLOOKUP($A193,'Data Vlaue (Cr)'!$C:$FB,144)</f>
        <v>6134.77</v>
      </c>
      <c r="F193" s="50">
        <f>VLOOKUP($A193,'Data Vlaue (Cr)'!$C:$FB,146)*100</f>
        <v>-30.740000000000002</v>
      </c>
      <c r="G193" s="49">
        <f>VLOOKUP($A193,'Data Vlaue (Cr)'!$C:$FB,43)</f>
        <v>570</v>
      </c>
      <c r="H193" s="49">
        <f>VLOOKUP($A193,'Data Vlaue (Cr)'!$C:$FB,44)</f>
        <v>748</v>
      </c>
      <c r="I193" s="49">
        <f>VLOOKUP($A193,'Data Vlaue (Cr)'!$C:$FB,46)*100</f>
        <v>-23.78</v>
      </c>
      <c r="J193" s="51">
        <f>VLOOKUP($A193,'Data Vlaue (Cr)'!$C:$FB,59)</f>
        <v>2365</v>
      </c>
      <c r="K193" s="51">
        <f>VLOOKUP($A193,'Data Vlaue (Cr)'!$C:$FB,60)</f>
        <v>3634</v>
      </c>
      <c r="L193" s="51">
        <f>VLOOKUP($A193,'Data Vlaue (Cr)'!$C:$FB,62)*100</f>
        <v>-34.910000000000004</v>
      </c>
      <c r="M193" s="51">
        <f>VLOOKUP($A193,'Data Vlaue (Cr)'!$C:$FB,63)</f>
        <v>1248</v>
      </c>
      <c r="N193" s="51">
        <f>VLOOKUP($A193,'Data Vlaue (Cr)'!$C:$FB,64)</f>
        <v>1752</v>
      </c>
      <c r="O193" s="51">
        <f>VLOOKUP($A193,'Data Vlaue (Cr)'!$C:$FB,66)*100</f>
        <v>-28.79</v>
      </c>
    </row>
    <row r="194" spans="1:15" x14ac:dyDescent="0.25">
      <c r="A194" s="101" t="str">
        <f>'Data Vlaue (Cr)'!C189</f>
        <v>SUPREMEIND</v>
      </c>
      <c r="B194" s="50">
        <f>VLOOKUP($A194,'Data Vlaue (Cr)'!$C:$FB,8)</f>
        <v>3620.1</v>
      </c>
      <c r="C194" s="50">
        <f>VLOOKUP($A194,'Data Vlaue (Cr)'!$C:$FB,11)*100</f>
        <v>-6.9999999999999993E-2</v>
      </c>
      <c r="D194" s="50">
        <f>VLOOKUP($A194,'Data Vlaue (Cr)'!$C:$FB,143)</f>
        <v>519.74</v>
      </c>
      <c r="E194" s="50">
        <f>VLOOKUP($A194,'Data Vlaue (Cr)'!$C:$FB,144)</f>
        <v>603.95000000000005</v>
      </c>
      <c r="F194" s="50">
        <f>VLOOKUP($A194,'Data Vlaue (Cr)'!$C:$FB,146)*100</f>
        <v>-13.94</v>
      </c>
      <c r="G194" s="49">
        <f>VLOOKUP($A194,'Data Vlaue (Cr)'!$C:$FB,43)</f>
        <v>90</v>
      </c>
      <c r="H194" s="49">
        <f>VLOOKUP($A194,'Data Vlaue (Cr)'!$C:$FB,44)</f>
        <v>116</v>
      </c>
      <c r="I194" s="49">
        <f>VLOOKUP($A194,'Data Vlaue (Cr)'!$C:$FB,46)*100</f>
        <v>-22.53</v>
      </c>
      <c r="J194" s="51">
        <f>VLOOKUP($A194,'Data Vlaue (Cr)'!$C:$FB,59)</f>
        <v>287</v>
      </c>
      <c r="K194" s="51">
        <f>VLOOKUP($A194,'Data Vlaue (Cr)'!$C:$FB,60)</f>
        <v>288</v>
      </c>
      <c r="L194" s="51">
        <f>VLOOKUP($A194,'Data Vlaue (Cr)'!$C:$FB,62)*100</f>
        <v>-0.45999999999999996</v>
      </c>
      <c r="M194" s="51">
        <f>VLOOKUP($A194,'Data Vlaue (Cr)'!$C:$FB,63)</f>
        <v>117</v>
      </c>
      <c r="N194" s="51">
        <f>VLOOKUP($A194,'Data Vlaue (Cr)'!$C:$FB,64)</f>
        <v>180</v>
      </c>
      <c r="O194" s="51">
        <f>VLOOKUP($A194,'Data Vlaue (Cr)'!$C:$FB,66)*100</f>
        <v>-34.78</v>
      </c>
    </row>
    <row r="195" spans="1:15" x14ac:dyDescent="0.25">
      <c r="A195" s="101" t="str">
        <f>'Data Vlaue (Cr)'!C190</f>
        <v>SUZLON</v>
      </c>
      <c r="B195" s="50">
        <f>VLOOKUP($A195,'Data Vlaue (Cr)'!$C:$FB,8)</f>
        <v>54.96</v>
      </c>
      <c r="C195" s="50">
        <f>VLOOKUP($A195,'Data Vlaue (Cr)'!$C:$FB,11)*100</f>
        <v>-1.1199999999999999</v>
      </c>
      <c r="D195" s="50">
        <f>VLOOKUP($A195,'Data Vlaue (Cr)'!$C:$FB,143)</f>
        <v>1408</v>
      </c>
      <c r="E195" s="50">
        <f>VLOOKUP($A195,'Data Vlaue (Cr)'!$C:$FB,144)</f>
        <v>1178.3599999999999</v>
      </c>
      <c r="F195" s="50">
        <f>VLOOKUP($A195,'Data Vlaue (Cr)'!$C:$FB,146)*100</f>
        <v>19.489999999999998</v>
      </c>
      <c r="G195" s="49">
        <f>VLOOKUP($A195,'Data Vlaue (Cr)'!$C:$FB,43)</f>
        <v>367</v>
      </c>
      <c r="H195" s="49">
        <f>VLOOKUP($A195,'Data Vlaue (Cr)'!$C:$FB,44)</f>
        <v>335</v>
      </c>
      <c r="I195" s="49">
        <f>VLOOKUP($A195,'Data Vlaue (Cr)'!$C:$FB,46)*100</f>
        <v>9.68</v>
      </c>
      <c r="J195" s="51">
        <f>VLOOKUP($A195,'Data Vlaue (Cr)'!$C:$FB,59)</f>
        <v>678</v>
      </c>
      <c r="K195" s="51">
        <f>VLOOKUP($A195,'Data Vlaue (Cr)'!$C:$FB,60)</f>
        <v>485</v>
      </c>
      <c r="L195" s="51">
        <f>VLOOKUP($A195,'Data Vlaue (Cr)'!$C:$FB,62)*100</f>
        <v>39.729999999999997</v>
      </c>
      <c r="M195" s="51">
        <f>VLOOKUP($A195,'Data Vlaue (Cr)'!$C:$FB,63)</f>
        <v>308</v>
      </c>
      <c r="N195" s="51">
        <f>VLOOKUP($A195,'Data Vlaue (Cr)'!$C:$FB,64)</f>
        <v>307</v>
      </c>
      <c r="O195" s="51">
        <f>VLOOKUP($A195,'Data Vlaue (Cr)'!$C:$FB,66)*100</f>
        <v>0.47000000000000003</v>
      </c>
    </row>
    <row r="196" spans="1:15" x14ac:dyDescent="0.25">
      <c r="A196" s="101" t="str">
        <f>'Data Vlaue (Cr)'!C191</f>
        <v>SWIGGY</v>
      </c>
      <c r="B196" s="50">
        <f>VLOOKUP($A196,'Data Vlaue (Cr)'!$C:$FB,8)</f>
        <v>278.8</v>
      </c>
      <c r="C196" s="50">
        <f>VLOOKUP($A196,'Data Vlaue (Cr)'!$C:$FB,11)*100</f>
        <v>3.1399999999999997</v>
      </c>
      <c r="D196" s="50">
        <f>VLOOKUP($A196,'Data Vlaue (Cr)'!$C:$FB,143)</f>
        <v>505.32</v>
      </c>
      <c r="E196" s="50">
        <f>VLOOKUP($A196,'Data Vlaue (Cr)'!$C:$FB,144)</f>
        <v>486.71</v>
      </c>
      <c r="F196" s="50">
        <f>VLOOKUP($A196,'Data Vlaue (Cr)'!$C:$FB,146)*100</f>
        <v>3.82</v>
      </c>
      <c r="G196" s="49">
        <f>VLOOKUP($A196,'Data Vlaue (Cr)'!$C:$FB,43)</f>
        <v>139</v>
      </c>
      <c r="H196" s="49">
        <f>VLOOKUP($A196,'Data Vlaue (Cr)'!$C:$FB,44)</f>
        <v>185</v>
      </c>
      <c r="I196" s="49">
        <f>VLOOKUP($A196,'Data Vlaue (Cr)'!$C:$FB,46)*100</f>
        <v>-24.59</v>
      </c>
      <c r="J196" s="51">
        <f>VLOOKUP($A196,'Data Vlaue (Cr)'!$C:$FB,59)</f>
        <v>249</v>
      </c>
      <c r="K196" s="51">
        <f>VLOOKUP($A196,'Data Vlaue (Cr)'!$C:$FB,60)</f>
        <v>180</v>
      </c>
      <c r="L196" s="51">
        <f>VLOOKUP($A196,'Data Vlaue (Cr)'!$C:$FB,62)*100</f>
        <v>38.550000000000004</v>
      </c>
      <c r="M196" s="51">
        <f>VLOOKUP($A196,'Data Vlaue (Cr)'!$C:$FB,63)</f>
        <v>101</v>
      </c>
      <c r="N196" s="51">
        <f>VLOOKUP($A196,'Data Vlaue (Cr)'!$C:$FB,64)</f>
        <v>119</v>
      </c>
      <c r="O196" s="51">
        <f>VLOOKUP($A196,'Data Vlaue (Cr)'!$C:$FB,66)*100</f>
        <v>-14.56</v>
      </c>
    </row>
    <row r="197" spans="1:15" x14ac:dyDescent="0.25">
      <c r="A197" s="101" t="str">
        <f>'Data Vlaue (Cr)'!C192</f>
        <v>TATACONSUM</v>
      </c>
      <c r="B197" s="50">
        <f>VLOOKUP($A197,'Data Vlaue (Cr)'!$C:$FB,8)</f>
        <v>1160.4000000000001</v>
      </c>
      <c r="C197" s="50">
        <f>VLOOKUP($A197,'Data Vlaue (Cr)'!$C:$FB,11)*100</f>
        <v>1.38</v>
      </c>
      <c r="D197" s="50">
        <f>VLOOKUP($A197,'Data Vlaue (Cr)'!$C:$FB,143)</f>
        <v>644.49</v>
      </c>
      <c r="E197" s="50">
        <f>VLOOKUP($A197,'Data Vlaue (Cr)'!$C:$FB,144)</f>
        <v>498.82</v>
      </c>
      <c r="F197" s="50">
        <f>VLOOKUP($A197,'Data Vlaue (Cr)'!$C:$FB,146)*100</f>
        <v>29.2</v>
      </c>
      <c r="G197" s="49">
        <f>VLOOKUP($A197,'Data Vlaue (Cr)'!$C:$FB,43)</f>
        <v>134</v>
      </c>
      <c r="H197" s="49">
        <f>VLOOKUP($A197,'Data Vlaue (Cr)'!$C:$FB,44)</f>
        <v>189</v>
      </c>
      <c r="I197" s="49">
        <f>VLOOKUP($A197,'Data Vlaue (Cr)'!$C:$FB,46)*100</f>
        <v>-29.38</v>
      </c>
      <c r="J197" s="51">
        <f>VLOOKUP($A197,'Data Vlaue (Cr)'!$C:$FB,59)</f>
        <v>390</v>
      </c>
      <c r="K197" s="51">
        <f>VLOOKUP($A197,'Data Vlaue (Cr)'!$C:$FB,60)</f>
        <v>212</v>
      </c>
      <c r="L197" s="51">
        <f>VLOOKUP($A197,'Data Vlaue (Cr)'!$C:$FB,62)*100</f>
        <v>83.82</v>
      </c>
      <c r="M197" s="51">
        <f>VLOOKUP($A197,'Data Vlaue (Cr)'!$C:$FB,63)</f>
        <v>100</v>
      </c>
      <c r="N197" s="51">
        <f>VLOOKUP($A197,'Data Vlaue (Cr)'!$C:$FB,64)</f>
        <v>90</v>
      </c>
      <c r="O197" s="51">
        <f>VLOOKUP($A197,'Data Vlaue (Cr)'!$C:$FB,66)*100</f>
        <v>11.55</v>
      </c>
    </row>
    <row r="198" spans="1:15" x14ac:dyDescent="0.25">
      <c r="A198" s="101" t="str">
        <f>'Data Vlaue (Cr)'!C193</f>
        <v>TATAELXSI</v>
      </c>
      <c r="B198" s="50">
        <f>VLOOKUP($A198,'Data Vlaue (Cr)'!$C:$FB,8)</f>
        <v>4178.7</v>
      </c>
      <c r="C198" s="50">
        <f>VLOOKUP($A198,'Data Vlaue (Cr)'!$C:$FB,11)*100</f>
        <v>1.18</v>
      </c>
      <c r="D198" s="50">
        <f>VLOOKUP($A198,'Data Vlaue (Cr)'!$C:$FB,143)</f>
        <v>582.53</v>
      </c>
      <c r="E198" s="50">
        <f>VLOOKUP($A198,'Data Vlaue (Cr)'!$C:$FB,144)</f>
        <v>662.62</v>
      </c>
      <c r="F198" s="50">
        <f>VLOOKUP($A198,'Data Vlaue (Cr)'!$C:$FB,146)*100</f>
        <v>-12.09</v>
      </c>
      <c r="G198" s="49">
        <f>VLOOKUP($A198,'Data Vlaue (Cr)'!$C:$FB,43)</f>
        <v>116</v>
      </c>
      <c r="H198" s="49">
        <f>VLOOKUP($A198,'Data Vlaue (Cr)'!$C:$FB,44)</f>
        <v>137</v>
      </c>
      <c r="I198" s="49">
        <f>VLOOKUP($A198,'Data Vlaue (Cr)'!$C:$FB,46)*100</f>
        <v>-15.53</v>
      </c>
      <c r="J198" s="51">
        <f>VLOOKUP($A198,'Data Vlaue (Cr)'!$C:$FB,59)</f>
        <v>331</v>
      </c>
      <c r="K198" s="51">
        <f>VLOOKUP($A198,'Data Vlaue (Cr)'!$C:$FB,60)</f>
        <v>345</v>
      </c>
      <c r="L198" s="51">
        <f>VLOOKUP($A198,'Data Vlaue (Cr)'!$C:$FB,62)*100</f>
        <v>-4.05</v>
      </c>
      <c r="M198" s="51">
        <f>VLOOKUP($A198,'Data Vlaue (Cr)'!$C:$FB,63)</f>
        <v>109</v>
      </c>
      <c r="N198" s="51">
        <f>VLOOKUP($A198,'Data Vlaue (Cr)'!$C:$FB,64)</f>
        <v>159</v>
      </c>
      <c r="O198" s="51">
        <f>VLOOKUP($A198,'Data Vlaue (Cr)'!$C:$FB,66)*100</f>
        <v>-31.89</v>
      </c>
    </row>
    <row r="199" spans="1:15" x14ac:dyDescent="0.25">
      <c r="A199" s="101" t="str">
        <f>'Data Vlaue (Cr)'!C194</f>
        <v>TATAPOWER</v>
      </c>
      <c r="B199" s="50">
        <f>VLOOKUP($A199,'Data Vlaue (Cr)'!$C:$FB,8)</f>
        <v>441.4</v>
      </c>
      <c r="C199" s="50">
        <f>VLOOKUP($A199,'Data Vlaue (Cr)'!$C:$FB,11)*100</f>
        <v>-0.71000000000000008</v>
      </c>
      <c r="D199" s="50">
        <f>VLOOKUP($A199,'Data Vlaue (Cr)'!$C:$FB,143)</f>
        <v>1730.92</v>
      </c>
      <c r="E199" s="50">
        <f>VLOOKUP($A199,'Data Vlaue (Cr)'!$C:$FB,144)</f>
        <v>2122.36</v>
      </c>
      <c r="F199" s="50">
        <f>VLOOKUP($A199,'Data Vlaue (Cr)'!$C:$FB,146)*100</f>
        <v>-18.440000000000001</v>
      </c>
      <c r="G199" s="49">
        <f>VLOOKUP($A199,'Data Vlaue (Cr)'!$C:$FB,43)</f>
        <v>309</v>
      </c>
      <c r="H199" s="49">
        <f>VLOOKUP($A199,'Data Vlaue (Cr)'!$C:$FB,44)</f>
        <v>350</v>
      </c>
      <c r="I199" s="49">
        <f>VLOOKUP($A199,'Data Vlaue (Cr)'!$C:$FB,46)*100</f>
        <v>-11.77</v>
      </c>
      <c r="J199" s="51">
        <f>VLOOKUP($A199,'Data Vlaue (Cr)'!$C:$FB,59)</f>
        <v>1024</v>
      </c>
      <c r="K199" s="51">
        <f>VLOOKUP($A199,'Data Vlaue (Cr)'!$C:$FB,60)</f>
        <v>1072</v>
      </c>
      <c r="L199" s="51">
        <f>VLOOKUP($A199,'Data Vlaue (Cr)'!$C:$FB,62)*100</f>
        <v>-4.3999999999999995</v>
      </c>
      <c r="M199" s="51">
        <f>VLOOKUP($A199,'Data Vlaue (Cr)'!$C:$FB,63)</f>
        <v>328</v>
      </c>
      <c r="N199" s="51">
        <f>VLOOKUP($A199,'Data Vlaue (Cr)'!$C:$FB,64)</f>
        <v>622</v>
      </c>
      <c r="O199" s="51">
        <f>VLOOKUP($A199,'Data Vlaue (Cr)'!$C:$FB,66)*100</f>
        <v>-47.29</v>
      </c>
    </row>
    <row r="200" spans="1:15" x14ac:dyDescent="0.25">
      <c r="A200" s="101" t="str">
        <f>'Data Vlaue (Cr)'!C195</f>
        <v>TATASTEEL</v>
      </c>
      <c r="B200" s="50">
        <f>VLOOKUP($A200,'Data Vlaue (Cr)'!$C:$FB,8)</f>
        <v>212.24</v>
      </c>
      <c r="C200" s="50">
        <f>VLOOKUP($A200,'Data Vlaue (Cr)'!$C:$FB,11)*100</f>
        <v>0.42</v>
      </c>
      <c r="D200" s="50">
        <f>VLOOKUP($A200,'Data Vlaue (Cr)'!$C:$FB,143)</f>
        <v>2426.2600000000002</v>
      </c>
      <c r="E200" s="50">
        <f>VLOOKUP($A200,'Data Vlaue (Cr)'!$C:$FB,144)</f>
        <v>3603.39</v>
      </c>
      <c r="F200" s="50">
        <f>VLOOKUP($A200,'Data Vlaue (Cr)'!$C:$FB,146)*100</f>
        <v>-32.67</v>
      </c>
      <c r="G200" s="49">
        <f>VLOOKUP($A200,'Data Vlaue (Cr)'!$C:$FB,43)</f>
        <v>385</v>
      </c>
      <c r="H200" s="49">
        <f>VLOOKUP($A200,'Data Vlaue (Cr)'!$C:$FB,44)</f>
        <v>608</v>
      </c>
      <c r="I200" s="49">
        <f>VLOOKUP($A200,'Data Vlaue (Cr)'!$C:$FB,46)*100</f>
        <v>-36.69</v>
      </c>
      <c r="J200" s="51">
        <f>VLOOKUP($A200,'Data Vlaue (Cr)'!$C:$FB,59)</f>
        <v>1271</v>
      </c>
      <c r="K200" s="51">
        <f>VLOOKUP($A200,'Data Vlaue (Cr)'!$C:$FB,60)</f>
        <v>1668</v>
      </c>
      <c r="L200" s="51">
        <f>VLOOKUP($A200,'Data Vlaue (Cr)'!$C:$FB,62)*100</f>
        <v>-23.810000000000002</v>
      </c>
      <c r="M200" s="51">
        <f>VLOOKUP($A200,'Data Vlaue (Cr)'!$C:$FB,63)</f>
        <v>704</v>
      </c>
      <c r="N200" s="51">
        <f>VLOOKUP($A200,'Data Vlaue (Cr)'!$C:$FB,64)</f>
        <v>1251</v>
      </c>
      <c r="O200" s="51">
        <f>VLOOKUP($A200,'Data Vlaue (Cr)'!$C:$FB,66)*100</f>
        <v>-43.72</v>
      </c>
    </row>
    <row r="201" spans="1:15" x14ac:dyDescent="0.25">
      <c r="A201" s="101" t="str">
        <f>'Data Vlaue (Cr)'!C196</f>
        <v>TCS</v>
      </c>
      <c r="B201" s="50">
        <f>VLOOKUP($A201,'Data Vlaue (Cr)'!$C:$FB,8)</f>
        <v>2431.3000000000002</v>
      </c>
      <c r="C201" s="50">
        <f>VLOOKUP($A201,'Data Vlaue (Cr)'!$C:$FB,11)*100</f>
        <v>-1.72</v>
      </c>
      <c r="D201" s="50">
        <f>VLOOKUP($A201,'Data Vlaue (Cr)'!$C:$FB,143)</f>
        <v>4182.46</v>
      </c>
      <c r="E201" s="50">
        <f>VLOOKUP($A201,'Data Vlaue (Cr)'!$C:$FB,144)</f>
        <v>4567.33</v>
      </c>
      <c r="F201" s="50">
        <f>VLOOKUP($A201,'Data Vlaue (Cr)'!$C:$FB,146)*100</f>
        <v>-8.43</v>
      </c>
      <c r="G201" s="49">
        <f>VLOOKUP($A201,'Data Vlaue (Cr)'!$C:$FB,43)</f>
        <v>576</v>
      </c>
      <c r="H201" s="49">
        <f>VLOOKUP($A201,'Data Vlaue (Cr)'!$C:$FB,44)</f>
        <v>854</v>
      </c>
      <c r="I201" s="49">
        <f>VLOOKUP($A201,'Data Vlaue (Cr)'!$C:$FB,46)*100</f>
        <v>-32.53</v>
      </c>
      <c r="J201" s="51">
        <f>VLOOKUP($A201,'Data Vlaue (Cr)'!$C:$FB,59)</f>
        <v>2273</v>
      </c>
      <c r="K201" s="51">
        <f>VLOOKUP($A201,'Data Vlaue (Cr)'!$C:$FB,60)</f>
        <v>2395</v>
      </c>
      <c r="L201" s="51">
        <f>VLOOKUP($A201,'Data Vlaue (Cr)'!$C:$FB,62)*100</f>
        <v>-5.09</v>
      </c>
      <c r="M201" s="51">
        <f>VLOOKUP($A201,'Data Vlaue (Cr)'!$C:$FB,63)</f>
        <v>1182</v>
      </c>
      <c r="N201" s="51">
        <f>VLOOKUP($A201,'Data Vlaue (Cr)'!$C:$FB,64)</f>
        <v>1146</v>
      </c>
      <c r="O201" s="51">
        <f>VLOOKUP($A201,'Data Vlaue (Cr)'!$C:$FB,66)*100</f>
        <v>3.2</v>
      </c>
    </row>
    <row r="202" spans="1:15" x14ac:dyDescent="0.25">
      <c r="A202" s="101" t="str">
        <f>'Data Vlaue (Cr)'!C197</f>
        <v>TECHM</v>
      </c>
      <c r="B202" s="50">
        <f>VLOOKUP($A202,'Data Vlaue (Cr)'!$C:$FB,8)</f>
        <v>1471.6</v>
      </c>
      <c r="C202" s="50">
        <f>VLOOKUP($A202,'Data Vlaue (Cr)'!$C:$FB,11)*100</f>
        <v>-0.13</v>
      </c>
      <c r="D202" s="50">
        <f>VLOOKUP($A202,'Data Vlaue (Cr)'!$C:$FB,143)</f>
        <v>1411.85</v>
      </c>
      <c r="E202" s="50">
        <f>VLOOKUP($A202,'Data Vlaue (Cr)'!$C:$FB,144)</f>
        <v>2987.95</v>
      </c>
      <c r="F202" s="50">
        <f>VLOOKUP($A202,'Data Vlaue (Cr)'!$C:$FB,146)*100</f>
        <v>-52.75</v>
      </c>
      <c r="G202" s="49">
        <f>VLOOKUP($A202,'Data Vlaue (Cr)'!$C:$FB,43)</f>
        <v>342</v>
      </c>
      <c r="H202" s="49">
        <f>VLOOKUP($A202,'Data Vlaue (Cr)'!$C:$FB,44)</f>
        <v>556</v>
      </c>
      <c r="I202" s="49">
        <f>VLOOKUP($A202,'Data Vlaue (Cr)'!$C:$FB,46)*100</f>
        <v>-38.54</v>
      </c>
      <c r="J202" s="51">
        <f>VLOOKUP($A202,'Data Vlaue (Cr)'!$C:$FB,59)</f>
        <v>636</v>
      </c>
      <c r="K202" s="51">
        <f>VLOOKUP($A202,'Data Vlaue (Cr)'!$C:$FB,60)</f>
        <v>1638</v>
      </c>
      <c r="L202" s="51">
        <f>VLOOKUP($A202,'Data Vlaue (Cr)'!$C:$FB,62)*100</f>
        <v>-61.140000000000008</v>
      </c>
      <c r="M202" s="51">
        <f>VLOOKUP($A202,'Data Vlaue (Cr)'!$C:$FB,63)</f>
        <v>403</v>
      </c>
      <c r="N202" s="51">
        <f>VLOOKUP($A202,'Data Vlaue (Cr)'!$C:$FB,64)</f>
        <v>731</v>
      </c>
      <c r="O202" s="51">
        <f>VLOOKUP($A202,'Data Vlaue (Cr)'!$C:$FB,66)*100</f>
        <v>-44.85</v>
      </c>
    </row>
    <row r="203" spans="1:15" x14ac:dyDescent="0.25">
      <c r="A203" s="101" t="str">
        <f>'Data Vlaue (Cr)'!C198</f>
        <v>TIINDIA</v>
      </c>
      <c r="B203" s="50">
        <f>VLOOKUP($A203,'Data Vlaue (Cr)'!$C:$FB,8)</f>
        <v>2906</v>
      </c>
      <c r="C203" s="50">
        <f>VLOOKUP($A203,'Data Vlaue (Cr)'!$C:$FB,11)*100</f>
        <v>-1.4200000000000002</v>
      </c>
      <c r="D203" s="50">
        <f>VLOOKUP($A203,'Data Vlaue (Cr)'!$C:$FB,143)</f>
        <v>151.76</v>
      </c>
      <c r="E203" s="50">
        <f>VLOOKUP($A203,'Data Vlaue (Cr)'!$C:$FB,144)</f>
        <v>118.77</v>
      </c>
      <c r="F203" s="50">
        <f>VLOOKUP($A203,'Data Vlaue (Cr)'!$C:$FB,146)*100</f>
        <v>27.779999999999998</v>
      </c>
      <c r="G203" s="49">
        <f>VLOOKUP($A203,'Data Vlaue (Cr)'!$C:$FB,43)</f>
        <v>58</v>
      </c>
      <c r="H203" s="49">
        <f>VLOOKUP($A203,'Data Vlaue (Cr)'!$C:$FB,44)</f>
        <v>59</v>
      </c>
      <c r="I203" s="49">
        <f>VLOOKUP($A203,'Data Vlaue (Cr)'!$C:$FB,46)*100</f>
        <v>-1.0900000000000001</v>
      </c>
      <c r="J203" s="51">
        <f>VLOOKUP($A203,'Data Vlaue (Cr)'!$C:$FB,59)</f>
        <v>67</v>
      </c>
      <c r="K203" s="51">
        <f>VLOOKUP($A203,'Data Vlaue (Cr)'!$C:$FB,60)</f>
        <v>33</v>
      </c>
      <c r="L203" s="51">
        <f>VLOOKUP($A203,'Data Vlaue (Cr)'!$C:$FB,62)*100</f>
        <v>99.83</v>
      </c>
      <c r="M203" s="51">
        <f>VLOOKUP($A203,'Data Vlaue (Cr)'!$C:$FB,63)</f>
        <v>21</v>
      </c>
      <c r="N203" s="51">
        <f>VLOOKUP($A203,'Data Vlaue (Cr)'!$C:$FB,64)</f>
        <v>23</v>
      </c>
      <c r="O203" s="51">
        <f>VLOOKUP($A203,'Data Vlaue (Cr)'!$C:$FB,66)*100</f>
        <v>-10.08</v>
      </c>
    </row>
    <row r="204" spans="1:15" x14ac:dyDescent="0.25">
      <c r="A204" s="101" t="str">
        <f>'Data Vlaue (Cr)'!C199</f>
        <v>TITAN</v>
      </c>
      <c r="B204" s="50">
        <f>VLOOKUP($A204,'Data Vlaue (Cr)'!$C:$FB,8)</f>
        <v>4363</v>
      </c>
      <c r="C204" s="50">
        <f>VLOOKUP($A204,'Data Vlaue (Cr)'!$C:$FB,11)*100</f>
        <v>-0.51</v>
      </c>
      <c r="D204" s="50">
        <f>VLOOKUP($A204,'Data Vlaue (Cr)'!$C:$FB,143)</f>
        <v>1998.38</v>
      </c>
      <c r="E204" s="50">
        <f>VLOOKUP($A204,'Data Vlaue (Cr)'!$C:$FB,144)</f>
        <v>1769.4</v>
      </c>
      <c r="F204" s="50">
        <f>VLOOKUP($A204,'Data Vlaue (Cr)'!$C:$FB,146)*100</f>
        <v>12.94</v>
      </c>
      <c r="G204" s="49">
        <f>VLOOKUP($A204,'Data Vlaue (Cr)'!$C:$FB,43)</f>
        <v>395</v>
      </c>
      <c r="H204" s="49">
        <f>VLOOKUP($A204,'Data Vlaue (Cr)'!$C:$FB,44)</f>
        <v>292</v>
      </c>
      <c r="I204" s="49">
        <f>VLOOKUP($A204,'Data Vlaue (Cr)'!$C:$FB,46)*100</f>
        <v>35.4</v>
      </c>
      <c r="J204" s="51">
        <f>VLOOKUP($A204,'Data Vlaue (Cr)'!$C:$FB,59)</f>
        <v>915</v>
      </c>
      <c r="K204" s="51">
        <f>VLOOKUP($A204,'Data Vlaue (Cr)'!$C:$FB,60)</f>
        <v>840</v>
      </c>
      <c r="L204" s="51">
        <f>VLOOKUP($A204,'Data Vlaue (Cr)'!$C:$FB,62)*100</f>
        <v>8.92</v>
      </c>
      <c r="M204" s="51">
        <f>VLOOKUP($A204,'Data Vlaue (Cr)'!$C:$FB,63)</f>
        <v>638</v>
      </c>
      <c r="N204" s="51">
        <f>VLOOKUP($A204,'Data Vlaue (Cr)'!$C:$FB,64)</f>
        <v>596</v>
      </c>
      <c r="O204" s="51">
        <f>VLOOKUP($A204,'Data Vlaue (Cr)'!$C:$FB,66)*100</f>
        <v>7.0000000000000009</v>
      </c>
    </row>
    <row r="205" spans="1:15" x14ac:dyDescent="0.25">
      <c r="A205" s="101" t="str">
        <f>'Data Vlaue (Cr)'!C200</f>
        <v>TMPV</v>
      </c>
      <c r="B205" s="50">
        <f>VLOOKUP($A205,'Data Vlaue (Cr)'!$C:$FB,8)</f>
        <v>343.05</v>
      </c>
      <c r="C205" s="50">
        <f>VLOOKUP($A205,'Data Vlaue (Cr)'!$C:$FB,11)*100</f>
        <v>0.44</v>
      </c>
      <c r="D205" s="50">
        <f>VLOOKUP($A205,'Data Vlaue (Cr)'!$C:$FB,143)</f>
        <v>1659.18</v>
      </c>
      <c r="E205" s="50">
        <f>VLOOKUP($A205,'Data Vlaue (Cr)'!$C:$FB,144)</f>
        <v>2393.13</v>
      </c>
      <c r="F205" s="50">
        <f>VLOOKUP($A205,'Data Vlaue (Cr)'!$C:$FB,146)*100</f>
        <v>-30.669999999999998</v>
      </c>
      <c r="G205" s="49">
        <f>VLOOKUP($A205,'Data Vlaue (Cr)'!$C:$FB,43)</f>
        <v>425</v>
      </c>
      <c r="H205" s="49">
        <f>VLOOKUP($A205,'Data Vlaue (Cr)'!$C:$FB,44)</f>
        <v>716</v>
      </c>
      <c r="I205" s="49">
        <f>VLOOKUP($A205,'Data Vlaue (Cr)'!$C:$FB,46)*100</f>
        <v>-40.68</v>
      </c>
      <c r="J205" s="51">
        <f>VLOOKUP($A205,'Data Vlaue (Cr)'!$C:$FB,59)</f>
        <v>870</v>
      </c>
      <c r="K205" s="51">
        <f>VLOOKUP($A205,'Data Vlaue (Cr)'!$C:$FB,60)</f>
        <v>1067</v>
      </c>
      <c r="L205" s="51">
        <f>VLOOKUP($A205,'Data Vlaue (Cr)'!$C:$FB,62)*100</f>
        <v>-18.48</v>
      </c>
      <c r="M205" s="51">
        <f>VLOOKUP($A205,'Data Vlaue (Cr)'!$C:$FB,63)</f>
        <v>298</v>
      </c>
      <c r="N205" s="51">
        <f>VLOOKUP($A205,'Data Vlaue (Cr)'!$C:$FB,64)</f>
        <v>525</v>
      </c>
      <c r="O205" s="51">
        <f>VLOOKUP($A205,'Data Vlaue (Cr)'!$C:$FB,66)*100</f>
        <v>-43.22</v>
      </c>
    </row>
    <row r="206" spans="1:15" x14ac:dyDescent="0.25">
      <c r="A206" s="101" t="str">
        <f>'Data Vlaue (Cr)'!C201</f>
        <v>TORNTPHARM</v>
      </c>
      <c r="B206" s="50">
        <f>VLOOKUP($A206,'Data Vlaue (Cr)'!$C:$FB,8)</f>
        <v>4251.8</v>
      </c>
      <c r="C206" s="50">
        <f>VLOOKUP($A206,'Data Vlaue (Cr)'!$C:$FB,11)*100</f>
        <v>1.59</v>
      </c>
      <c r="D206" s="50">
        <f>VLOOKUP($A206,'Data Vlaue (Cr)'!$C:$FB,143)</f>
        <v>361.03</v>
      </c>
      <c r="E206" s="50">
        <f>VLOOKUP($A206,'Data Vlaue (Cr)'!$C:$FB,144)</f>
        <v>241.22</v>
      </c>
      <c r="F206" s="50">
        <f>VLOOKUP($A206,'Data Vlaue (Cr)'!$C:$FB,146)*100</f>
        <v>49.669999999999995</v>
      </c>
      <c r="G206" s="49">
        <f>VLOOKUP($A206,'Data Vlaue (Cr)'!$C:$FB,43)</f>
        <v>135</v>
      </c>
      <c r="H206" s="49">
        <f>VLOOKUP($A206,'Data Vlaue (Cr)'!$C:$FB,44)</f>
        <v>118</v>
      </c>
      <c r="I206" s="49">
        <f>VLOOKUP($A206,'Data Vlaue (Cr)'!$C:$FB,46)*100</f>
        <v>15.049999999999999</v>
      </c>
      <c r="J206" s="51">
        <f>VLOOKUP($A206,'Data Vlaue (Cr)'!$C:$FB,59)</f>
        <v>177</v>
      </c>
      <c r="K206" s="51">
        <f>VLOOKUP($A206,'Data Vlaue (Cr)'!$C:$FB,60)</f>
        <v>77</v>
      </c>
      <c r="L206" s="51">
        <f>VLOOKUP($A206,'Data Vlaue (Cr)'!$C:$FB,62)*100</f>
        <v>130.96</v>
      </c>
      <c r="M206" s="51">
        <f>VLOOKUP($A206,'Data Vlaue (Cr)'!$C:$FB,63)</f>
        <v>41</v>
      </c>
      <c r="N206" s="51">
        <f>VLOOKUP($A206,'Data Vlaue (Cr)'!$C:$FB,64)</f>
        <v>47</v>
      </c>
      <c r="O206" s="51">
        <f>VLOOKUP($A206,'Data Vlaue (Cr)'!$C:$FB,66)*100</f>
        <v>-13.69</v>
      </c>
    </row>
    <row r="207" spans="1:15" x14ac:dyDescent="0.25">
      <c r="A207" s="101" t="str">
        <f>'Data Vlaue (Cr)'!C202</f>
        <v>TRENT</v>
      </c>
      <c r="B207" s="50">
        <f>VLOOKUP($A207,'Data Vlaue (Cr)'!$C:$FB,8)</f>
        <v>4158.5</v>
      </c>
      <c r="C207" s="50">
        <f>VLOOKUP($A207,'Data Vlaue (Cr)'!$C:$FB,11)*100</f>
        <v>0.33999999999999997</v>
      </c>
      <c r="D207" s="50">
        <f>VLOOKUP($A207,'Data Vlaue (Cr)'!$C:$FB,143)</f>
        <v>2136.88</v>
      </c>
      <c r="E207" s="50">
        <f>VLOOKUP($A207,'Data Vlaue (Cr)'!$C:$FB,144)</f>
        <v>2114.6999999999998</v>
      </c>
      <c r="F207" s="50">
        <f>VLOOKUP($A207,'Data Vlaue (Cr)'!$C:$FB,146)*100</f>
        <v>1.05</v>
      </c>
      <c r="G207" s="49">
        <f>VLOOKUP($A207,'Data Vlaue (Cr)'!$C:$FB,43)</f>
        <v>305</v>
      </c>
      <c r="H207" s="49">
        <f>VLOOKUP($A207,'Data Vlaue (Cr)'!$C:$FB,44)</f>
        <v>343</v>
      </c>
      <c r="I207" s="49">
        <f>VLOOKUP($A207,'Data Vlaue (Cr)'!$C:$FB,46)*100</f>
        <v>-11.03</v>
      </c>
      <c r="J207" s="51">
        <f>VLOOKUP($A207,'Data Vlaue (Cr)'!$C:$FB,59)</f>
        <v>1306</v>
      </c>
      <c r="K207" s="51">
        <f>VLOOKUP($A207,'Data Vlaue (Cr)'!$C:$FB,60)</f>
        <v>1140</v>
      </c>
      <c r="L207" s="51">
        <f>VLOOKUP($A207,'Data Vlaue (Cr)'!$C:$FB,62)*100</f>
        <v>14.52</v>
      </c>
      <c r="M207" s="51">
        <f>VLOOKUP($A207,'Data Vlaue (Cr)'!$C:$FB,63)</f>
        <v>442</v>
      </c>
      <c r="N207" s="51">
        <f>VLOOKUP($A207,'Data Vlaue (Cr)'!$C:$FB,64)</f>
        <v>549</v>
      </c>
      <c r="O207" s="51">
        <f>VLOOKUP($A207,'Data Vlaue (Cr)'!$C:$FB,66)*100</f>
        <v>-19.41</v>
      </c>
    </row>
    <row r="208" spans="1:15" x14ac:dyDescent="0.25">
      <c r="A208" s="101" t="str">
        <f>'Data Vlaue (Cr)'!C203</f>
        <v>TVSMOTOR</v>
      </c>
      <c r="B208" s="50">
        <f>VLOOKUP($A208,'Data Vlaue (Cr)'!$C:$FB,8)</f>
        <v>3495.5</v>
      </c>
      <c r="C208" s="50">
        <f>VLOOKUP($A208,'Data Vlaue (Cr)'!$C:$FB,11)*100</f>
        <v>6.9999999999999993E-2</v>
      </c>
      <c r="D208" s="50">
        <f>VLOOKUP($A208,'Data Vlaue (Cr)'!$C:$FB,143)</f>
        <v>1694.12</v>
      </c>
      <c r="E208" s="50">
        <f>VLOOKUP($A208,'Data Vlaue (Cr)'!$C:$FB,144)</f>
        <v>1713.71</v>
      </c>
      <c r="F208" s="50">
        <f>VLOOKUP($A208,'Data Vlaue (Cr)'!$C:$FB,146)*100</f>
        <v>-1.1400000000000001</v>
      </c>
      <c r="G208" s="49">
        <f>VLOOKUP($A208,'Data Vlaue (Cr)'!$C:$FB,43)</f>
        <v>485</v>
      </c>
      <c r="H208" s="49">
        <f>VLOOKUP($A208,'Data Vlaue (Cr)'!$C:$FB,44)</f>
        <v>431</v>
      </c>
      <c r="I208" s="49">
        <f>VLOOKUP($A208,'Data Vlaue (Cr)'!$C:$FB,46)*100</f>
        <v>12.590000000000002</v>
      </c>
      <c r="J208" s="51">
        <f>VLOOKUP($A208,'Data Vlaue (Cr)'!$C:$FB,59)</f>
        <v>855</v>
      </c>
      <c r="K208" s="51">
        <f>VLOOKUP($A208,'Data Vlaue (Cr)'!$C:$FB,60)</f>
        <v>723</v>
      </c>
      <c r="L208" s="51">
        <f>VLOOKUP($A208,'Data Vlaue (Cr)'!$C:$FB,62)*100</f>
        <v>18.23</v>
      </c>
      <c r="M208" s="51">
        <f>VLOOKUP($A208,'Data Vlaue (Cr)'!$C:$FB,63)</f>
        <v>309</v>
      </c>
      <c r="N208" s="51">
        <f>VLOOKUP($A208,'Data Vlaue (Cr)'!$C:$FB,64)</f>
        <v>522</v>
      </c>
      <c r="O208" s="51">
        <f>VLOOKUP($A208,'Data Vlaue (Cr)'!$C:$FB,66)*100</f>
        <v>-40.839999999999996</v>
      </c>
    </row>
    <row r="209" spans="1:15" x14ac:dyDescent="0.25">
      <c r="A209" s="101" t="str">
        <f>'Data Vlaue (Cr)'!C204</f>
        <v>ULTRACEMCO</v>
      </c>
      <c r="B209" s="50">
        <f>VLOOKUP($A209,'Data Vlaue (Cr)'!$C:$FB,8)</f>
        <v>11758</v>
      </c>
      <c r="C209" s="50">
        <f>VLOOKUP($A209,'Data Vlaue (Cr)'!$C:$FB,11)*100</f>
        <v>1.48</v>
      </c>
      <c r="D209" s="50">
        <f>VLOOKUP($A209,'Data Vlaue (Cr)'!$C:$FB,143)</f>
        <v>3688.63</v>
      </c>
      <c r="E209" s="50">
        <f>VLOOKUP($A209,'Data Vlaue (Cr)'!$C:$FB,144)</f>
        <v>3741.72</v>
      </c>
      <c r="F209" s="50">
        <f>VLOOKUP($A209,'Data Vlaue (Cr)'!$C:$FB,146)*100</f>
        <v>-1.4200000000000002</v>
      </c>
      <c r="G209" s="49">
        <f>VLOOKUP($A209,'Data Vlaue (Cr)'!$C:$FB,43)</f>
        <v>603</v>
      </c>
      <c r="H209" s="49">
        <f>VLOOKUP($A209,'Data Vlaue (Cr)'!$C:$FB,44)</f>
        <v>670</v>
      </c>
      <c r="I209" s="49">
        <f>VLOOKUP($A209,'Data Vlaue (Cr)'!$C:$FB,46)*100</f>
        <v>-9.9500000000000011</v>
      </c>
      <c r="J209" s="51">
        <f>VLOOKUP($A209,'Data Vlaue (Cr)'!$C:$FB,59)</f>
        <v>2093</v>
      </c>
      <c r="K209" s="51">
        <f>VLOOKUP($A209,'Data Vlaue (Cr)'!$C:$FB,60)</f>
        <v>1948</v>
      </c>
      <c r="L209" s="51">
        <f>VLOOKUP($A209,'Data Vlaue (Cr)'!$C:$FB,62)*100</f>
        <v>7.4499999999999993</v>
      </c>
      <c r="M209" s="51">
        <f>VLOOKUP($A209,'Data Vlaue (Cr)'!$C:$FB,63)</f>
        <v>886</v>
      </c>
      <c r="N209" s="51">
        <f>VLOOKUP($A209,'Data Vlaue (Cr)'!$C:$FB,64)</f>
        <v>1068</v>
      </c>
      <c r="O209" s="51">
        <f>VLOOKUP($A209,'Data Vlaue (Cr)'!$C:$FB,66)*100</f>
        <v>-17.09</v>
      </c>
    </row>
    <row r="210" spans="1:15" x14ac:dyDescent="0.25">
      <c r="A210" s="101" t="str">
        <f>'Data Vlaue (Cr)'!C205</f>
        <v>UNIONBANK</v>
      </c>
      <c r="B210" s="50">
        <f>VLOOKUP($A210,'Data Vlaue (Cr)'!$C:$FB,8)</f>
        <v>163.77000000000001</v>
      </c>
      <c r="C210" s="50">
        <f>VLOOKUP($A210,'Data Vlaue (Cr)'!$C:$FB,11)*100</f>
        <v>-1.31</v>
      </c>
      <c r="D210" s="50">
        <f>VLOOKUP($A210,'Data Vlaue (Cr)'!$C:$FB,143)</f>
        <v>1314.4</v>
      </c>
      <c r="E210" s="50">
        <f>VLOOKUP($A210,'Data Vlaue (Cr)'!$C:$FB,144)</f>
        <v>1901.57</v>
      </c>
      <c r="F210" s="50">
        <f>VLOOKUP($A210,'Data Vlaue (Cr)'!$C:$FB,146)*100</f>
        <v>-30.880000000000003</v>
      </c>
      <c r="G210" s="49">
        <f>VLOOKUP($A210,'Data Vlaue (Cr)'!$C:$FB,43)</f>
        <v>311</v>
      </c>
      <c r="H210" s="49">
        <f>VLOOKUP($A210,'Data Vlaue (Cr)'!$C:$FB,44)</f>
        <v>437</v>
      </c>
      <c r="I210" s="49">
        <f>VLOOKUP($A210,'Data Vlaue (Cr)'!$C:$FB,46)*100</f>
        <v>-28.87</v>
      </c>
      <c r="J210" s="51">
        <f>VLOOKUP($A210,'Data Vlaue (Cr)'!$C:$FB,59)</f>
        <v>697</v>
      </c>
      <c r="K210" s="51">
        <f>VLOOKUP($A210,'Data Vlaue (Cr)'!$C:$FB,60)</f>
        <v>893</v>
      </c>
      <c r="L210" s="51">
        <f>VLOOKUP($A210,'Data Vlaue (Cr)'!$C:$FB,62)*100</f>
        <v>-21.93</v>
      </c>
      <c r="M210" s="51">
        <f>VLOOKUP($A210,'Data Vlaue (Cr)'!$C:$FB,63)</f>
        <v>221</v>
      </c>
      <c r="N210" s="51">
        <f>VLOOKUP($A210,'Data Vlaue (Cr)'!$C:$FB,64)</f>
        <v>471</v>
      </c>
      <c r="O210" s="51">
        <f>VLOOKUP($A210,'Data Vlaue (Cr)'!$C:$FB,66)*100</f>
        <v>-53.15</v>
      </c>
    </row>
    <row r="211" spans="1:15" x14ac:dyDescent="0.25">
      <c r="A211" s="101" t="str">
        <f>'Data Vlaue (Cr)'!C206</f>
        <v>UNITDSPR</v>
      </c>
      <c r="B211" s="50">
        <f>VLOOKUP($A211,'Data Vlaue (Cr)'!$C:$FB,8)</f>
        <v>1321.7</v>
      </c>
      <c r="C211" s="50">
        <f>VLOOKUP($A211,'Data Vlaue (Cr)'!$C:$FB,11)*100</f>
        <v>-0.28999999999999998</v>
      </c>
      <c r="D211" s="50">
        <f>VLOOKUP($A211,'Data Vlaue (Cr)'!$C:$FB,143)</f>
        <v>330.32</v>
      </c>
      <c r="E211" s="50">
        <f>VLOOKUP($A211,'Data Vlaue (Cr)'!$C:$FB,144)</f>
        <v>469.23</v>
      </c>
      <c r="F211" s="50">
        <f>VLOOKUP($A211,'Data Vlaue (Cr)'!$C:$FB,146)*100</f>
        <v>-29.609999999999996</v>
      </c>
      <c r="G211" s="49">
        <f>VLOOKUP($A211,'Data Vlaue (Cr)'!$C:$FB,43)</f>
        <v>95</v>
      </c>
      <c r="H211" s="49">
        <f>VLOOKUP($A211,'Data Vlaue (Cr)'!$C:$FB,44)</f>
        <v>159</v>
      </c>
      <c r="I211" s="49">
        <f>VLOOKUP($A211,'Data Vlaue (Cr)'!$C:$FB,46)*100</f>
        <v>-40.56</v>
      </c>
      <c r="J211" s="51">
        <f>VLOOKUP($A211,'Data Vlaue (Cr)'!$C:$FB,59)</f>
        <v>172</v>
      </c>
      <c r="K211" s="51">
        <f>VLOOKUP($A211,'Data Vlaue (Cr)'!$C:$FB,60)</f>
        <v>207</v>
      </c>
      <c r="L211" s="51">
        <f>VLOOKUP($A211,'Data Vlaue (Cr)'!$C:$FB,62)*100</f>
        <v>-16.97</v>
      </c>
      <c r="M211" s="51">
        <f>VLOOKUP($A211,'Data Vlaue (Cr)'!$C:$FB,63)</f>
        <v>49</v>
      </c>
      <c r="N211" s="51">
        <f>VLOOKUP($A211,'Data Vlaue (Cr)'!$C:$FB,64)</f>
        <v>83</v>
      </c>
      <c r="O211" s="51">
        <f>VLOOKUP($A211,'Data Vlaue (Cr)'!$C:$FB,66)*100</f>
        <v>-40.489999999999995</v>
      </c>
    </row>
    <row r="212" spans="1:15" x14ac:dyDescent="0.25">
      <c r="A212" s="101" t="str">
        <f>'Data Vlaue (Cr)'!C207</f>
        <v>UNOMINDA</v>
      </c>
      <c r="B212" s="50">
        <f>VLOOKUP($A212,'Data Vlaue (Cr)'!$C:$FB,8)</f>
        <v>1109.8</v>
      </c>
      <c r="C212" s="50">
        <f>VLOOKUP($A212,'Data Vlaue (Cr)'!$C:$FB,11)*100</f>
        <v>-0.24</v>
      </c>
      <c r="D212" s="50">
        <f>VLOOKUP($A212,'Data Vlaue (Cr)'!$C:$FB,143)</f>
        <v>172.91</v>
      </c>
      <c r="E212" s="50">
        <f>VLOOKUP($A212,'Data Vlaue (Cr)'!$C:$FB,144)</f>
        <v>114.09</v>
      </c>
      <c r="F212" s="50">
        <f>VLOOKUP($A212,'Data Vlaue (Cr)'!$C:$FB,146)*100</f>
        <v>51.559999999999995</v>
      </c>
      <c r="G212" s="49">
        <f>VLOOKUP($A212,'Data Vlaue (Cr)'!$C:$FB,43)</f>
        <v>73</v>
      </c>
      <c r="H212" s="49">
        <f>VLOOKUP($A212,'Data Vlaue (Cr)'!$C:$FB,44)</f>
        <v>41</v>
      </c>
      <c r="I212" s="49">
        <f>VLOOKUP($A212,'Data Vlaue (Cr)'!$C:$FB,46)*100</f>
        <v>80.540000000000006</v>
      </c>
      <c r="J212" s="51">
        <f>VLOOKUP($A212,'Data Vlaue (Cr)'!$C:$FB,59)</f>
        <v>71</v>
      </c>
      <c r="K212" s="51">
        <f>VLOOKUP($A212,'Data Vlaue (Cr)'!$C:$FB,60)</f>
        <v>54</v>
      </c>
      <c r="L212" s="51">
        <f>VLOOKUP($A212,'Data Vlaue (Cr)'!$C:$FB,62)*100</f>
        <v>31.879999999999995</v>
      </c>
      <c r="M212" s="51">
        <f>VLOOKUP($A212,'Data Vlaue (Cr)'!$C:$FB,63)</f>
        <v>22</v>
      </c>
      <c r="N212" s="51">
        <f>VLOOKUP($A212,'Data Vlaue (Cr)'!$C:$FB,64)</f>
        <v>15</v>
      </c>
      <c r="O212" s="51">
        <f>VLOOKUP($A212,'Data Vlaue (Cr)'!$C:$FB,66)*100</f>
        <v>45.75</v>
      </c>
    </row>
    <row r="213" spans="1:15" x14ac:dyDescent="0.25">
      <c r="A213" s="101" t="str">
        <f>'Data Vlaue (Cr)'!C208</f>
        <v>UPL</v>
      </c>
      <c r="B213" s="50">
        <f>VLOOKUP($A213,'Data Vlaue (Cr)'!$C:$FB,8)</f>
        <v>643.35</v>
      </c>
      <c r="C213" s="50">
        <f>VLOOKUP($A213,'Data Vlaue (Cr)'!$C:$FB,11)*100</f>
        <v>0.22999999999999998</v>
      </c>
      <c r="D213" s="50">
        <f>VLOOKUP($A213,'Data Vlaue (Cr)'!$C:$FB,143)</f>
        <v>399.91</v>
      </c>
      <c r="E213" s="50">
        <f>VLOOKUP($A213,'Data Vlaue (Cr)'!$C:$FB,144)</f>
        <v>344.6</v>
      </c>
      <c r="F213" s="50">
        <f>VLOOKUP($A213,'Data Vlaue (Cr)'!$C:$FB,146)*100</f>
        <v>16.05</v>
      </c>
      <c r="G213" s="49">
        <f>VLOOKUP($A213,'Data Vlaue (Cr)'!$C:$FB,43)</f>
        <v>133</v>
      </c>
      <c r="H213" s="49">
        <f>VLOOKUP($A213,'Data Vlaue (Cr)'!$C:$FB,44)</f>
        <v>98</v>
      </c>
      <c r="I213" s="49">
        <f>VLOOKUP($A213,'Data Vlaue (Cr)'!$C:$FB,46)*100</f>
        <v>36.21</v>
      </c>
      <c r="J213" s="51">
        <f>VLOOKUP($A213,'Data Vlaue (Cr)'!$C:$FB,59)</f>
        <v>177</v>
      </c>
      <c r="K213" s="51">
        <f>VLOOKUP($A213,'Data Vlaue (Cr)'!$C:$FB,60)</f>
        <v>161</v>
      </c>
      <c r="L213" s="51">
        <f>VLOOKUP($A213,'Data Vlaue (Cr)'!$C:$FB,62)*100</f>
        <v>9.68</v>
      </c>
      <c r="M213" s="51">
        <f>VLOOKUP($A213,'Data Vlaue (Cr)'!$C:$FB,63)</f>
        <v>78</v>
      </c>
      <c r="N213" s="51">
        <f>VLOOKUP($A213,'Data Vlaue (Cr)'!$C:$FB,64)</f>
        <v>79</v>
      </c>
      <c r="O213" s="51">
        <f>VLOOKUP($A213,'Data Vlaue (Cr)'!$C:$FB,66)*100</f>
        <v>-0.22</v>
      </c>
    </row>
    <row r="214" spans="1:15" x14ac:dyDescent="0.25">
      <c r="A214" s="101" t="str">
        <f>'Data Vlaue (Cr)'!C209</f>
        <v>VBL</v>
      </c>
      <c r="B214" s="50">
        <f>VLOOKUP($A214,'Data Vlaue (Cr)'!$C:$FB,8)</f>
        <v>506.75</v>
      </c>
      <c r="C214" s="50">
        <f>VLOOKUP($A214,'Data Vlaue (Cr)'!$C:$FB,11)*100</f>
        <v>-1.35</v>
      </c>
      <c r="D214" s="50">
        <f>VLOOKUP($A214,'Data Vlaue (Cr)'!$C:$FB,143)</f>
        <v>1044.69</v>
      </c>
      <c r="E214" s="50">
        <f>VLOOKUP($A214,'Data Vlaue (Cr)'!$C:$FB,144)</f>
        <v>1167.75</v>
      </c>
      <c r="F214" s="50">
        <f>VLOOKUP($A214,'Data Vlaue (Cr)'!$C:$FB,146)*100</f>
        <v>-10.54</v>
      </c>
      <c r="G214" s="49">
        <f>VLOOKUP($A214,'Data Vlaue (Cr)'!$C:$FB,43)</f>
        <v>245</v>
      </c>
      <c r="H214" s="49">
        <f>VLOOKUP($A214,'Data Vlaue (Cr)'!$C:$FB,44)</f>
        <v>371</v>
      </c>
      <c r="I214" s="49">
        <f>VLOOKUP($A214,'Data Vlaue (Cr)'!$C:$FB,46)*100</f>
        <v>-33.78</v>
      </c>
      <c r="J214" s="51">
        <f>VLOOKUP($A214,'Data Vlaue (Cr)'!$C:$FB,59)</f>
        <v>524</v>
      </c>
      <c r="K214" s="51">
        <f>VLOOKUP($A214,'Data Vlaue (Cr)'!$C:$FB,60)</f>
        <v>452</v>
      </c>
      <c r="L214" s="51">
        <f>VLOOKUP($A214,'Data Vlaue (Cr)'!$C:$FB,62)*100</f>
        <v>16.05</v>
      </c>
      <c r="M214" s="51">
        <f>VLOOKUP($A214,'Data Vlaue (Cr)'!$C:$FB,63)</f>
        <v>232</v>
      </c>
      <c r="N214" s="51">
        <f>VLOOKUP($A214,'Data Vlaue (Cr)'!$C:$FB,64)</f>
        <v>307</v>
      </c>
      <c r="O214" s="51">
        <f>VLOOKUP($A214,'Data Vlaue (Cr)'!$C:$FB,66)*100</f>
        <v>-24.37</v>
      </c>
    </row>
    <row r="215" spans="1:15" x14ac:dyDescent="0.25">
      <c r="A215" s="101" t="str">
        <f>'Data Vlaue (Cr)'!C210</f>
        <v>VEDL</v>
      </c>
      <c r="B215" s="50">
        <f>VLOOKUP($A215,'Data Vlaue (Cr)'!$C:$FB,8)</f>
        <v>294.64999999999998</v>
      </c>
      <c r="C215" s="50">
        <f>VLOOKUP($A215,'Data Vlaue (Cr)'!$C:$FB,11)*100</f>
        <v>8.51</v>
      </c>
      <c r="D215" s="50">
        <f>VLOOKUP($A215,'Data Vlaue (Cr)'!$C:$FB,143)</f>
        <v>7069.82</v>
      </c>
      <c r="E215" s="50">
        <f>VLOOKUP($A215,'Data Vlaue (Cr)'!$C:$FB,144)</f>
        <v>3061.77</v>
      </c>
      <c r="F215" s="50">
        <f>VLOOKUP($A215,'Data Vlaue (Cr)'!$C:$FB,146)*100</f>
        <v>130.91</v>
      </c>
      <c r="G215" s="49">
        <f>VLOOKUP($A215,'Data Vlaue (Cr)'!$C:$FB,43)</f>
        <v>920</v>
      </c>
      <c r="H215" s="49">
        <f>VLOOKUP($A215,'Data Vlaue (Cr)'!$C:$FB,44)</f>
        <v>819</v>
      </c>
      <c r="I215" s="49">
        <f>VLOOKUP($A215,'Data Vlaue (Cr)'!$C:$FB,46)*100</f>
        <v>12.42</v>
      </c>
      <c r="J215" s="51">
        <f>VLOOKUP($A215,'Data Vlaue (Cr)'!$C:$FB,59)</f>
        <v>4547</v>
      </c>
      <c r="K215" s="51">
        <f>VLOOKUP($A215,'Data Vlaue (Cr)'!$C:$FB,60)</f>
        <v>1459</v>
      </c>
      <c r="L215" s="51">
        <f>VLOOKUP($A215,'Data Vlaue (Cr)'!$C:$FB,62)*100</f>
        <v>211.7</v>
      </c>
      <c r="M215" s="51">
        <f>VLOOKUP($A215,'Data Vlaue (Cr)'!$C:$FB,63)</f>
        <v>1363</v>
      </c>
      <c r="N215" s="51">
        <f>VLOOKUP($A215,'Data Vlaue (Cr)'!$C:$FB,64)</f>
        <v>837</v>
      </c>
      <c r="O215" s="51">
        <f>VLOOKUP($A215,'Data Vlaue (Cr)'!$C:$FB,66)*100</f>
        <v>62.82</v>
      </c>
    </row>
    <row r="216" spans="1:15" x14ac:dyDescent="0.25">
      <c r="A216" s="101" t="str">
        <f>'Data Vlaue (Cr)'!C211</f>
        <v>VMM</v>
      </c>
      <c r="B216" s="50">
        <f>VLOOKUP($A216,'Data Vlaue (Cr)'!$C:$FB,8)</f>
        <v>125.29</v>
      </c>
      <c r="C216" s="50">
        <f>VLOOKUP($A216,'Data Vlaue (Cr)'!$C:$FB,11)*100</f>
        <v>2.4500000000000002</v>
      </c>
      <c r="D216" s="50">
        <f>VLOOKUP($A216,'Data Vlaue (Cr)'!$C:$FB,143)</f>
        <v>123.13</v>
      </c>
      <c r="E216" s="50">
        <f>VLOOKUP($A216,'Data Vlaue (Cr)'!$C:$FB,144)</f>
        <v>78.760000000000005</v>
      </c>
      <c r="F216" s="50">
        <f>VLOOKUP($A216,'Data Vlaue (Cr)'!$C:$FB,146)*100</f>
        <v>56.330000000000005</v>
      </c>
      <c r="G216" s="49">
        <f>VLOOKUP($A216,'Data Vlaue (Cr)'!$C:$FB,43)</f>
        <v>44</v>
      </c>
      <c r="H216" s="49">
        <f>VLOOKUP($A216,'Data Vlaue (Cr)'!$C:$FB,44)</f>
        <v>50</v>
      </c>
      <c r="I216" s="49">
        <f>VLOOKUP($A216,'Data Vlaue (Cr)'!$C:$FB,46)*100</f>
        <v>-11.64</v>
      </c>
      <c r="J216" s="51">
        <f>VLOOKUP($A216,'Data Vlaue (Cr)'!$C:$FB,59)</f>
        <v>65</v>
      </c>
      <c r="K216" s="51">
        <f>VLOOKUP($A216,'Data Vlaue (Cr)'!$C:$FB,60)</f>
        <v>22</v>
      </c>
      <c r="L216" s="51">
        <f>VLOOKUP($A216,'Data Vlaue (Cr)'!$C:$FB,62)*100</f>
        <v>187.19</v>
      </c>
      <c r="M216" s="51">
        <f>VLOOKUP($A216,'Data Vlaue (Cr)'!$C:$FB,63)</f>
        <v>12</v>
      </c>
      <c r="N216" s="51">
        <f>VLOOKUP($A216,'Data Vlaue (Cr)'!$C:$FB,64)</f>
        <v>7</v>
      </c>
      <c r="O216" s="51">
        <f>VLOOKUP($A216,'Data Vlaue (Cr)'!$C:$FB,66)*100</f>
        <v>62.71</v>
      </c>
    </row>
    <row r="217" spans="1:15" x14ac:dyDescent="0.25">
      <c r="A217" s="101" t="str">
        <f>'Data Vlaue (Cr)'!C212</f>
        <v>VOLTAS</v>
      </c>
      <c r="B217" s="50">
        <f>VLOOKUP($A217,'Data Vlaue (Cr)'!$C:$FB,8)</f>
        <v>1454.2</v>
      </c>
      <c r="C217" s="50">
        <f>VLOOKUP($A217,'Data Vlaue (Cr)'!$C:$FB,11)*100</f>
        <v>1.66</v>
      </c>
      <c r="D217" s="50">
        <f>VLOOKUP($A217,'Data Vlaue (Cr)'!$C:$FB,143)</f>
        <v>890.81</v>
      </c>
      <c r="E217" s="50">
        <f>VLOOKUP($A217,'Data Vlaue (Cr)'!$C:$FB,144)</f>
        <v>985.49</v>
      </c>
      <c r="F217" s="50">
        <f>VLOOKUP($A217,'Data Vlaue (Cr)'!$C:$FB,146)*100</f>
        <v>-9.6100000000000012</v>
      </c>
      <c r="G217" s="49">
        <f>VLOOKUP($A217,'Data Vlaue (Cr)'!$C:$FB,43)</f>
        <v>209</v>
      </c>
      <c r="H217" s="49">
        <f>VLOOKUP($A217,'Data Vlaue (Cr)'!$C:$FB,44)</f>
        <v>232</v>
      </c>
      <c r="I217" s="49">
        <f>VLOOKUP($A217,'Data Vlaue (Cr)'!$C:$FB,46)*100</f>
        <v>-9.66</v>
      </c>
      <c r="J217" s="51">
        <f>VLOOKUP($A217,'Data Vlaue (Cr)'!$C:$FB,59)</f>
        <v>477</v>
      </c>
      <c r="K217" s="51">
        <f>VLOOKUP($A217,'Data Vlaue (Cr)'!$C:$FB,60)</f>
        <v>469</v>
      </c>
      <c r="L217" s="51">
        <f>VLOOKUP($A217,'Data Vlaue (Cr)'!$C:$FB,62)*100</f>
        <v>1.5699999999999998</v>
      </c>
      <c r="M217" s="51">
        <f>VLOOKUP($A217,'Data Vlaue (Cr)'!$C:$FB,63)</f>
        <v>176</v>
      </c>
      <c r="N217" s="51">
        <f>VLOOKUP($A217,'Data Vlaue (Cr)'!$C:$FB,64)</f>
        <v>260</v>
      </c>
      <c r="O217" s="51">
        <f>VLOOKUP($A217,'Data Vlaue (Cr)'!$C:$FB,66)*100</f>
        <v>-32.21</v>
      </c>
    </row>
    <row r="218" spans="1:15" x14ac:dyDescent="0.25">
      <c r="A218" s="101" t="str">
        <f>'Data Vlaue (Cr)'!C213</f>
        <v>WAAREEENER</v>
      </c>
      <c r="B218" s="50">
        <f>VLOOKUP($A218,'Data Vlaue (Cr)'!$C:$FB,8)</f>
        <v>3136.3</v>
      </c>
      <c r="C218" s="50">
        <f>VLOOKUP($A218,'Data Vlaue (Cr)'!$C:$FB,11)*100</f>
        <v>0.55999999999999994</v>
      </c>
      <c r="D218" s="50">
        <f>VLOOKUP($A218,'Data Vlaue (Cr)'!$C:$FB,143)</f>
        <v>3721.06</v>
      </c>
      <c r="E218" s="50">
        <f>VLOOKUP($A218,'Data Vlaue (Cr)'!$C:$FB,144)</f>
        <v>10984.81</v>
      </c>
      <c r="F218" s="50">
        <f>VLOOKUP($A218,'Data Vlaue (Cr)'!$C:$FB,146)*100</f>
        <v>-66.13</v>
      </c>
      <c r="G218" s="49">
        <f>VLOOKUP($A218,'Data Vlaue (Cr)'!$C:$FB,43)</f>
        <v>414</v>
      </c>
      <c r="H218" s="49">
        <f>VLOOKUP($A218,'Data Vlaue (Cr)'!$C:$FB,44)</f>
        <v>1982</v>
      </c>
      <c r="I218" s="49">
        <f>VLOOKUP($A218,'Data Vlaue (Cr)'!$C:$FB,46)*100</f>
        <v>-79.13</v>
      </c>
      <c r="J218" s="51">
        <f>VLOOKUP($A218,'Data Vlaue (Cr)'!$C:$FB,59)</f>
        <v>2405</v>
      </c>
      <c r="K218" s="51">
        <f>VLOOKUP($A218,'Data Vlaue (Cr)'!$C:$FB,60)</f>
        <v>5310</v>
      </c>
      <c r="L218" s="51">
        <f>VLOOKUP($A218,'Data Vlaue (Cr)'!$C:$FB,62)*100</f>
        <v>-54.71</v>
      </c>
      <c r="M218" s="51">
        <f>VLOOKUP($A218,'Data Vlaue (Cr)'!$C:$FB,63)</f>
        <v>653</v>
      </c>
      <c r="N218" s="51">
        <f>VLOOKUP($A218,'Data Vlaue (Cr)'!$C:$FB,64)</f>
        <v>2938</v>
      </c>
      <c r="O218" s="51">
        <f>VLOOKUP($A218,'Data Vlaue (Cr)'!$C:$FB,66)*100</f>
        <v>-77.77</v>
      </c>
    </row>
    <row r="219" spans="1:15" x14ac:dyDescent="0.25">
      <c r="A219" s="101" t="str">
        <f>'Data Vlaue (Cr)'!C214</f>
        <v>WIPRO</v>
      </c>
      <c r="B219" s="50">
        <f>VLOOKUP($A219,'Data Vlaue (Cr)'!$C:$FB,8)</f>
        <v>200.75</v>
      </c>
      <c r="C219" s="50">
        <f>VLOOKUP($A219,'Data Vlaue (Cr)'!$C:$FB,11)*100</f>
        <v>0.05</v>
      </c>
      <c r="D219" s="50">
        <f>VLOOKUP($A219,'Data Vlaue (Cr)'!$C:$FB,143)</f>
        <v>2325.15</v>
      </c>
      <c r="E219" s="50">
        <f>VLOOKUP($A219,'Data Vlaue (Cr)'!$C:$FB,144)</f>
        <v>3042.25</v>
      </c>
      <c r="F219" s="50">
        <f>VLOOKUP($A219,'Data Vlaue (Cr)'!$C:$FB,146)*100</f>
        <v>-23.57</v>
      </c>
      <c r="G219" s="49">
        <f>VLOOKUP($A219,'Data Vlaue (Cr)'!$C:$FB,43)</f>
        <v>412</v>
      </c>
      <c r="H219" s="49">
        <f>VLOOKUP($A219,'Data Vlaue (Cr)'!$C:$FB,44)</f>
        <v>507</v>
      </c>
      <c r="I219" s="49">
        <f>VLOOKUP($A219,'Data Vlaue (Cr)'!$C:$FB,46)*100</f>
        <v>-18.759999999999998</v>
      </c>
      <c r="J219" s="51">
        <f>VLOOKUP($A219,'Data Vlaue (Cr)'!$C:$FB,59)</f>
        <v>1241</v>
      </c>
      <c r="K219" s="51">
        <f>VLOOKUP($A219,'Data Vlaue (Cr)'!$C:$FB,60)</f>
        <v>1705</v>
      </c>
      <c r="L219" s="51">
        <f>VLOOKUP($A219,'Data Vlaue (Cr)'!$C:$FB,62)*100</f>
        <v>-27.200000000000003</v>
      </c>
      <c r="M219" s="51">
        <f>VLOOKUP($A219,'Data Vlaue (Cr)'!$C:$FB,63)</f>
        <v>574</v>
      </c>
      <c r="N219" s="51">
        <f>VLOOKUP($A219,'Data Vlaue (Cr)'!$C:$FB,64)</f>
        <v>707</v>
      </c>
      <c r="O219" s="51">
        <f>VLOOKUP($A219,'Data Vlaue (Cr)'!$C:$FB,66)*100</f>
        <v>-18.77</v>
      </c>
    </row>
    <row r="220" spans="1:15" x14ac:dyDescent="0.25">
      <c r="A220" s="101" t="str">
        <f>'Data Vlaue (Cr)'!C215</f>
        <v>YESBANK</v>
      </c>
      <c r="B220" s="50">
        <f>VLOOKUP($A220,'Data Vlaue (Cr)'!$C:$FB,8)</f>
        <v>19.96</v>
      </c>
      <c r="C220" s="50">
        <f>VLOOKUP($A220,'Data Vlaue (Cr)'!$C:$FB,11)*100</f>
        <v>0.15</v>
      </c>
      <c r="D220" s="50">
        <f>VLOOKUP($A220,'Data Vlaue (Cr)'!$C:$FB,143)</f>
        <v>1081.02</v>
      </c>
      <c r="E220" s="50">
        <f>VLOOKUP($A220,'Data Vlaue (Cr)'!$C:$FB,144)</f>
        <v>1340.03</v>
      </c>
      <c r="F220" s="50">
        <f>VLOOKUP($A220,'Data Vlaue (Cr)'!$C:$FB,146)*100</f>
        <v>-19.329999999999998</v>
      </c>
      <c r="G220" s="49">
        <f>VLOOKUP($A220,'Data Vlaue (Cr)'!$C:$FB,43)</f>
        <v>208</v>
      </c>
      <c r="H220" s="49">
        <f>VLOOKUP($A220,'Data Vlaue (Cr)'!$C:$FB,44)</f>
        <v>260</v>
      </c>
      <c r="I220" s="49">
        <f>VLOOKUP($A220,'Data Vlaue (Cr)'!$C:$FB,46)*100</f>
        <v>-19.809999999999999</v>
      </c>
      <c r="J220" s="51">
        <f>VLOOKUP($A220,'Data Vlaue (Cr)'!$C:$FB,59)</f>
        <v>595</v>
      </c>
      <c r="K220" s="51">
        <f>VLOOKUP($A220,'Data Vlaue (Cr)'!$C:$FB,60)</f>
        <v>771</v>
      </c>
      <c r="L220" s="51">
        <f>VLOOKUP($A220,'Data Vlaue (Cr)'!$C:$FB,62)*100</f>
        <v>-22.8</v>
      </c>
      <c r="M220" s="51">
        <f>VLOOKUP($A220,'Data Vlaue (Cr)'!$C:$FB,63)</f>
        <v>218</v>
      </c>
      <c r="N220" s="51">
        <f>VLOOKUP($A220,'Data Vlaue (Cr)'!$C:$FB,64)</f>
        <v>240</v>
      </c>
      <c r="O220" s="51">
        <f>VLOOKUP($A220,'Data Vlaue (Cr)'!$C:$FB,66)*100</f>
        <v>-9.09</v>
      </c>
    </row>
    <row r="221" spans="1:15" x14ac:dyDescent="0.25">
      <c r="A221" s="101" t="str">
        <f>'Data Vlaue (Cr)'!C216</f>
        <v>ZYDUSLIFE</v>
      </c>
      <c r="B221" s="50">
        <f>VLOOKUP($A221,'Data Vlaue (Cr)'!$C:$FB,8)</f>
        <v>902.35</v>
      </c>
      <c r="C221" s="50">
        <f>VLOOKUP($A221,'Data Vlaue (Cr)'!$C:$FB,11)*100</f>
        <v>1.17</v>
      </c>
      <c r="D221" s="50">
        <f>VLOOKUP($A221,'Data Vlaue (Cr)'!$C:$FB,143)</f>
        <v>273.11</v>
      </c>
      <c r="E221" s="50">
        <f>VLOOKUP($A221,'Data Vlaue (Cr)'!$C:$FB,144)</f>
        <v>370.38</v>
      </c>
      <c r="F221" s="50">
        <f>VLOOKUP($A221,'Data Vlaue (Cr)'!$C:$FB,146)*100</f>
        <v>-26.26</v>
      </c>
      <c r="G221" s="49">
        <f>VLOOKUP($A221,'Data Vlaue (Cr)'!$C:$FB,43)</f>
        <v>83</v>
      </c>
      <c r="H221" s="49">
        <f>VLOOKUP($A221,'Data Vlaue (Cr)'!$C:$FB,44)</f>
        <v>121</v>
      </c>
      <c r="I221" s="49">
        <f>VLOOKUP($A221,'Data Vlaue (Cr)'!$C:$FB,46)*100</f>
        <v>-31.44</v>
      </c>
      <c r="J221" s="51">
        <f>VLOOKUP($A221,'Data Vlaue (Cr)'!$C:$FB,59)</f>
        <v>138</v>
      </c>
      <c r="K221" s="51">
        <f>VLOOKUP($A221,'Data Vlaue (Cr)'!$C:$FB,60)</f>
        <v>162</v>
      </c>
      <c r="L221" s="51">
        <f>VLOOKUP($A221,'Data Vlaue (Cr)'!$C:$FB,62)*100</f>
        <v>-14.64</v>
      </c>
      <c r="M221" s="51">
        <f>VLOOKUP($A221,'Data Vlaue (Cr)'!$C:$FB,63)</f>
        <v>43</v>
      </c>
      <c r="N221" s="51">
        <f>VLOOKUP($A221,'Data Vlaue (Cr)'!$C:$FB,64)</f>
        <v>79</v>
      </c>
      <c r="O221" s="51">
        <f>VLOOKUP($A221,'Data Vlaue (Cr)'!$C:$FB,66)*100</f>
        <v>-44.59</v>
      </c>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28166997.820000008</v>
      </c>
      <c r="E232" s="131">
        <f>SUM(E7:E231)</f>
        <v>8626950.9100000001</v>
      </c>
      <c r="F232" s="132">
        <f>(D232-E232)/E232</f>
        <v>2.2650003592057075</v>
      </c>
      <c r="G232" s="131">
        <f>SUM(G7:G231)</f>
        <v>107672</v>
      </c>
      <c r="H232" s="131">
        <f>SUM(H7:H231)</f>
        <v>111268</v>
      </c>
      <c r="I232" s="132">
        <f>(G232-H232)/H232</f>
        <v>-3.2318366466549231E-2</v>
      </c>
      <c r="J232" s="131">
        <f>SUM(J7:J231)</f>
        <v>13474370</v>
      </c>
      <c r="K232" s="131">
        <f>SUM(K7:K231)</f>
        <v>4493030</v>
      </c>
      <c r="L232" s="132">
        <f>(J232-K232)/K232</f>
        <v>1.9989494839785178</v>
      </c>
      <c r="M232" s="131">
        <f>SUM(M7:M231)</f>
        <v>14570823</v>
      </c>
      <c r="N232" s="131">
        <f>SUM(N7:N231)</f>
        <v>4047303</v>
      </c>
      <c r="O232" s="132">
        <f>(M232-N232)/N232</f>
        <v>2.6001314949733194</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3"/>
  <sheetViews>
    <sheetView workbookViewId="0">
      <pane ySplit="6" topLeftCell="A210" activePane="bottomLeft" state="frozen"/>
      <selection pane="bottomLeft" activeCell="A222" sqref="A222:O227"/>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2" t="s">
        <v>315</v>
      </c>
      <c r="B3" s="299"/>
      <c r="C3" s="299"/>
      <c r="D3" s="299"/>
      <c r="E3" s="299"/>
      <c r="F3" s="299"/>
      <c r="G3" s="299"/>
      <c r="H3" s="299"/>
      <c r="I3" s="299"/>
      <c r="J3" s="299"/>
      <c r="K3" s="299"/>
      <c r="L3" s="299"/>
      <c r="M3" s="299"/>
      <c r="N3" s="299"/>
      <c r="O3" s="300"/>
    </row>
    <row r="4" spans="1:15" x14ac:dyDescent="0.25">
      <c r="A4" s="303" t="s">
        <v>330</v>
      </c>
      <c r="B4" s="303" t="s">
        <v>308</v>
      </c>
      <c r="C4" s="303"/>
      <c r="D4" s="303" t="s">
        <v>361</v>
      </c>
      <c r="E4" s="303"/>
      <c r="F4" s="303"/>
      <c r="G4" s="303"/>
      <c r="H4" s="303"/>
      <c r="I4" s="303"/>
      <c r="J4" s="303"/>
      <c r="K4" s="303"/>
      <c r="L4" s="303"/>
      <c r="M4" s="303"/>
      <c r="N4" s="303"/>
      <c r="O4" s="303"/>
    </row>
    <row r="5" spans="1:15" x14ac:dyDescent="0.25">
      <c r="A5" s="304"/>
      <c r="B5" s="304" t="s">
        <v>312</v>
      </c>
      <c r="C5" s="304"/>
      <c r="D5" s="304" t="s">
        <v>315</v>
      </c>
      <c r="E5" s="304"/>
      <c r="F5" s="304"/>
      <c r="G5" s="304" t="s">
        <v>362</v>
      </c>
      <c r="H5" s="304"/>
      <c r="I5" s="304"/>
      <c r="J5" s="304" t="s">
        <v>363</v>
      </c>
      <c r="K5" s="304"/>
      <c r="L5" s="304"/>
      <c r="M5" s="304" t="s">
        <v>364</v>
      </c>
      <c r="N5" s="304"/>
      <c r="O5" s="304"/>
    </row>
    <row r="6" spans="1:15" x14ac:dyDescent="0.25">
      <c r="A6" s="34" t="s">
        <v>318</v>
      </c>
      <c r="B6" s="21">
        <f>'Total Value'!B6</f>
        <v>46146</v>
      </c>
      <c r="C6" s="34" t="s">
        <v>328</v>
      </c>
      <c r="D6" s="21">
        <f>B6</f>
        <v>46146</v>
      </c>
      <c r="E6" s="34" t="s">
        <v>322</v>
      </c>
      <c r="F6" s="34" t="s">
        <v>328</v>
      </c>
      <c r="G6" s="21">
        <f>D6</f>
        <v>46146</v>
      </c>
      <c r="H6" s="34" t="s">
        <v>322</v>
      </c>
      <c r="I6" s="34" t="s">
        <v>328</v>
      </c>
      <c r="J6" s="21">
        <f>D6</f>
        <v>46146</v>
      </c>
      <c r="K6" s="34" t="s">
        <v>322</v>
      </c>
      <c r="L6" s="34" t="s">
        <v>328</v>
      </c>
      <c r="M6" s="21">
        <f>D6</f>
        <v>46146</v>
      </c>
      <c r="N6" s="34" t="s">
        <v>322</v>
      </c>
      <c r="O6" s="34" t="s">
        <v>328</v>
      </c>
    </row>
    <row r="7" spans="1:15" x14ac:dyDescent="0.25">
      <c r="A7" s="101" t="str">
        <f>'Data Vlaue (Cr)'!C2</f>
        <v>360ONE</v>
      </c>
      <c r="B7" s="50">
        <f>VLOOKUP($A7,'Data shares'!$C:$FB,7)</f>
        <v>1066.5</v>
      </c>
      <c r="C7" s="50">
        <f>VLOOKUP($A7,'Data shares'!$C:$FB,10)*100</f>
        <v>3.08</v>
      </c>
      <c r="D7" s="49">
        <f>VLOOKUP($A7,'Data shares'!$C:$FB,66)</f>
        <v>3766500</v>
      </c>
      <c r="E7" s="49">
        <f>VLOOKUP($A7,'Data shares'!$C:$FB,67)</f>
        <v>2241000</v>
      </c>
      <c r="F7" s="50">
        <f>VLOOKUP($A7,'Data shares'!$C:$FB,69)*100</f>
        <v>68.069999999999993</v>
      </c>
      <c r="G7" s="49">
        <f>VLOOKUP($A7,'Data shares'!$C:$FB,42)</f>
        <v>1222000</v>
      </c>
      <c r="H7" s="49">
        <f>VLOOKUP($A7,'Data shares'!$C:$FB,43)</f>
        <v>722500</v>
      </c>
      <c r="I7" s="50">
        <f>VLOOKUP($A7,'Data shares'!$C:$FB,45)*100</f>
        <v>69.13</v>
      </c>
      <c r="J7" s="49">
        <f>VLOOKUP($A7,'Data shares'!$C:$FB,58)</f>
        <v>1642000</v>
      </c>
      <c r="K7" s="49">
        <f>VLOOKUP($A7,'Data shares'!$C:$FB,59)</f>
        <v>888500</v>
      </c>
      <c r="L7" s="50">
        <f>VLOOKUP($A7,'Data shares'!$C:$FB,61)*100</f>
        <v>84.81</v>
      </c>
      <c r="M7" s="49">
        <f>VLOOKUP($A7,'Data shares'!$C:$FB,62)</f>
        <v>902500</v>
      </c>
      <c r="N7" s="49">
        <f>VLOOKUP($A7,'Data shares'!$C:$FB,63)</f>
        <v>630000</v>
      </c>
      <c r="O7" s="140">
        <f>VLOOKUP($A7,'Data shares'!$C:$FB,65)*100</f>
        <v>43.25</v>
      </c>
    </row>
    <row r="8" spans="1:15" x14ac:dyDescent="0.25">
      <c r="A8" s="101" t="str">
        <f>'Data Vlaue (Cr)'!C3</f>
        <v>ABB</v>
      </c>
      <c r="B8" s="50">
        <f>VLOOKUP($A8,'Data shares'!$C:$FB,7)</f>
        <v>7236.5</v>
      </c>
      <c r="C8" s="50">
        <f>VLOOKUP($A8,'Data shares'!$C:$FB,10)*100</f>
        <v>0.09</v>
      </c>
      <c r="D8" s="49">
        <f>VLOOKUP($A8,'Data shares'!$C:$FB,66)</f>
        <v>2645750</v>
      </c>
      <c r="E8" s="49">
        <f>VLOOKUP($A8,'Data shares'!$C:$FB,67)</f>
        <v>1725875</v>
      </c>
      <c r="F8" s="50">
        <f>VLOOKUP($A8,'Data shares'!$C:$FB,69)*100</f>
        <v>53.300000000000004</v>
      </c>
      <c r="G8" s="49">
        <f>VLOOKUP($A8,'Data shares'!$C:$FB,42)</f>
        <v>493000</v>
      </c>
      <c r="H8" s="49">
        <f>VLOOKUP($A8,'Data shares'!$C:$FB,43)</f>
        <v>437125</v>
      </c>
      <c r="I8" s="50">
        <f>VLOOKUP($A8,'Data shares'!$C:$FB,45)*100</f>
        <v>12.78</v>
      </c>
      <c r="J8" s="49">
        <f>VLOOKUP($A8,'Data shares'!$C:$FB,58)</f>
        <v>1662000</v>
      </c>
      <c r="K8" s="49">
        <f>VLOOKUP($A8,'Data shares'!$C:$FB,59)</f>
        <v>737000</v>
      </c>
      <c r="L8" s="50">
        <f>VLOOKUP($A8,'Data shares'!$C:$FB,61)*100</f>
        <v>125.51</v>
      </c>
      <c r="M8" s="49">
        <f>VLOOKUP($A8,'Data shares'!$C:$FB,62)</f>
        <v>490750</v>
      </c>
      <c r="N8" s="49">
        <f>VLOOKUP($A8,'Data shares'!$C:$FB,63)</f>
        <v>551750</v>
      </c>
      <c r="O8" s="140">
        <f>VLOOKUP($A8,'Data shares'!$C:$FB,65)*100</f>
        <v>-11.06</v>
      </c>
    </row>
    <row r="9" spans="1:15" x14ac:dyDescent="0.25">
      <c r="A9" s="101" t="str">
        <f>'Data Vlaue (Cr)'!C4</f>
        <v>ABCAPITAL</v>
      </c>
      <c r="B9" s="50">
        <f>VLOOKUP($A9,'Data shares'!$C:$FB,7)</f>
        <v>345.85</v>
      </c>
      <c r="C9" s="50">
        <f>VLOOKUP($A9,'Data shares'!$C:$FB,10)*100</f>
        <v>0.1</v>
      </c>
      <c r="D9" s="49">
        <f>VLOOKUP($A9,'Data shares'!$C:$FB,66)</f>
        <v>170797600</v>
      </c>
      <c r="E9" s="49">
        <f>VLOOKUP($A9,'Data shares'!$C:$FB,67)</f>
        <v>26449200</v>
      </c>
      <c r="F9" s="50">
        <f>VLOOKUP($A9,'Data shares'!$C:$FB,69)*100</f>
        <v>545.76</v>
      </c>
      <c r="G9" s="49">
        <f>VLOOKUP($A9,'Data shares'!$C:$FB,42)</f>
        <v>39931100</v>
      </c>
      <c r="H9" s="49">
        <f>VLOOKUP($A9,'Data shares'!$C:$FB,43)</f>
        <v>11253000</v>
      </c>
      <c r="I9" s="50">
        <f>VLOOKUP($A9,'Data shares'!$C:$FB,45)*100</f>
        <v>254.85000000000002</v>
      </c>
      <c r="J9" s="49">
        <f>VLOOKUP($A9,'Data shares'!$C:$FB,58)</f>
        <v>89022700</v>
      </c>
      <c r="K9" s="49">
        <f>VLOOKUP($A9,'Data shares'!$C:$FB,59)</f>
        <v>9461200</v>
      </c>
      <c r="L9" s="50">
        <f>VLOOKUP($A9,'Data shares'!$C:$FB,61)*100</f>
        <v>840.92000000000007</v>
      </c>
      <c r="M9" s="49">
        <f>VLOOKUP($A9,'Data shares'!$C:$FB,62)</f>
        <v>41843800</v>
      </c>
      <c r="N9" s="49">
        <f>VLOOKUP($A9,'Data shares'!$C:$FB,63)</f>
        <v>5735000</v>
      </c>
      <c r="O9" s="140">
        <f>VLOOKUP($A9,'Data shares'!$C:$FB,65)*100</f>
        <v>629.62</v>
      </c>
    </row>
    <row r="10" spans="1:15" x14ac:dyDescent="0.25">
      <c r="A10" s="101" t="str">
        <f>'Data Vlaue (Cr)'!C5</f>
        <v>ADANIENSOL</v>
      </c>
      <c r="B10" s="50">
        <f>VLOOKUP($A10,'Data shares'!$C:$FB,7)</f>
        <v>1398.4</v>
      </c>
      <c r="C10" s="50">
        <f>VLOOKUP($A10,'Data shares'!$C:$FB,10)*100</f>
        <v>4.18</v>
      </c>
      <c r="D10" s="49">
        <f>VLOOKUP($A10,'Data shares'!$C:$FB,66)</f>
        <v>26626725</v>
      </c>
      <c r="E10" s="49">
        <f>VLOOKUP($A10,'Data shares'!$C:$FB,67)</f>
        <v>26780625</v>
      </c>
      <c r="F10" s="50">
        <f>VLOOKUP($A10,'Data shares'!$C:$FB,69)*100</f>
        <v>-0.57000000000000006</v>
      </c>
      <c r="G10" s="49">
        <f>VLOOKUP($A10,'Data shares'!$C:$FB,42)</f>
        <v>5924475</v>
      </c>
      <c r="H10" s="49">
        <f>VLOOKUP($A10,'Data shares'!$C:$FB,43)</f>
        <v>7988625</v>
      </c>
      <c r="I10" s="50">
        <f>VLOOKUP($A10,'Data shares'!$C:$FB,45)*100</f>
        <v>-25.840000000000003</v>
      </c>
      <c r="J10" s="49">
        <f>VLOOKUP($A10,'Data shares'!$C:$FB,58)</f>
        <v>13597200</v>
      </c>
      <c r="K10" s="49">
        <f>VLOOKUP($A10,'Data shares'!$C:$FB,59)</f>
        <v>11559375</v>
      </c>
      <c r="L10" s="50">
        <f>VLOOKUP($A10,'Data shares'!$C:$FB,61)*100</f>
        <v>17.630000000000003</v>
      </c>
      <c r="M10" s="49">
        <f>VLOOKUP($A10,'Data shares'!$C:$FB,62)</f>
        <v>7105050</v>
      </c>
      <c r="N10" s="49">
        <f>VLOOKUP($A10,'Data shares'!$C:$FB,63)</f>
        <v>7232625</v>
      </c>
      <c r="O10" s="140">
        <f>VLOOKUP($A10,'Data shares'!$C:$FB,65)*100</f>
        <v>-1.76</v>
      </c>
    </row>
    <row r="11" spans="1:15" x14ac:dyDescent="0.25">
      <c r="A11" s="101" t="str">
        <f>'Data Vlaue (Cr)'!C6</f>
        <v>ADANIENT</v>
      </c>
      <c r="B11" s="50">
        <f>VLOOKUP($A11,'Data shares'!$C:$FB,7)</f>
        <v>2485.6999999999998</v>
      </c>
      <c r="C11" s="50">
        <f>VLOOKUP($A11,'Data shares'!$C:$FB,10)*100</f>
        <v>3.2099999999999995</v>
      </c>
      <c r="D11" s="49">
        <f>VLOOKUP($A11,'Data shares'!$C:$FB,66)</f>
        <v>48180825</v>
      </c>
      <c r="E11" s="49">
        <f>VLOOKUP($A11,'Data shares'!$C:$FB,67)</f>
        <v>25979793</v>
      </c>
      <c r="F11" s="50">
        <f>VLOOKUP($A11,'Data shares'!$C:$FB,69)*100</f>
        <v>85.45</v>
      </c>
      <c r="G11" s="49">
        <f>VLOOKUP($A11,'Data shares'!$C:$FB,42)</f>
        <v>8445897</v>
      </c>
      <c r="H11" s="49">
        <f>VLOOKUP($A11,'Data shares'!$C:$FB,43)</f>
        <v>5589192</v>
      </c>
      <c r="I11" s="50">
        <f>VLOOKUP($A11,'Data shares'!$C:$FB,45)*100</f>
        <v>51.11</v>
      </c>
      <c r="J11" s="49">
        <f>VLOOKUP($A11,'Data shares'!$C:$FB,58)</f>
        <v>24852252</v>
      </c>
      <c r="K11" s="49">
        <f>VLOOKUP($A11,'Data shares'!$C:$FB,59)</f>
        <v>13389897</v>
      </c>
      <c r="L11" s="50">
        <f>VLOOKUP($A11,'Data shares'!$C:$FB,61)*100</f>
        <v>85.6</v>
      </c>
      <c r="M11" s="49">
        <f>VLOOKUP($A11,'Data shares'!$C:$FB,62)</f>
        <v>14882676</v>
      </c>
      <c r="N11" s="49">
        <f>VLOOKUP($A11,'Data shares'!$C:$FB,63)</f>
        <v>7000704</v>
      </c>
      <c r="O11" s="140">
        <f>VLOOKUP($A11,'Data shares'!$C:$FB,65)*100</f>
        <v>112.58999999999999</v>
      </c>
    </row>
    <row r="12" spans="1:15" x14ac:dyDescent="0.25">
      <c r="A12" s="101" t="str">
        <f>'Data Vlaue (Cr)'!C7</f>
        <v>ADANIGREEN</v>
      </c>
      <c r="B12" s="50">
        <f>VLOOKUP($A12,'Data shares'!$C:$FB,7)</f>
        <v>1290.7</v>
      </c>
      <c r="C12" s="50">
        <f>VLOOKUP($A12,'Data shares'!$C:$FB,10)*100</f>
        <v>5.18</v>
      </c>
      <c r="D12" s="49">
        <f>VLOOKUP($A12,'Data shares'!$C:$FB,66)</f>
        <v>30997800</v>
      </c>
      <c r="E12" s="49">
        <f>VLOOKUP($A12,'Data shares'!$C:$FB,67)</f>
        <v>11588400</v>
      </c>
      <c r="F12" s="50">
        <f>VLOOKUP($A12,'Data shares'!$C:$FB,69)*100</f>
        <v>167.49</v>
      </c>
      <c r="G12" s="49">
        <f>VLOOKUP($A12,'Data shares'!$C:$FB,42)</f>
        <v>6877200</v>
      </c>
      <c r="H12" s="49">
        <f>VLOOKUP($A12,'Data shares'!$C:$FB,43)</f>
        <v>3080400</v>
      </c>
      <c r="I12" s="50">
        <f>VLOOKUP($A12,'Data shares'!$C:$FB,45)*100</f>
        <v>123.25999999999999</v>
      </c>
      <c r="J12" s="49">
        <f>VLOOKUP($A12,'Data shares'!$C:$FB,58)</f>
        <v>16834800</v>
      </c>
      <c r="K12" s="49">
        <f>VLOOKUP($A12,'Data shares'!$C:$FB,59)</f>
        <v>4689000</v>
      </c>
      <c r="L12" s="50">
        <f>VLOOKUP($A12,'Data shares'!$C:$FB,61)*100</f>
        <v>259.03000000000003</v>
      </c>
      <c r="M12" s="49">
        <f>VLOOKUP($A12,'Data shares'!$C:$FB,62)</f>
        <v>7285800</v>
      </c>
      <c r="N12" s="49">
        <f>VLOOKUP($A12,'Data shares'!$C:$FB,63)</f>
        <v>3819000</v>
      </c>
      <c r="O12" s="140">
        <f>VLOOKUP($A12,'Data shares'!$C:$FB,65)*100</f>
        <v>90.78</v>
      </c>
    </row>
    <row r="13" spans="1:15" x14ac:dyDescent="0.25">
      <c r="A13" s="101" t="str">
        <f>'Data Vlaue (Cr)'!C8</f>
        <v>ADANIPORTS</v>
      </c>
      <c r="B13" s="50">
        <f>VLOOKUP($A13,'Data shares'!$C:$FB,7)</f>
        <v>1742.6</v>
      </c>
      <c r="C13" s="50">
        <f>VLOOKUP($A13,'Data shares'!$C:$FB,10)*100</f>
        <v>5.1499999999999995</v>
      </c>
      <c r="D13" s="49">
        <f>VLOOKUP($A13,'Data shares'!$C:$FB,66)</f>
        <v>74839100</v>
      </c>
      <c r="E13" s="49">
        <f>VLOOKUP($A13,'Data shares'!$C:$FB,67)</f>
        <v>53708725</v>
      </c>
      <c r="F13" s="50">
        <f>VLOOKUP($A13,'Data shares'!$C:$FB,69)*100</f>
        <v>39.340000000000003</v>
      </c>
      <c r="G13" s="49">
        <f>VLOOKUP($A13,'Data shares'!$C:$FB,42)</f>
        <v>9459625</v>
      </c>
      <c r="H13" s="49">
        <f>VLOOKUP($A13,'Data shares'!$C:$FB,43)</f>
        <v>10003025</v>
      </c>
      <c r="I13" s="50">
        <f>VLOOKUP($A13,'Data shares'!$C:$FB,45)*100</f>
        <v>-5.43</v>
      </c>
      <c r="J13" s="49">
        <f>VLOOKUP($A13,'Data shares'!$C:$FB,58)</f>
        <v>43768400</v>
      </c>
      <c r="K13" s="49">
        <f>VLOOKUP($A13,'Data shares'!$C:$FB,59)</f>
        <v>27402275</v>
      </c>
      <c r="L13" s="50">
        <f>VLOOKUP($A13,'Data shares'!$C:$FB,61)*100</f>
        <v>59.730000000000004</v>
      </c>
      <c r="M13" s="49">
        <f>VLOOKUP($A13,'Data shares'!$C:$FB,62)</f>
        <v>21611075</v>
      </c>
      <c r="N13" s="49">
        <f>VLOOKUP($A13,'Data shares'!$C:$FB,63)</f>
        <v>16303425</v>
      </c>
      <c r="O13" s="140">
        <f>VLOOKUP($A13,'Data shares'!$C:$FB,65)*100</f>
        <v>32.56</v>
      </c>
    </row>
    <row r="14" spans="1:15" x14ac:dyDescent="0.25">
      <c r="A14" s="101" t="str">
        <f>'Data Vlaue (Cr)'!C9</f>
        <v>ADANIPOWER</v>
      </c>
      <c r="B14" s="50">
        <f>VLOOKUP($A14,'Data shares'!$C:$FB,7)</f>
        <v>227.3</v>
      </c>
      <c r="C14" s="50">
        <f>VLOOKUP($A14,'Data shares'!$C:$FB,10)*100</f>
        <v>2.46</v>
      </c>
      <c r="D14" s="49">
        <f>VLOOKUP($A14,'Data shares'!$C:$FB,66)</f>
        <v>159217500</v>
      </c>
      <c r="E14" s="49">
        <f>VLOOKUP($A14,'Data shares'!$C:$FB,67)</f>
        <v>165515200</v>
      </c>
      <c r="F14" s="50">
        <f>VLOOKUP($A14,'Data shares'!$C:$FB,69)*100</f>
        <v>-3.8</v>
      </c>
      <c r="G14" s="49">
        <f>VLOOKUP($A14,'Data shares'!$C:$FB,42)</f>
        <v>42163350</v>
      </c>
      <c r="H14" s="49">
        <f>VLOOKUP($A14,'Data shares'!$C:$FB,43)</f>
        <v>46213900</v>
      </c>
      <c r="I14" s="50">
        <f>VLOOKUP($A14,'Data shares'!$C:$FB,45)*100</f>
        <v>-8.76</v>
      </c>
      <c r="J14" s="49">
        <f>VLOOKUP($A14,'Data shares'!$C:$FB,58)</f>
        <v>81951750</v>
      </c>
      <c r="K14" s="49">
        <f>VLOOKUP($A14,'Data shares'!$C:$FB,59)</f>
        <v>82885400</v>
      </c>
      <c r="L14" s="50">
        <f>VLOOKUP($A14,'Data shares'!$C:$FB,61)*100</f>
        <v>-1.1299999999999999</v>
      </c>
      <c r="M14" s="49">
        <f>VLOOKUP($A14,'Data shares'!$C:$FB,62)</f>
        <v>35102400</v>
      </c>
      <c r="N14" s="49">
        <f>VLOOKUP($A14,'Data shares'!$C:$FB,63)</f>
        <v>36415900</v>
      </c>
      <c r="O14" s="140">
        <f>VLOOKUP($A14,'Data shares'!$C:$FB,65)*100</f>
        <v>-3.61</v>
      </c>
    </row>
    <row r="15" spans="1:15" x14ac:dyDescent="0.25">
      <c r="A15" s="101" t="str">
        <f>'Data Vlaue (Cr)'!C10</f>
        <v>ALKEM</v>
      </c>
      <c r="B15" s="50">
        <f>VLOOKUP($A15,'Data shares'!$C:$FB,7)</f>
        <v>5360.5</v>
      </c>
      <c r="C15" s="50">
        <f>VLOOKUP($A15,'Data shares'!$C:$FB,10)*100</f>
        <v>-0.73</v>
      </c>
      <c r="D15" s="49">
        <f>VLOOKUP($A15,'Data shares'!$C:$FB,66)</f>
        <v>369625</v>
      </c>
      <c r="E15" s="49">
        <f>VLOOKUP($A15,'Data shares'!$C:$FB,67)</f>
        <v>452625</v>
      </c>
      <c r="F15" s="50">
        <f>VLOOKUP($A15,'Data shares'!$C:$FB,69)*100</f>
        <v>-18.34</v>
      </c>
      <c r="G15" s="49">
        <f>VLOOKUP($A15,'Data shares'!$C:$FB,42)</f>
        <v>120000</v>
      </c>
      <c r="H15" s="49">
        <f>VLOOKUP($A15,'Data shares'!$C:$FB,43)</f>
        <v>179000</v>
      </c>
      <c r="I15" s="50">
        <f>VLOOKUP($A15,'Data shares'!$C:$FB,45)*100</f>
        <v>-32.96</v>
      </c>
      <c r="J15" s="49">
        <f>VLOOKUP($A15,'Data shares'!$C:$FB,58)</f>
        <v>180125</v>
      </c>
      <c r="K15" s="49">
        <f>VLOOKUP($A15,'Data shares'!$C:$FB,59)</f>
        <v>183500</v>
      </c>
      <c r="L15" s="50">
        <f>VLOOKUP($A15,'Data shares'!$C:$FB,61)*100</f>
        <v>-1.8399999999999999</v>
      </c>
      <c r="M15" s="49">
        <f>VLOOKUP($A15,'Data shares'!$C:$FB,62)</f>
        <v>69500</v>
      </c>
      <c r="N15" s="49">
        <f>VLOOKUP($A15,'Data shares'!$C:$FB,63)</f>
        <v>90125</v>
      </c>
      <c r="O15" s="140">
        <f>VLOOKUP($A15,'Data shares'!$C:$FB,65)*100</f>
        <v>-22.88</v>
      </c>
    </row>
    <row r="16" spans="1:15" x14ac:dyDescent="0.25">
      <c r="A16" s="101" t="str">
        <f>'Data Vlaue (Cr)'!C11</f>
        <v>AMBER</v>
      </c>
      <c r="B16" s="50">
        <f>VLOOKUP($A16,'Data shares'!$C:$FB,7)</f>
        <v>8007</v>
      </c>
      <c r="C16" s="50">
        <f>VLOOKUP($A16,'Data shares'!$C:$FB,10)*100</f>
        <v>-0.21</v>
      </c>
      <c r="D16" s="49">
        <f>VLOOKUP($A16,'Data shares'!$C:$FB,66)</f>
        <v>626700</v>
      </c>
      <c r="E16" s="49">
        <f>VLOOKUP($A16,'Data shares'!$C:$FB,67)</f>
        <v>967000</v>
      </c>
      <c r="F16" s="50">
        <f>VLOOKUP($A16,'Data shares'!$C:$FB,69)*100</f>
        <v>-35.19</v>
      </c>
      <c r="G16" s="49">
        <f>VLOOKUP($A16,'Data shares'!$C:$FB,42)</f>
        <v>202000</v>
      </c>
      <c r="H16" s="49">
        <f>VLOOKUP($A16,'Data shares'!$C:$FB,43)</f>
        <v>237700</v>
      </c>
      <c r="I16" s="50">
        <f>VLOOKUP($A16,'Data shares'!$C:$FB,45)*100</f>
        <v>-15.02</v>
      </c>
      <c r="J16" s="49">
        <f>VLOOKUP($A16,'Data shares'!$C:$FB,58)</f>
        <v>289700</v>
      </c>
      <c r="K16" s="49">
        <f>VLOOKUP($A16,'Data shares'!$C:$FB,59)</f>
        <v>420100</v>
      </c>
      <c r="L16" s="50">
        <f>VLOOKUP($A16,'Data shares'!$C:$FB,61)*100</f>
        <v>-31.04</v>
      </c>
      <c r="M16" s="49">
        <f>VLOOKUP($A16,'Data shares'!$C:$FB,62)</f>
        <v>135000</v>
      </c>
      <c r="N16" s="49">
        <f>VLOOKUP($A16,'Data shares'!$C:$FB,63)</f>
        <v>309200</v>
      </c>
      <c r="O16" s="140">
        <f>VLOOKUP($A16,'Data shares'!$C:$FB,65)*100</f>
        <v>-56.34</v>
      </c>
    </row>
    <row r="17" spans="1:15" x14ac:dyDescent="0.25">
      <c r="A17" s="101" t="str">
        <f>'Data Vlaue (Cr)'!C12</f>
        <v>AMBUJACEM</v>
      </c>
      <c r="B17" s="50">
        <f>VLOOKUP($A17,'Data shares'!$C:$FB,7)</f>
        <v>445.3</v>
      </c>
      <c r="C17" s="50">
        <f>VLOOKUP($A17,'Data shares'!$C:$FB,10)*100</f>
        <v>0.25</v>
      </c>
      <c r="D17" s="49">
        <f>VLOOKUP($A17,'Data shares'!$C:$FB,66)</f>
        <v>147821100</v>
      </c>
      <c r="E17" s="49">
        <f>VLOOKUP($A17,'Data shares'!$C:$FB,67)</f>
        <v>15729000</v>
      </c>
      <c r="F17" s="50">
        <f>VLOOKUP($A17,'Data shares'!$C:$FB,69)*100</f>
        <v>839.8</v>
      </c>
      <c r="G17" s="49">
        <f>VLOOKUP($A17,'Data shares'!$C:$FB,42)</f>
        <v>33271350</v>
      </c>
      <c r="H17" s="49">
        <f>VLOOKUP($A17,'Data shares'!$C:$FB,43)</f>
        <v>4843650</v>
      </c>
      <c r="I17" s="50">
        <f>VLOOKUP($A17,'Data shares'!$C:$FB,45)*100</f>
        <v>586.91000000000008</v>
      </c>
      <c r="J17" s="49">
        <f>VLOOKUP($A17,'Data shares'!$C:$FB,58)</f>
        <v>78684900</v>
      </c>
      <c r="K17" s="49">
        <f>VLOOKUP($A17,'Data shares'!$C:$FB,59)</f>
        <v>7628250</v>
      </c>
      <c r="L17" s="50">
        <f>VLOOKUP($A17,'Data shares'!$C:$FB,61)*100</f>
        <v>931.49</v>
      </c>
      <c r="M17" s="49">
        <f>VLOOKUP($A17,'Data shares'!$C:$FB,62)</f>
        <v>35864850</v>
      </c>
      <c r="N17" s="49">
        <f>VLOOKUP($A17,'Data shares'!$C:$FB,63)</f>
        <v>3257100</v>
      </c>
      <c r="O17" s="140">
        <f>VLOOKUP($A17,'Data shares'!$C:$FB,65)*100</f>
        <v>1001.13</v>
      </c>
    </row>
    <row r="18" spans="1:15" x14ac:dyDescent="0.25">
      <c r="A18" s="101" t="str">
        <f>'Data Vlaue (Cr)'!C13</f>
        <v>ANGELONE</v>
      </c>
      <c r="B18" s="50">
        <f>VLOOKUP($A18,'Data shares'!$C:$FB,7)</f>
        <v>307.7</v>
      </c>
      <c r="C18" s="50">
        <f>VLOOKUP($A18,'Data shares'!$C:$FB,10)*100</f>
        <v>-0.33</v>
      </c>
      <c r="D18" s="49">
        <f>VLOOKUP($A18,'Data shares'!$C:$FB,66)</f>
        <v>27632500</v>
      </c>
      <c r="E18" s="49">
        <f>VLOOKUP($A18,'Data shares'!$C:$FB,67)</f>
        <v>21422500</v>
      </c>
      <c r="F18" s="50">
        <f>VLOOKUP($A18,'Data shares'!$C:$FB,69)*100</f>
        <v>28.99</v>
      </c>
      <c r="G18" s="49">
        <f>VLOOKUP($A18,'Data shares'!$C:$FB,42)</f>
        <v>6285000</v>
      </c>
      <c r="H18" s="49">
        <f>VLOOKUP($A18,'Data shares'!$C:$FB,43)</f>
        <v>5590000</v>
      </c>
      <c r="I18" s="50">
        <f>VLOOKUP($A18,'Data shares'!$C:$FB,45)*100</f>
        <v>12.43</v>
      </c>
      <c r="J18" s="49">
        <f>VLOOKUP($A18,'Data shares'!$C:$FB,58)</f>
        <v>13700000</v>
      </c>
      <c r="K18" s="49">
        <f>VLOOKUP($A18,'Data shares'!$C:$FB,59)</f>
        <v>10042500</v>
      </c>
      <c r="L18" s="50">
        <f>VLOOKUP($A18,'Data shares'!$C:$FB,61)*100</f>
        <v>36.42</v>
      </c>
      <c r="M18" s="49">
        <f>VLOOKUP($A18,'Data shares'!$C:$FB,62)</f>
        <v>7647500</v>
      </c>
      <c r="N18" s="49">
        <f>VLOOKUP($A18,'Data shares'!$C:$FB,63)</f>
        <v>5790000</v>
      </c>
      <c r="O18" s="140">
        <f>VLOOKUP($A18,'Data shares'!$C:$FB,65)*100</f>
        <v>32.08</v>
      </c>
    </row>
    <row r="19" spans="1:15" x14ac:dyDescent="0.25">
      <c r="A19" s="101" t="str">
        <f>'Data Vlaue (Cr)'!C14</f>
        <v>APLAPOLLO</v>
      </c>
      <c r="B19" s="50">
        <f>VLOOKUP($A19,'Data shares'!$C:$FB,7)</f>
        <v>1873</v>
      </c>
      <c r="C19" s="50">
        <f>VLOOKUP($A19,'Data shares'!$C:$FB,10)*100</f>
        <v>-1.68</v>
      </c>
      <c r="D19" s="49">
        <f>VLOOKUP($A19,'Data shares'!$C:$FB,66)</f>
        <v>11059650</v>
      </c>
      <c r="E19" s="49">
        <f>VLOOKUP($A19,'Data shares'!$C:$FB,67)</f>
        <v>2900800</v>
      </c>
      <c r="F19" s="50">
        <f>VLOOKUP($A19,'Data shares'!$C:$FB,69)*100</f>
        <v>281.26000000000005</v>
      </c>
      <c r="G19" s="49">
        <f>VLOOKUP($A19,'Data shares'!$C:$FB,42)</f>
        <v>2452450</v>
      </c>
      <c r="H19" s="49">
        <f>VLOOKUP($A19,'Data shares'!$C:$FB,43)</f>
        <v>843500</v>
      </c>
      <c r="I19" s="50">
        <f>VLOOKUP($A19,'Data shares'!$C:$FB,45)*100</f>
        <v>190.75</v>
      </c>
      <c r="J19" s="49">
        <f>VLOOKUP($A19,'Data shares'!$C:$FB,58)</f>
        <v>5848500</v>
      </c>
      <c r="K19" s="49">
        <f>VLOOKUP($A19,'Data shares'!$C:$FB,59)</f>
        <v>1166200</v>
      </c>
      <c r="L19" s="50">
        <f>VLOOKUP($A19,'Data shares'!$C:$FB,61)*100</f>
        <v>401.49999999999994</v>
      </c>
      <c r="M19" s="49">
        <f>VLOOKUP($A19,'Data shares'!$C:$FB,62)</f>
        <v>2758700</v>
      </c>
      <c r="N19" s="49">
        <f>VLOOKUP($A19,'Data shares'!$C:$FB,63)</f>
        <v>891100</v>
      </c>
      <c r="O19" s="140">
        <f>VLOOKUP($A19,'Data shares'!$C:$FB,65)*100</f>
        <v>209.58</v>
      </c>
    </row>
    <row r="20" spans="1:15" x14ac:dyDescent="0.25">
      <c r="A20" s="101" t="str">
        <f>'Data Vlaue (Cr)'!C15</f>
        <v>APOLLOHOSP</v>
      </c>
      <c r="B20" s="50">
        <f>VLOOKUP($A20,'Data shares'!$C:$FB,7)</f>
        <v>7737.5</v>
      </c>
      <c r="C20" s="50">
        <f>VLOOKUP($A20,'Data shares'!$C:$FB,10)*100</f>
        <v>1.32</v>
      </c>
      <c r="D20" s="49">
        <f>VLOOKUP($A20,'Data shares'!$C:$FB,66)</f>
        <v>1458250</v>
      </c>
      <c r="E20" s="49">
        <f>VLOOKUP($A20,'Data shares'!$C:$FB,67)</f>
        <v>1407250</v>
      </c>
      <c r="F20" s="50">
        <f>VLOOKUP($A20,'Data shares'!$C:$FB,69)*100</f>
        <v>3.62</v>
      </c>
      <c r="G20" s="49">
        <f>VLOOKUP($A20,'Data shares'!$C:$FB,42)</f>
        <v>223625</v>
      </c>
      <c r="H20" s="49">
        <f>VLOOKUP($A20,'Data shares'!$C:$FB,43)</f>
        <v>261125</v>
      </c>
      <c r="I20" s="50">
        <f>VLOOKUP($A20,'Data shares'!$C:$FB,45)*100</f>
        <v>-14.360000000000001</v>
      </c>
      <c r="J20" s="49">
        <f>VLOOKUP($A20,'Data shares'!$C:$FB,58)</f>
        <v>761250</v>
      </c>
      <c r="K20" s="49">
        <f>VLOOKUP($A20,'Data shares'!$C:$FB,59)</f>
        <v>630875</v>
      </c>
      <c r="L20" s="50">
        <f>VLOOKUP($A20,'Data shares'!$C:$FB,61)*100</f>
        <v>20.669999999999998</v>
      </c>
      <c r="M20" s="49">
        <f>VLOOKUP($A20,'Data shares'!$C:$FB,62)</f>
        <v>473375</v>
      </c>
      <c r="N20" s="49">
        <f>VLOOKUP($A20,'Data shares'!$C:$FB,63)</f>
        <v>515250</v>
      </c>
      <c r="O20" s="140">
        <f>VLOOKUP($A20,'Data shares'!$C:$FB,65)*100</f>
        <v>-8.129999999999999</v>
      </c>
    </row>
    <row r="21" spans="1:15" x14ac:dyDescent="0.25">
      <c r="A21" s="101" t="str">
        <f>'Data Vlaue (Cr)'!C16</f>
        <v>ASHOKLEY</v>
      </c>
      <c r="B21" s="50">
        <f>VLOOKUP($A21,'Data shares'!$C:$FB,7)</f>
        <v>160.77000000000001</v>
      </c>
      <c r="C21" s="50">
        <f>VLOOKUP($A21,'Data shares'!$C:$FB,10)*100</f>
        <v>-0.80999999999999994</v>
      </c>
      <c r="D21" s="49">
        <f>VLOOKUP($A21,'Data shares'!$C:$FB,66)</f>
        <v>129125000</v>
      </c>
      <c r="E21" s="49">
        <f>VLOOKUP($A21,'Data shares'!$C:$FB,67)</f>
        <v>132270000</v>
      </c>
      <c r="F21" s="50">
        <f>VLOOKUP($A21,'Data shares'!$C:$FB,69)*100</f>
        <v>-2.3800000000000003</v>
      </c>
      <c r="G21" s="49">
        <f>VLOOKUP($A21,'Data shares'!$C:$FB,42)</f>
        <v>32665000</v>
      </c>
      <c r="H21" s="49">
        <f>VLOOKUP($A21,'Data shares'!$C:$FB,43)</f>
        <v>30230000</v>
      </c>
      <c r="I21" s="50">
        <f>VLOOKUP($A21,'Data shares'!$C:$FB,45)*100</f>
        <v>8.0500000000000007</v>
      </c>
      <c r="J21" s="49">
        <f>VLOOKUP($A21,'Data shares'!$C:$FB,58)</f>
        <v>67595000</v>
      </c>
      <c r="K21" s="49">
        <f>VLOOKUP($A21,'Data shares'!$C:$FB,59)</f>
        <v>69615000</v>
      </c>
      <c r="L21" s="50">
        <f>VLOOKUP($A21,'Data shares'!$C:$FB,61)*100</f>
        <v>-2.9000000000000004</v>
      </c>
      <c r="M21" s="49">
        <f>VLOOKUP($A21,'Data shares'!$C:$FB,62)</f>
        <v>28865000</v>
      </c>
      <c r="N21" s="49">
        <f>VLOOKUP($A21,'Data shares'!$C:$FB,63)</f>
        <v>32425000</v>
      </c>
      <c r="O21" s="140">
        <f>VLOOKUP($A21,'Data shares'!$C:$FB,65)*100</f>
        <v>-10.979999999999999</v>
      </c>
    </row>
    <row r="22" spans="1:15" x14ac:dyDescent="0.25">
      <c r="A22" s="101" t="str">
        <f>'Data Vlaue (Cr)'!C17</f>
        <v>ASIANPAINT</v>
      </c>
      <c r="B22" s="50">
        <f>VLOOKUP($A22,'Data shares'!$C:$FB,7)</f>
        <v>2448.1</v>
      </c>
      <c r="C22" s="50">
        <f>VLOOKUP($A22,'Data shares'!$C:$FB,10)*100</f>
        <v>0.15</v>
      </c>
      <c r="D22" s="49">
        <f>VLOOKUP($A22,'Data shares'!$C:$FB,66)</f>
        <v>11245000</v>
      </c>
      <c r="E22" s="49">
        <f>VLOOKUP($A22,'Data shares'!$C:$FB,67)</f>
        <v>9414500</v>
      </c>
      <c r="F22" s="50">
        <f>VLOOKUP($A22,'Data shares'!$C:$FB,69)*100</f>
        <v>19.439999999999998</v>
      </c>
      <c r="G22" s="49">
        <f>VLOOKUP($A22,'Data shares'!$C:$FB,42)</f>
        <v>1188000</v>
      </c>
      <c r="H22" s="49">
        <f>VLOOKUP($A22,'Data shares'!$C:$FB,43)</f>
        <v>1781250</v>
      </c>
      <c r="I22" s="50">
        <f>VLOOKUP($A22,'Data shares'!$C:$FB,45)*100</f>
        <v>-33.31</v>
      </c>
      <c r="J22" s="49">
        <f>VLOOKUP($A22,'Data shares'!$C:$FB,58)</f>
        <v>6114750</v>
      </c>
      <c r="K22" s="49">
        <f>VLOOKUP($A22,'Data shares'!$C:$FB,59)</f>
        <v>3631750</v>
      </c>
      <c r="L22" s="50">
        <f>VLOOKUP($A22,'Data shares'!$C:$FB,61)*100</f>
        <v>68.37</v>
      </c>
      <c r="M22" s="49">
        <f>VLOOKUP($A22,'Data shares'!$C:$FB,62)</f>
        <v>3942250</v>
      </c>
      <c r="N22" s="49">
        <f>VLOOKUP($A22,'Data shares'!$C:$FB,63)</f>
        <v>4001500</v>
      </c>
      <c r="O22" s="140">
        <f>VLOOKUP($A22,'Data shares'!$C:$FB,65)*100</f>
        <v>-1.48</v>
      </c>
    </row>
    <row r="23" spans="1:15" x14ac:dyDescent="0.25">
      <c r="A23" s="101" t="str">
        <f>'Data Vlaue (Cr)'!C18</f>
        <v>ASTRAL</v>
      </c>
      <c r="B23" s="50">
        <f>VLOOKUP($A23,'Data shares'!$C:$FB,7)</f>
        <v>1559.6</v>
      </c>
      <c r="C23" s="50">
        <f>VLOOKUP($A23,'Data shares'!$C:$FB,10)*100</f>
        <v>1.95</v>
      </c>
      <c r="D23" s="49">
        <f>VLOOKUP($A23,'Data shares'!$C:$FB,66)</f>
        <v>3496050</v>
      </c>
      <c r="E23" s="49">
        <f>VLOOKUP($A23,'Data shares'!$C:$FB,67)</f>
        <v>3307775</v>
      </c>
      <c r="F23" s="50">
        <f>VLOOKUP($A23,'Data shares'!$C:$FB,69)*100</f>
        <v>5.6899999999999995</v>
      </c>
      <c r="G23" s="49">
        <f>VLOOKUP($A23,'Data shares'!$C:$FB,42)</f>
        <v>1258850</v>
      </c>
      <c r="H23" s="49">
        <f>VLOOKUP($A23,'Data shares'!$C:$FB,43)</f>
        <v>1089275</v>
      </c>
      <c r="I23" s="50">
        <f>VLOOKUP($A23,'Data shares'!$C:$FB,45)*100</f>
        <v>15.57</v>
      </c>
      <c r="J23" s="49">
        <f>VLOOKUP($A23,'Data shares'!$C:$FB,58)</f>
        <v>1533825</v>
      </c>
      <c r="K23" s="49">
        <f>VLOOKUP($A23,'Data shares'!$C:$FB,59)</f>
        <v>1450950</v>
      </c>
      <c r="L23" s="50">
        <f>VLOOKUP($A23,'Data shares'!$C:$FB,61)*100</f>
        <v>5.71</v>
      </c>
      <c r="M23" s="49">
        <f>VLOOKUP($A23,'Data shares'!$C:$FB,62)</f>
        <v>703375</v>
      </c>
      <c r="N23" s="49">
        <f>VLOOKUP($A23,'Data shares'!$C:$FB,63)</f>
        <v>767550</v>
      </c>
      <c r="O23" s="140">
        <f>VLOOKUP($A23,'Data shares'!$C:$FB,65)*100</f>
        <v>-8.36</v>
      </c>
    </row>
    <row r="24" spans="1:15" x14ac:dyDescent="0.25">
      <c r="A24" s="101" t="str">
        <f>'Data Vlaue (Cr)'!C19</f>
        <v>AUBANK</v>
      </c>
      <c r="B24" s="50">
        <f>VLOOKUP($A24,'Data shares'!$C:$FB,7)</f>
        <v>1015</v>
      </c>
      <c r="C24" s="50">
        <f>VLOOKUP($A24,'Data shares'!$C:$FB,10)*100</f>
        <v>-0.09</v>
      </c>
      <c r="D24" s="49">
        <f>VLOOKUP($A24,'Data shares'!$C:$FB,66)</f>
        <v>12369000</v>
      </c>
      <c r="E24" s="49">
        <f>VLOOKUP($A24,'Data shares'!$C:$FB,67)</f>
        <v>17603000</v>
      </c>
      <c r="F24" s="50">
        <f>VLOOKUP($A24,'Data shares'!$C:$FB,69)*100</f>
        <v>-29.73</v>
      </c>
      <c r="G24" s="49">
        <f>VLOOKUP($A24,'Data shares'!$C:$FB,42)</f>
        <v>3374000</v>
      </c>
      <c r="H24" s="49">
        <f>VLOOKUP($A24,'Data shares'!$C:$FB,43)</f>
        <v>4184000</v>
      </c>
      <c r="I24" s="50">
        <f>VLOOKUP($A24,'Data shares'!$C:$FB,45)*100</f>
        <v>-19.36</v>
      </c>
      <c r="J24" s="49">
        <f>VLOOKUP($A24,'Data shares'!$C:$FB,58)</f>
        <v>5905000</v>
      </c>
      <c r="K24" s="49">
        <f>VLOOKUP($A24,'Data shares'!$C:$FB,59)</f>
        <v>8655000</v>
      </c>
      <c r="L24" s="50">
        <f>VLOOKUP($A24,'Data shares'!$C:$FB,61)*100</f>
        <v>-31.77</v>
      </c>
      <c r="M24" s="49">
        <f>VLOOKUP($A24,'Data shares'!$C:$FB,62)</f>
        <v>3090000</v>
      </c>
      <c r="N24" s="49">
        <f>VLOOKUP($A24,'Data shares'!$C:$FB,63)</f>
        <v>4764000</v>
      </c>
      <c r="O24" s="140">
        <f>VLOOKUP($A24,'Data shares'!$C:$FB,65)*100</f>
        <v>-35.14</v>
      </c>
    </row>
    <row r="25" spans="1:15" x14ac:dyDescent="0.25">
      <c r="A25" s="101" t="str">
        <f>'Data Vlaue (Cr)'!C20</f>
        <v>AUROPHARMA</v>
      </c>
      <c r="B25" s="50">
        <f>VLOOKUP($A25,'Data shares'!$C:$FB,7)</f>
        <v>1376</v>
      </c>
      <c r="C25" s="50">
        <f>VLOOKUP($A25,'Data shares'!$C:$FB,10)*100</f>
        <v>-0.97</v>
      </c>
      <c r="D25" s="49">
        <f>VLOOKUP($A25,'Data shares'!$C:$FB,66)</f>
        <v>4068900</v>
      </c>
      <c r="E25" s="49">
        <f>VLOOKUP($A25,'Data shares'!$C:$FB,67)</f>
        <v>2663650</v>
      </c>
      <c r="F25" s="50">
        <f>VLOOKUP($A25,'Data shares'!$C:$FB,69)*100</f>
        <v>52.76</v>
      </c>
      <c r="G25" s="49">
        <f>VLOOKUP($A25,'Data shares'!$C:$FB,42)</f>
        <v>1482800</v>
      </c>
      <c r="H25" s="49">
        <f>VLOOKUP($A25,'Data shares'!$C:$FB,43)</f>
        <v>649000</v>
      </c>
      <c r="I25" s="50">
        <f>VLOOKUP($A25,'Data shares'!$C:$FB,45)*100</f>
        <v>128.47</v>
      </c>
      <c r="J25" s="49">
        <f>VLOOKUP($A25,'Data shares'!$C:$FB,58)</f>
        <v>1695100</v>
      </c>
      <c r="K25" s="49">
        <f>VLOOKUP($A25,'Data shares'!$C:$FB,59)</f>
        <v>1263900</v>
      </c>
      <c r="L25" s="50">
        <f>VLOOKUP($A25,'Data shares'!$C:$FB,61)*100</f>
        <v>34.119999999999997</v>
      </c>
      <c r="M25" s="49">
        <f>VLOOKUP($A25,'Data shares'!$C:$FB,62)</f>
        <v>891000</v>
      </c>
      <c r="N25" s="49">
        <f>VLOOKUP($A25,'Data shares'!$C:$FB,63)</f>
        <v>750750</v>
      </c>
      <c r="O25" s="140">
        <f>VLOOKUP($A25,'Data shares'!$C:$FB,65)*100</f>
        <v>18.68</v>
      </c>
    </row>
    <row r="26" spans="1:15" x14ac:dyDescent="0.25">
      <c r="A26" s="101" t="str">
        <f>'Data Vlaue (Cr)'!C21</f>
        <v>AXISBANK</v>
      </c>
      <c r="B26" s="50">
        <f>VLOOKUP($A26,'Data shares'!$C:$FB,7)</f>
        <v>1275.0999999999999</v>
      </c>
      <c r="C26" s="50">
        <f>VLOOKUP($A26,'Data shares'!$C:$FB,10)*100</f>
        <v>0.54</v>
      </c>
      <c r="D26" s="49">
        <f>VLOOKUP($A26,'Data shares'!$C:$FB,66)</f>
        <v>37005625</v>
      </c>
      <c r="E26" s="49">
        <f>VLOOKUP($A26,'Data shares'!$C:$FB,67)</f>
        <v>52433125</v>
      </c>
      <c r="F26" s="50">
        <f>VLOOKUP($A26,'Data shares'!$C:$FB,69)*100</f>
        <v>-29.42</v>
      </c>
      <c r="G26" s="49">
        <f>VLOOKUP($A26,'Data shares'!$C:$FB,42)</f>
        <v>7328750</v>
      </c>
      <c r="H26" s="49">
        <f>VLOOKUP($A26,'Data shares'!$C:$FB,43)</f>
        <v>10421875</v>
      </c>
      <c r="I26" s="50">
        <f>VLOOKUP($A26,'Data shares'!$C:$FB,45)*100</f>
        <v>-29.68</v>
      </c>
      <c r="J26" s="49">
        <f>VLOOKUP($A26,'Data shares'!$C:$FB,58)</f>
        <v>19852500</v>
      </c>
      <c r="K26" s="49">
        <f>VLOOKUP($A26,'Data shares'!$C:$FB,59)</f>
        <v>24603125</v>
      </c>
      <c r="L26" s="50">
        <f>VLOOKUP($A26,'Data shares'!$C:$FB,61)*100</f>
        <v>-19.309999999999999</v>
      </c>
      <c r="M26" s="49">
        <f>VLOOKUP($A26,'Data shares'!$C:$FB,62)</f>
        <v>9824375</v>
      </c>
      <c r="N26" s="49">
        <f>VLOOKUP($A26,'Data shares'!$C:$FB,63)</f>
        <v>17408125</v>
      </c>
      <c r="O26" s="140">
        <f>VLOOKUP($A26,'Data shares'!$C:$FB,65)*100</f>
        <v>-43.56</v>
      </c>
    </row>
    <row r="27" spans="1:15" x14ac:dyDescent="0.25">
      <c r="A27" s="101" t="str">
        <f>'Data Vlaue (Cr)'!C22</f>
        <v>BAJAJ-AUTO</v>
      </c>
      <c r="B27" s="50">
        <f>VLOOKUP($A27,'Data shares'!$C:$FB,7)</f>
        <v>10132</v>
      </c>
      <c r="C27" s="50">
        <f>VLOOKUP($A27,'Data shares'!$C:$FB,10)*100</f>
        <v>1.38</v>
      </c>
      <c r="D27" s="49">
        <f>VLOOKUP($A27,'Data shares'!$C:$FB,66)</f>
        <v>9928050</v>
      </c>
      <c r="E27" s="49">
        <f>VLOOKUP($A27,'Data shares'!$C:$FB,67)</f>
        <v>13062225</v>
      </c>
      <c r="F27" s="50">
        <f>VLOOKUP($A27,'Data shares'!$C:$FB,69)*100</f>
        <v>-23.990000000000002</v>
      </c>
      <c r="G27" s="49">
        <f>VLOOKUP($A27,'Data shares'!$C:$FB,42)</f>
        <v>822450</v>
      </c>
      <c r="H27" s="49">
        <f>VLOOKUP($A27,'Data shares'!$C:$FB,43)</f>
        <v>1696050</v>
      </c>
      <c r="I27" s="50">
        <f>VLOOKUP($A27,'Data shares'!$C:$FB,45)*100</f>
        <v>-51.51</v>
      </c>
      <c r="J27" s="49">
        <f>VLOOKUP($A27,'Data shares'!$C:$FB,58)</f>
        <v>5845725</v>
      </c>
      <c r="K27" s="49">
        <f>VLOOKUP($A27,'Data shares'!$C:$FB,59)</f>
        <v>8010600</v>
      </c>
      <c r="L27" s="50">
        <f>VLOOKUP($A27,'Data shares'!$C:$FB,61)*100</f>
        <v>-27.029999999999998</v>
      </c>
      <c r="M27" s="49">
        <f>VLOOKUP($A27,'Data shares'!$C:$FB,62)</f>
        <v>3259875</v>
      </c>
      <c r="N27" s="49">
        <f>VLOOKUP($A27,'Data shares'!$C:$FB,63)</f>
        <v>3355575</v>
      </c>
      <c r="O27" s="140">
        <f>VLOOKUP($A27,'Data shares'!$C:$FB,65)*100</f>
        <v>-2.85</v>
      </c>
    </row>
    <row r="28" spans="1:15" x14ac:dyDescent="0.25">
      <c r="A28" s="101" t="str">
        <f>'Data Vlaue (Cr)'!C23</f>
        <v>BAJAJFINSV</v>
      </c>
      <c r="B28" s="50">
        <f>VLOOKUP($A28,'Data shares'!$C:$FB,7)</f>
        <v>1770.4</v>
      </c>
      <c r="C28" s="50">
        <f>VLOOKUP($A28,'Data shares'!$C:$FB,10)*100</f>
        <v>1.3299999999999998</v>
      </c>
      <c r="D28" s="49">
        <f>VLOOKUP($A28,'Data shares'!$C:$FB,66)</f>
        <v>9756500</v>
      </c>
      <c r="E28" s="49">
        <f>VLOOKUP($A28,'Data shares'!$C:$FB,67)</f>
        <v>19381500</v>
      </c>
      <c r="F28" s="50">
        <f>VLOOKUP($A28,'Data shares'!$C:$FB,69)*100</f>
        <v>-49.66</v>
      </c>
      <c r="G28" s="49">
        <f>VLOOKUP($A28,'Data shares'!$C:$FB,42)</f>
        <v>1395750</v>
      </c>
      <c r="H28" s="49">
        <f>VLOOKUP($A28,'Data shares'!$C:$FB,43)</f>
        <v>2607500</v>
      </c>
      <c r="I28" s="50">
        <f>VLOOKUP($A28,'Data shares'!$C:$FB,45)*100</f>
        <v>-46.47</v>
      </c>
      <c r="J28" s="49">
        <f>VLOOKUP($A28,'Data shares'!$C:$FB,58)</f>
        <v>5049250</v>
      </c>
      <c r="K28" s="49">
        <f>VLOOKUP($A28,'Data shares'!$C:$FB,59)</f>
        <v>10285750</v>
      </c>
      <c r="L28" s="50">
        <f>VLOOKUP($A28,'Data shares'!$C:$FB,61)*100</f>
        <v>-50.91</v>
      </c>
      <c r="M28" s="49">
        <f>VLOOKUP($A28,'Data shares'!$C:$FB,62)</f>
        <v>3311500</v>
      </c>
      <c r="N28" s="49">
        <f>VLOOKUP($A28,'Data shares'!$C:$FB,63)</f>
        <v>6488250</v>
      </c>
      <c r="O28" s="140">
        <f>VLOOKUP($A28,'Data shares'!$C:$FB,65)*100</f>
        <v>-48.96</v>
      </c>
    </row>
    <row r="29" spans="1:15" x14ac:dyDescent="0.25">
      <c r="A29" s="101" t="str">
        <f>'Data Vlaue (Cr)'!C24</f>
        <v>BAJAJHLDNG</v>
      </c>
      <c r="B29" s="50">
        <f>VLOOKUP($A29,'Data shares'!$C:$FB,7)</f>
        <v>10376</v>
      </c>
      <c r="C29" s="50">
        <f>VLOOKUP($A29,'Data shares'!$C:$FB,10)*100</f>
        <v>1.06</v>
      </c>
      <c r="D29" s="49">
        <f>VLOOKUP($A29,'Data shares'!$C:$FB,66)</f>
        <v>272600</v>
      </c>
      <c r="E29" s="49">
        <f>VLOOKUP($A29,'Data shares'!$C:$FB,67)</f>
        <v>97150</v>
      </c>
      <c r="F29" s="50">
        <f>VLOOKUP($A29,'Data shares'!$C:$FB,69)*100</f>
        <v>180.6</v>
      </c>
      <c r="G29" s="49">
        <f>VLOOKUP($A29,'Data shares'!$C:$FB,42)</f>
        <v>42500</v>
      </c>
      <c r="H29" s="49">
        <f>VLOOKUP($A29,'Data shares'!$C:$FB,43)</f>
        <v>24500</v>
      </c>
      <c r="I29" s="50">
        <f>VLOOKUP($A29,'Data shares'!$C:$FB,45)*100</f>
        <v>73.47</v>
      </c>
      <c r="J29" s="49">
        <f>VLOOKUP($A29,'Data shares'!$C:$FB,58)</f>
        <v>200500</v>
      </c>
      <c r="K29" s="49">
        <f>VLOOKUP($A29,'Data shares'!$C:$FB,59)</f>
        <v>58750</v>
      </c>
      <c r="L29" s="50">
        <f>VLOOKUP($A29,'Data shares'!$C:$FB,61)*100</f>
        <v>241.27999999999997</v>
      </c>
      <c r="M29" s="49">
        <f>VLOOKUP($A29,'Data shares'!$C:$FB,62)</f>
        <v>29600</v>
      </c>
      <c r="N29" s="49">
        <f>VLOOKUP($A29,'Data shares'!$C:$FB,63)</f>
        <v>13900</v>
      </c>
      <c r="O29" s="140">
        <f>VLOOKUP($A29,'Data shares'!$C:$FB,65)*100</f>
        <v>112.94999999999999</v>
      </c>
    </row>
    <row r="30" spans="1:15" x14ac:dyDescent="0.25">
      <c r="A30" s="101" t="str">
        <f>'Data Vlaue (Cr)'!C25</f>
        <v>BAJFINANCE</v>
      </c>
      <c r="B30" s="50">
        <f>VLOOKUP($A30,'Data shares'!$C:$FB,7)</f>
        <v>950.2</v>
      </c>
      <c r="C30" s="50">
        <f>VLOOKUP($A30,'Data shares'!$C:$FB,10)*100</f>
        <v>1.41</v>
      </c>
      <c r="D30" s="49">
        <f>VLOOKUP($A30,'Data shares'!$C:$FB,66)</f>
        <v>55482000</v>
      </c>
      <c r="E30" s="49">
        <f>VLOOKUP($A30,'Data shares'!$C:$FB,67)</f>
        <v>175708500</v>
      </c>
      <c r="F30" s="50">
        <f>VLOOKUP($A30,'Data shares'!$C:$FB,69)*100</f>
        <v>-68.42</v>
      </c>
      <c r="G30" s="49">
        <f>VLOOKUP($A30,'Data shares'!$C:$FB,42)</f>
        <v>8231250</v>
      </c>
      <c r="H30" s="49">
        <f>VLOOKUP($A30,'Data shares'!$C:$FB,43)</f>
        <v>28817250</v>
      </c>
      <c r="I30" s="50">
        <f>VLOOKUP($A30,'Data shares'!$C:$FB,45)*100</f>
        <v>-71.44</v>
      </c>
      <c r="J30" s="49">
        <f>VLOOKUP($A30,'Data shares'!$C:$FB,58)</f>
        <v>29009250</v>
      </c>
      <c r="K30" s="49">
        <f>VLOOKUP($A30,'Data shares'!$C:$FB,59)</f>
        <v>94514250</v>
      </c>
      <c r="L30" s="50">
        <f>VLOOKUP($A30,'Data shares'!$C:$FB,61)*100</f>
        <v>-69.31</v>
      </c>
      <c r="M30" s="49">
        <f>VLOOKUP($A30,'Data shares'!$C:$FB,62)</f>
        <v>18241500</v>
      </c>
      <c r="N30" s="49">
        <f>VLOOKUP($A30,'Data shares'!$C:$FB,63)</f>
        <v>52377000</v>
      </c>
      <c r="O30" s="140">
        <f>VLOOKUP($A30,'Data shares'!$C:$FB,65)*100</f>
        <v>-65.169999999999987</v>
      </c>
    </row>
    <row r="31" spans="1:15" x14ac:dyDescent="0.25">
      <c r="A31" s="101" t="str">
        <f>'Data Vlaue (Cr)'!C26</f>
        <v>BANDHANBNK</v>
      </c>
      <c r="B31" s="50">
        <f>VLOOKUP($A31,'Data shares'!$C:$FB,7)</f>
        <v>206.76</v>
      </c>
      <c r="C31" s="50">
        <f>VLOOKUP($A31,'Data shares'!$C:$FB,10)*100</f>
        <v>3.52</v>
      </c>
      <c r="D31" s="49">
        <f>VLOOKUP($A31,'Data shares'!$C:$FB,66)</f>
        <v>288442800</v>
      </c>
      <c r="E31" s="49">
        <f>VLOOKUP($A31,'Data shares'!$C:$FB,67)</f>
        <v>166798800</v>
      </c>
      <c r="F31" s="50">
        <f>VLOOKUP($A31,'Data shares'!$C:$FB,69)*100</f>
        <v>72.929999999999993</v>
      </c>
      <c r="G31" s="49">
        <f>VLOOKUP($A31,'Data shares'!$C:$FB,42)</f>
        <v>41630400</v>
      </c>
      <c r="H31" s="49">
        <f>VLOOKUP($A31,'Data shares'!$C:$FB,43)</f>
        <v>32875200</v>
      </c>
      <c r="I31" s="50">
        <f>VLOOKUP($A31,'Data shares'!$C:$FB,45)*100</f>
        <v>26.63</v>
      </c>
      <c r="J31" s="49">
        <f>VLOOKUP($A31,'Data shares'!$C:$FB,58)</f>
        <v>170928000</v>
      </c>
      <c r="K31" s="49">
        <f>VLOOKUP($A31,'Data shares'!$C:$FB,59)</f>
        <v>84639600</v>
      </c>
      <c r="L31" s="50">
        <f>VLOOKUP($A31,'Data shares'!$C:$FB,61)*100</f>
        <v>101.95</v>
      </c>
      <c r="M31" s="49">
        <f>VLOOKUP($A31,'Data shares'!$C:$FB,62)</f>
        <v>75884400</v>
      </c>
      <c r="N31" s="49">
        <f>VLOOKUP($A31,'Data shares'!$C:$FB,63)</f>
        <v>49284000</v>
      </c>
      <c r="O31" s="140">
        <f>VLOOKUP($A31,'Data shares'!$C:$FB,65)*100</f>
        <v>53.97</v>
      </c>
    </row>
    <row r="32" spans="1:15" x14ac:dyDescent="0.25">
      <c r="A32" s="101" t="str">
        <f>'Data Vlaue (Cr)'!C27</f>
        <v>BANKBARODA</v>
      </c>
      <c r="B32" s="50">
        <f>VLOOKUP($A32,'Data shares'!$C:$FB,7)</f>
        <v>265.10000000000002</v>
      </c>
      <c r="C32" s="50">
        <f>VLOOKUP($A32,'Data shares'!$C:$FB,10)*100</f>
        <v>0.62</v>
      </c>
      <c r="D32" s="49">
        <f>VLOOKUP($A32,'Data shares'!$C:$FB,66)</f>
        <v>49920975</v>
      </c>
      <c r="E32" s="49">
        <f>VLOOKUP($A32,'Data shares'!$C:$FB,67)</f>
        <v>52579800</v>
      </c>
      <c r="F32" s="50">
        <f>VLOOKUP($A32,'Data shares'!$C:$FB,69)*100</f>
        <v>-5.0599999999999996</v>
      </c>
      <c r="G32" s="49">
        <f>VLOOKUP($A32,'Data shares'!$C:$FB,42)</f>
        <v>12650625</v>
      </c>
      <c r="H32" s="49">
        <f>VLOOKUP($A32,'Data shares'!$C:$FB,43)</f>
        <v>17073225</v>
      </c>
      <c r="I32" s="50">
        <f>VLOOKUP($A32,'Data shares'!$C:$FB,45)*100</f>
        <v>-25.900000000000002</v>
      </c>
      <c r="J32" s="49">
        <f>VLOOKUP($A32,'Data shares'!$C:$FB,58)</f>
        <v>25248600</v>
      </c>
      <c r="K32" s="49">
        <f>VLOOKUP($A32,'Data shares'!$C:$FB,59)</f>
        <v>22332375</v>
      </c>
      <c r="L32" s="50">
        <f>VLOOKUP($A32,'Data shares'!$C:$FB,61)*100</f>
        <v>13.059999999999999</v>
      </c>
      <c r="M32" s="49">
        <f>VLOOKUP($A32,'Data shares'!$C:$FB,62)</f>
        <v>12021750</v>
      </c>
      <c r="N32" s="49">
        <f>VLOOKUP($A32,'Data shares'!$C:$FB,63)</f>
        <v>13174200</v>
      </c>
      <c r="O32" s="140">
        <f>VLOOKUP($A32,'Data shares'!$C:$FB,65)*100</f>
        <v>-8.75</v>
      </c>
    </row>
    <row r="33" spans="1:15" x14ac:dyDescent="0.25">
      <c r="A33" s="101" t="str">
        <f>'Data Vlaue (Cr)'!C28</f>
        <v>BANKINDIA</v>
      </c>
      <c r="B33" s="50">
        <f>VLOOKUP($A33,'Data shares'!$C:$FB,7)</f>
        <v>138.66</v>
      </c>
      <c r="C33" s="50">
        <f>VLOOKUP($A33,'Data shares'!$C:$FB,10)*100</f>
        <v>-0.86999999999999988</v>
      </c>
      <c r="D33" s="49">
        <f>VLOOKUP($A33,'Data shares'!$C:$FB,66)</f>
        <v>33222800</v>
      </c>
      <c r="E33" s="49">
        <f>VLOOKUP($A33,'Data shares'!$C:$FB,67)</f>
        <v>31340400</v>
      </c>
      <c r="F33" s="50">
        <f>VLOOKUP($A33,'Data shares'!$C:$FB,69)*100</f>
        <v>6.01</v>
      </c>
      <c r="G33" s="49">
        <f>VLOOKUP($A33,'Data shares'!$C:$FB,42)</f>
        <v>9178000</v>
      </c>
      <c r="H33" s="49">
        <f>VLOOKUP($A33,'Data shares'!$C:$FB,43)</f>
        <v>9828000</v>
      </c>
      <c r="I33" s="50">
        <f>VLOOKUP($A33,'Data shares'!$C:$FB,45)*100</f>
        <v>-6.61</v>
      </c>
      <c r="J33" s="49">
        <f>VLOOKUP($A33,'Data shares'!$C:$FB,58)</f>
        <v>16489200</v>
      </c>
      <c r="K33" s="49">
        <f>VLOOKUP($A33,'Data shares'!$C:$FB,59)</f>
        <v>11783200</v>
      </c>
      <c r="L33" s="50">
        <f>VLOOKUP($A33,'Data shares'!$C:$FB,61)*100</f>
        <v>39.94</v>
      </c>
      <c r="M33" s="49">
        <f>VLOOKUP($A33,'Data shares'!$C:$FB,62)</f>
        <v>7555600</v>
      </c>
      <c r="N33" s="49">
        <f>VLOOKUP($A33,'Data shares'!$C:$FB,63)</f>
        <v>9729200</v>
      </c>
      <c r="O33" s="140">
        <f>VLOOKUP($A33,'Data shares'!$C:$FB,65)*100</f>
        <v>-22.34</v>
      </c>
    </row>
    <row r="34" spans="1:15" x14ac:dyDescent="0.25">
      <c r="A34" s="101" t="str">
        <f>'Data Vlaue (Cr)'!C29</f>
        <v>BANKNIFTY</v>
      </c>
      <c r="B34" s="50">
        <f>VLOOKUP($A34,'Data shares'!$C:$FB,7)</f>
        <v>54878.5</v>
      </c>
      <c r="C34" s="50">
        <f>VLOOKUP($A34,'Data shares'!$C:$FB,10)*100</f>
        <v>0.03</v>
      </c>
      <c r="D34" s="49">
        <f>VLOOKUP($A34,'Data shares'!$C:$FB,66)</f>
        <v>51504090</v>
      </c>
      <c r="E34" s="49">
        <f>VLOOKUP($A34,'Data shares'!$C:$FB,67)</f>
        <v>50042430</v>
      </c>
      <c r="F34" s="50">
        <f>VLOOKUP($A34,'Data shares'!$C:$FB,69)*100</f>
        <v>2.92</v>
      </c>
      <c r="G34" s="49">
        <f>VLOOKUP($A34,'Data shares'!$C:$FB,42)</f>
        <v>1003920</v>
      </c>
      <c r="H34" s="49">
        <f>VLOOKUP($A34,'Data shares'!$C:$FB,43)</f>
        <v>1068270</v>
      </c>
      <c r="I34" s="50">
        <f>VLOOKUP($A34,'Data shares'!$C:$FB,45)*100</f>
        <v>-6.02</v>
      </c>
      <c r="J34" s="49">
        <f>VLOOKUP($A34,'Data shares'!$C:$FB,58)</f>
        <v>28921890</v>
      </c>
      <c r="K34" s="49">
        <f>VLOOKUP($A34,'Data shares'!$C:$FB,59)</f>
        <v>25215570</v>
      </c>
      <c r="L34" s="50">
        <f>VLOOKUP($A34,'Data shares'!$C:$FB,61)*100</f>
        <v>14.7</v>
      </c>
      <c r="M34" s="49">
        <f>VLOOKUP($A34,'Data shares'!$C:$FB,62)</f>
        <v>21578280</v>
      </c>
      <c r="N34" s="49">
        <f>VLOOKUP($A34,'Data shares'!$C:$FB,63)</f>
        <v>23758590</v>
      </c>
      <c r="O34" s="140">
        <f>VLOOKUP($A34,'Data shares'!$C:$FB,65)*100</f>
        <v>-9.1800000000000015</v>
      </c>
    </row>
    <row r="35" spans="1:15" x14ac:dyDescent="0.25">
      <c r="A35" s="101" t="str">
        <f>'Data Vlaue (Cr)'!C30</f>
        <v>BDL</v>
      </c>
      <c r="B35" s="50">
        <f>VLOOKUP($A35,'Data shares'!$C:$FB,7)</f>
        <v>1372.4</v>
      </c>
      <c r="C35" s="50">
        <f>VLOOKUP($A35,'Data shares'!$C:$FB,10)*100</f>
        <v>0.61</v>
      </c>
      <c r="D35" s="49">
        <f>VLOOKUP($A35,'Data shares'!$C:$FB,66)</f>
        <v>4813200</v>
      </c>
      <c r="E35" s="49">
        <f>VLOOKUP($A35,'Data shares'!$C:$FB,67)</f>
        <v>3684450</v>
      </c>
      <c r="F35" s="50">
        <f>VLOOKUP($A35,'Data shares'!$C:$FB,69)*100</f>
        <v>30.64</v>
      </c>
      <c r="G35" s="49">
        <f>VLOOKUP($A35,'Data shares'!$C:$FB,42)</f>
        <v>1135050</v>
      </c>
      <c r="H35" s="49">
        <f>VLOOKUP($A35,'Data shares'!$C:$FB,43)</f>
        <v>1014650</v>
      </c>
      <c r="I35" s="50">
        <f>VLOOKUP($A35,'Data shares'!$C:$FB,45)*100</f>
        <v>11.87</v>
      </c>
      <c r="J35" s="49">
        <f>VLOOKUP($A35,'Data shares'!$C:$FB,58)</f>
        <v>2811550</v>
      </c>
      <c r="K35" s="49">
        <f>VLOOKUP($A35,'Data shares'!$C:$FB,59)</f>
        <v>1550150</v>
      </c>
      <c r="L35" s="50">
        <f>VLOOKUP($A35,'Data shares'!$C:$FB,61)*100</f>
        <v>81.37</v>
      </c>
      <c r="M35" s="49">
        <f>VLOOKUP($A35,'Data shares'!$C:$FB,62)</f>
        <v>866600</v>
      </c>
      <c r="N35" s="49">
        <f>VLOOKUP($A35,'Data shares'!$C:$FB,63)</f>
        <v>1119650</v>
      </c>
      <c r="O35" s="140">
        <f>VLOOKUP($A35,'Data shares'!$C:$FB,65)*100</f>
        <v>-22.6</v>
      </c>
    </row>
    <row r="36" spans="1:15" x14ac:dyDescent="0.25">
      <c r="A36" s="101" t="str">
        <f>'Data Vlaue (Cr)'!C31</f>
        <v>BEL</v>
      </c>
      <c r="B36" s="50">
        <f>VLOOKUP($A36,'Data shares'!$C:$FB,7)</f>
        <v>433.55</v>
      </c>
      <c r="C36" s="50">
        <f>VLOOKUP($A36,'Data shares'!$C:$FB,10)*100</f>
        <v>0.52</v>
      </c>
      <c r="D36" s="49">
        <f>VLOOKUP($A36,'Data shares'!$C:$FB,66)</f>
        <v>59774475</v>
      </c>
      <c r="E36" s="49">
        <f>VLOOKUP($A36,'Data shares'!$C:$FB,67)</f>
        <v>66509025</v>
      </c>
      <c r="F36" s="50">
        <f>VLOOKUP($A36,'Data shares'!$C:$FB,69)*100</f>
        <v>-10.130000000000001</v>
      </c>
      <c r="G36" s="49">
        <f>VLOOKUP($A36,'Data shares'!$C:$FB,42)</f>
        <v>11733450</v>
      </c>
      <c r="H36" s="49">
        <f>VLOOKUP($A36,'Data shares'!$C:$FB,43)</f>
        <v>14319825</v>
      </c>
      <c r="I36" s="50">
        <f>VLOOKUP($A36,'Data shares'!$C:$FB,45)*100</f>
        <v>-18.060000000000002</v>
      </c>
      <c r="J36" s="49">
        <f>VLOOKUP($A36,'Data shares'!$C:$FB,58)</f>
        <v>33467550</v>
      </c>
      <c r="K36" s="49">
        <f>VLOOKUP($A36,'Data shares'!$C:$FB,59)</f>
        <v>35952750</v>
      </c>
      <c r="L36" s="50">
        <f>VLOOKUP($A36,'Data shares'!$C:$FB,61)*100</f>
        <v>-6.9099999999999993</v>
      </c>
      <c r="M36" s="49">
        <f>VLOOKUP($A36,'Data shares'!$C:$FB,62)</f>
        <v>14573475</v>
      </c>
      <c r="N36" s="49">
        <f>VLOOKUP($A36,'Data shares'!$C:$FB,63)</f>
        <v>16236450</v>
      </c>
      <c r="O36" s="140">
        <f>VLOOKUP($A36,'Data shares'!$C:$FB,65)*100</f>
        <v>-10.24</v>
      </c>
    </row>
    <row r="37" spans="1:15" x14ac:dyDescent="0.25">
      <c r="A37" s="101" t="str">
        <f>'Data Vlaue (Cr)'!C32</f>
        <v>BHARATFORG</v>
      </c>
      <c r="B37" s="50">
        <f>VLOOKUP($A37,'Data shares'!$C:$FB,7)</f>
        <v>1845.8</v>
      </c>
      <c r="C37" s="50">
        <f>VLOOKUP($A37,'Data shares'!$C:$FB,10)*100</f>
        <v>-1.9</v>
      </c>
      <c r="D37" s="49">
        <f>VLOOKUP($A37,'Data shares'!$C:$FB,66)</f>
        <v>8889000</v>
      </c>
      <c r="E37" s="49">
        <f>VLOOKUP($A37,'Data shares'!$C:$FB,67)</f>
        <v>7095000</v>
      </c>
      <c r="F37" s="50">
        <f>VLOOKUP($A37,'Data shares'!$C:$FB,69)*100</f>
        <v>25.290000000000003</v>
      </c>
      <c r="G37" s="49">
        <f>VLOOKUP($A37,'Data shares'!$C:$FB,42)</f>
        <v>1843000</v>
      </c>
      <c r="H37" s="49">
        <f>VLOOKUP($A37,'Data shares'!$C:$FB,43)</f>
        <v>1835000</v>
      </c>
      <c r="I37" s="50">
        <f>VLOOKUP($A37,'Data shares'!$C:$FB,45)*100</f>
        <v>0.44</v>
      </c>
      <c r="J37" s="49">
        <f>VLOOKUP($A37,'Data shares'!$C:$FB,58)</f>
        <v>4147500</v>
      </c>
      <c r="K37" s="49">
        <f>VLOOKUP($A37,'Data shares'!$C:$FB,59)</f>
        <v>2866000</v>
      </c>
      <c r="L37" s="50">
        <f>VLOOKUP($A37,'Data shares'!$C:$FB,61)*100</f>
        <v>44.71</v>
      </c>
      <c r="M37" s="49">
        <f>VLOOKUP($A37,'Data shares'!$C:$FB,62)</f>
        <v>2898500</v>
      </c>
      <c r="N37" s="49">
        <f>VLOOKUP($A37,'Data shares'!$C:$FB,63)</f>
        <v>2394000</v>
      </c>
      <c r="O37" s="140">
        <f>VLOOKUP($A37,'Data shares'!$C:$FB,65)*100</f>
        <v>21.07</v>
      </c>
    </row>
    <row r="38" spans="1:15" x14ac:dyDescent="0.25">
      <c r="A38" s="101" t="str">
        <f>'Data Vlaue (Cr)'!C33</f>
        <v>BHARTIARTL</v>
      </c>
      <c r="B38" s="50">
        <f>VLOOKUP($A38,'Data shares'!$C:$FB,7)</f>
        <v>1827.1</v>
      </c>
      <c r="C38" s="50">
        <f>VLOOKUP($A38,'Data shares'!$C:$FB,10)*100</f>
        <v>-3.16</v>
      </c>
      <c r="D38" s="49">
        <f>VLOOKUP($A38,'Data shares'!$C:$FB,66)</f>
        <v>43672925</v>
      </c>
      <c r="E38" s="49">
        <f>VLOOKUP($A38,'Data shares'!$C:$FB,67)</f>
        <v>34466950</v>
      </c>
      <c r="F38" s="50">
        <f>VLOOKUP($A38,'Data shares'!$C:$FB,69)*100</f>
        <v>26.71</v>
      </c>
      <c r="G38" s="49">
        <f>VLOOKUP($A38,'Data shares'!$C:$FB,42)</f>
        <v>7514025</v>
      </c>
      <c r="H38" s="49">
        <f>VLOOKUP($A38,'Data shares'!$C:$FB,43)</f>
        <v>7372950</v>
      </c>
      <c r="I38" s="50">
        <f>VLOOKUP($A38,'Data shares'!$C:$FB,45)*100</f>
        <v>1.91</v>
      </c>
      <c r="J38" s="49">
        <f>VLOOKUP($A38,'Data shares'!$C:$FB,58)</f>
        <v>22990000</v>
      </c>
      <c r="K38" s="49">
        <f>VLOOKUP($A38,'Data shares'!$C:$FB,59)</f>
        <v>18131225</v>
      </c>
      <c r="L38" s="50">
        <f>VLOOKUP($A38,'Data shares'!$C:$FB,61)*100</f>
        <v>26.8</v>
      </c>
      <c r="M38" s="49">
        <f>VLOOKUP($A38,'Data shares'!$C:$FB,62)</f>
        <v>13168900</v>
      </c>
      <c r="N38" s="49">
        <f>VLOOKUP($A38,'Data shares'!$C:$FB,63)</f>
        <v>8962775</v>
      </c>
      <c r="O38" s="140">
        <f>VLOOKUP($A38,'Data shares'!$C:$FB,65)*100</f>
        <v>46.93</v>
      </c>
    </row>
    <row r="39" spans="1:15" x14ac:dyDescent="0.25">
      <c r="A39" s="101" t="str">
        <f>'Data Vlaue (Cr)'!C34</f>
        <v>BHEL</v>
      </c>
      <c r="B39" s="50">
        <f>VLOOKUP($A39,'Data shares'!$C:$FB,7)</f>
        <v>377.05</v>
      </c>
      <c r="C39" s="50">
        <f>VLOOKUP($A39,'Data shares'!$C:$FB,10)*100</f>
        <v>6.99</v>
      </c>
      <c r="D39" s="49">
        <f>VLOOKUP($A39,'Data shares'!$C:$FB,66)</f>
        <v>656782875</v>
      </c>
      <c r="E39" s="49">
        <f>VLOOKUP($A39,'Data shares'!$C:$FB,67)</f>
        <v>85582875</v>
      </c>
      <c r="F39" s="50">
        <f>VLOOKUP($A39,'Data shares'!$C:$FB,69)*100</f>
        <v>667.42</v>
      </c>
      <c r="G39" s="49">
        <f>VLOOKUP($A39,'Data shares'!$C:$FB,42)</f>
        <v>110449500</v>
      </c>
      <c r="H39" s="49">
        <f>VLOOKUP($A39,'Data shares'!$C:$FB,43)</f>
        <v>26916750</v>
      </c>
      <c r="I39" s="50">
        <f>VLOOKUP($A39,'Data shares'!$C:$FB,45)*100</f>
        <v>310.34000000000003</v>
      </c>
      <c r="J39" s="49">
        <f>VLOOKUP($A39,'Data shares'!$C:$FB,58)</f>
        <v>329122500</v>
      </c>
      <c r="K39" s="49">
        <f>VLOOKUP($A39,'Data shares'!$C:$FB,59)</f>
        <v>38096625</v>
      </c>
      <c r="L39" s="50">
        <f>VLOOKUP($A39,'Data shares'!$C:$FB,61)*100</f>
        <v>763.92</v>
      </c>
      <c r="M39" s="49">
        <f>VLOOKUP($A39,'Data shares'!$C:$FB,62)</f>
        <v>217210875</v>
      </c>
      <c r="N39" s="49">
        <f>VLOOKUP($A39,'Data shares'!$C:$FB,63)</f>
        <v>20569500</v>
      </c>
      <c r="O39" s="140">
        <f>VLOOKUP($A39,'Data shares'!$C:$FB,65)*100</f>
        <v>955.99000000000012</v>
      </c>
    </row>
    <row r="40" spans="1:15" x14ac:dyDescent="0.25">
      <c r="A40" s="101" t="str">
        <f>'Data Vlaue (Cr)'!C35</f>
        <v>BIOCON</v>
      </c>
      <c r="B40" s="50">
        <f>VLOOKUP($A40,'Data shares'!$C:$FB,7)</f>
        <v>360.6</v>
      </c>
      <c r="C40" s="50">
        <f>VLOOKUP($A40,'Data shares'!$C:$FB,10)*100</f>
        <v>0.26</v>
      </c>
      <c r="D40" s="49">
        <f>VLOOKUP($A40,'Data shares'!$C:$FB,66)</f>
        <v>22350000</v>
      </c>
      <c r="E40" s="49">
        <f>VLOOKUP($A40,'Data shares'!$C:$FB,67)</f>
        <v>22567500</v>
      </c>
      <c r="F40" s="50">
        <f>VLOOKUP($A40,'Data shares'!$C:$FB,69)*100</f>
        <v>-0.96</v>
      </c>
      <c r="G40" s="49">
        <f>VLOOKUP($A40,'Data shares'!$C:$FB,42)</f>
        <v>4247500</v>
      </c>
      <c r="H40" s="49">
        <f>VLOOKUP($A40,'Data shares'!$C:$FB,43)</f>
        <v>3965000</v>
      </c>
      <c r="I40" s="50">
        <f>VLOOKUP($A40,'Data shares'!$C:$FB,45)*100</f>
        <v>7.12</v>
      </c>
      <c r="J40" s="49">
        <f>VLOOKUP($A40,'Data shares'!$C:$FB,58)</f>
        <v>13192500</v>
      </c>
      <c r="K40" s="49">
        <f>VLOOKUP($A40,'Data shares'!$C:$FB,59)</f>
        <v>14305000</v>
      </c>
      <c r="L40" s="50">
        <f>VLOOKUP($A40,'Data shares'!$C:$FB,61)*100</f>
        <v>-7.7799999999999994</v>
      </c>
      <c r="M40" s="49">
        <f>VLOOKUP($A40,'Data shares'!$C:$FB,62)</f>
        <v>4910000</v>
      </c>
      <c r="N40" s="49">
        <f>VLOOKUP($A40,'Data shares'!$C:$FB,63)</f>
        <v>4297500</v>
      </c>
      <c r="O40" s="140">
        <f>VLOOKUP($A40,'Data shares'!$C:$FB,65)*100</f>
        <v>14.249999999999998</v>
      </c>
    </row>
    <row r="41" spans="1:15" x14ac:dyDescent="0.25">
      <c r="A41" s="101" t="str">
        <f>'Data Vlaue (Cr)'!C36</f>
        <v>BLUESTARCO</v>
      </c>
      <c r="B41" s="50">
        <f>VLOOKUP($A41,'Data shares'!$C:$FB,7)</f>
        <v>1802.2</v>
      </c>
      <c r="C41" s="50">
        <f>VLOOKUP($A41,'Data shares'!$C:$FB,10)*100</f>
        <v>1.1900000000000002</v>
      </c>
      <c r="D41" s="49">
        <f>VLOOKUP($A41,'Data shares'!$C:$FB,66)</f>
        <v>1838200</v>
      </c>
      <c r="E41" s="49">
        <f>VLOOKUP($A41,'Data shares'!$C:$FB,67)</f>
        <v>3102450</v>
      </c>
      <c r="F41" s="50">
        <f>VLOOKUP($A41,'Data shares'!$C:$FB,69)*100</f>
        <v>-40.75</v>
      </c>
      <c r="G41" s="49">
        <f>VLOOKUP($A41,'Data shares'!$C:$FB,42)</f>
        <v>658775</v>
      </c>
      <c r="H41" s="49">
        <f>VLOOKUP($A41,'Data shares'!$C:$FB,43)</f>
        <v>1276275</v>
      </c>
      <c r="I41" s="50">
        <f>VLOOKUP($A41,'Data shares'!$C:$FB,45)*100</f>
        <v>-48.38</v>
      </c>
      <c r="J41" s="49">
        <f>VLOOKUP($A41,'Data shares'!$C:$FB,58)</f>
        <v>789425</v>
      </c>
      <c r="K41" s="49">
        <f>VLOOKUP($A41,'Data shares'!$C:$FB,59)</f>
        <v>1118650</v>
      </c>
      <c r="L41" s="50">
        <f>VLOOKUP($A41,'Data shares'!$C:$FB,61)*100</f>
        <v>-29.43</v>
      </c>
      <c r="M41" s="49">
        <f>VLOOKUP($A41,'Data shares'!$C:$FB,62)</f>
        <v>390000</v>
      </c>
      <c r="N41" s="49">
        <f>VLOOKUP($A41,'Data shares'!$C:$FB,63)</f>
        <v>707525</v>
      </c>
      <c r="O41" s="140">
        <f>VLOOKUP($A41,'Data shares'!$C:$FB,65)*100</f>
        <v>-44.879999999999995</v>
      </c>
    </row>
    <row r="42" spans="1:15" x14ac:dyDescent="0.25">
      <c r="A42" s="101" t="str">
        <f>'Data Vlaue (Cr)'!C37</f>
        <v>BOSCHLTD</v>
      </c>
      <c r="B42" s="50">
        <f>VLOOKUP($A42,'Data shares'!$C:$FB,7)</f>
        <v>35850</v>
      </c>
      <c r="C42" s="50">
        <f>VLOOKUP($A42,'Data shares'!$C:$FB,10)*100</f>
        <v>-0.4</v>
      </c>
      <c r="D42" s="49">
        <f>VLOOKUP($A42,'Data shares'!$C:$FB,66)</f>
        <v>91975</v>
      </c>
      <c r="E42" s="49">
        <f>VLOOKUP($A42,'Data shares'!$C:$FB,67)</f>
        <v>94050</v>
      </c>
      <c r="F42" s="50">
        <f>VLOOKUP($A42,'Data shares'!$C:$FB,69)*100</f>
        <v>-2.21</v>
      </c>
      <c r="G42" s="49">
        <f>VLOOKUP($A42,'Data shares'!$C:$FB,42)</f>
        <v>33875</v>
      </c>
      <c r="H42" s="49">
        <f>VLOOKUP($A42,'Data shares'!$C:$FB,43)</f>
        <v>25075</v>
      </c>
      <c r="I42" s="50">
        <f>VLOOKUP($A42,'Data shares'!$C:$FB,45)*100</f>
        <v>35.089999999999996</v>
      </c>
      <c r="J42" s="49">
        <f>VLOOKUP($A42,'Data shares'!$C:$FB,58)</f>
        <v>34100</v>
      </c>
      <c r="K42" s="49">
        <f>VLOOKUP($A42,'Data shares'!$C:$FB,59)</f>
        <v>31875</v>
      </c>
      <c r="L42" s="50">
        <f>VLOOKUP($A42,'Data shares'!$C:$FB,61)*100</f>
        <v>6.98</v>
      </c>
      <c r="M42" s="49">
        <f>VLOOKUP($A42,'Data shares'!$C:$FB,62)</f>
        <v>24000</v>
      </c>
      <c r="N42" s="49">
        <f>VLOOKUP($A42,'Data shares'!$C:$FB,63)</f>
        <v>37100</v>
      </c>
      <c r="O42" s="140">
        <f>VLOOKUP($A42,'Data shares'!$C:$FB,65)*100</f>
        <v>-35.31</v>
      </c>
    </row>
    <row r="43" spans="1:15" x14ac:dyDescent="0.25">
      <c r="A43" s="101" t="str">
        <f>'Data Vlaue (Cr)'!C38</f>
        <v>BPCL</v>
      </c>
      <c r="B43" s="50">
        <f>VLOOKUP($A43,'Data shares'!$C:$FB,7)</f>
        <v>301.7</v>
      </c>
      <c r="C43" s="50">
        <f>VLOOKUP($A43,'Data shares'!$C:$FB,10)*100</f>
        <v>0.42</v>
      </c>
      <c r="D43" s="49">
        <f>VLOOKUP($A43,'Data shares'!$C:$FB,66)</f>
        <v>27885025</v>
      </c>
      <c r="E43" s="49">
        <f>VLOOKUP($A43,'Data shares'!$C:$FB,67)</f>
        <v>35239925</v>
      </c>
      <c r="F43" s="50">
        <f>VLOOKUP($A43,'Data shares'!$C:$FB,69)*100</f>
        <v>-20.87</v>
      </c>
      <c r="G43" s="49">
        <f>VLOOKUP($A43,'Data shares'!$C:$FB,42)</f>
        <v>4880225</v>
      </c>
      <c r="H43" s="49">
        <f>VLOOKUP($A43,'Data shares'!$C:$FB,43)</f>
        <v>9892775</v>
      </c>
      <c r="I43" s="50">
        <f>VLOOKUP($A43,'Data shares'!$C:$FB,45)*100</f>
        <v>-50.67</v>
      </c>
      <c r="J43" s="49">
        <f>VLOOKUP($A43,'Data shares'!$C:$FB,58)</f>
        <v>13159425</v>
      </c>
      <c r="K43" s="49">
        <f>VLOOKUP($A43,'Data shares'!$C:$FB,59)</f>
        <v>15098875</v>
      </c>
      <c r="L43" s="50">
        <f>VLOOKUP($A43,'Data shares'!$C:$FB,61)*100</f>
        <v>-12.839999999999998</v>
      </c>
      <c r="M43" s="49">
        <f>VLOOKUP($A43,'Data shares'!$C:$FB,62)</f>
        <v>9845375</v>
      </c>
      <c r="N43" s="49">
        <f>VLOOKUP($A43,'Data shares'!$C:$FB,63)</f>
        <v>10248275</v>
      </c>
      <c r="O43" s="140">
        <f>VLOOKUP($A43,'Data shares'!$C:$FB,65)*100</f>
        <v>-3.93</v>
      </c>
    </row>
    <row r="44" spans="1:15" x14ac:dyDescent="0.25">
      <c r="A44" s="101" t="str">
        <f>'Data Vlaue (Cr)'!C39</f>
        <v>BRITANNIA</v>
      </c>
      <c r="B44" s="50">
        <f>VLOOKUP($A44,'Data shares'!$C:$FB,7)</f>
        <v>5792.5</v>
      </c>
      <c r="C44" s="50">
        <f>VLOOKUP($A44,'Data shares'!$C:$FB,10)*100</f>
        <v>1.1599999999999999</v>
      </c>
      <c r="D44" s="49">
        <f>VLOOKUP($A44,'Data shares'!$C:$FB,66)</f>
        <v>2026375</v>
      </c>
      <c r="E44" s="49">
        <f>VLOOKUP($A44,'Data shares'!$C:$FB,67)</f>
        <v>1427750</v>
      </c>
      <c r="F44" s="50">
        <f>VLOOKUP($A44,'Data shares'!$C:$FB,69)*100</f>
        <v>41.93</v>
      </c>
      <c r="G44" s="49">
        <f>VLOOKUP($A44,'Data shares'!$C:$FB,42)</f>
        <v>459125</v>
      </c>
      <c r="H44" s="49">
        <f>VLOOKUP($A44,'Data shares'!$C:$FB,43)</f>
        <v>391750</v>
      </c>
      <c r="I44" s="50">
        <f>VLOOKUP($A44,'Data shares'!$C:$FB,45)*100</f>
        <v>17.2</v>
      </c>
      <c r="J44" s="49">
        <f>VLOOKUP($A44,'Data shares'!$C:$FB,58)</f>
        <v>1120625</v>
      </c>
      <c r="K44" s="49">
        <f>VLOOKUP($A44,'Data shares'!$C:$FB,59)</f>
        <v>676500</v>
      </c>
      <c r="L44" s="50">
        <f>VLOOKUP($A44,'Data shares'!$C:$FB,61)*100</f>
        <v>65.649999999999991</v>
      </c>
      <c r="M44" s="49">
        <f>VLOOKUP($A44,'Data shares'!$C:$FB,62)</f>
        <v>446625</v>
      </c>
      <c r="N44" s="49">
        <f>VLOOKUP($A44,'Data shares'!$C:$FB,63)</f>
        <v>359500</v>
      </c>
      <c r="O44" s="140">
        <f>VLOOKUP($A44,'Data shares'!$C:$FB,65)*100</f>
        <v>24.240000000000002</v>
      </c>
    </row>
    <row r="45" spans="1:15" x14ac:dyDescent="0.25">
      <c r="A45" s="101" t="str">
        <f>'Data Vlaue (Cr)'!C40</f>
        <v>BSE</v>
      </c>
      <c r="B45" s="50">
        <f>VLOOKUP($A45,'Data shares'!$C:$FB,7)</f>
        <v>3711.3</v>
      </c>
      <c r="C45" s="50">
        <f>VLOOKUP($A45,'Data shares'!$C:$FB,10)*100</f>
        <v>1.94</v>
      </c>
      <c r="D45" s="49">
        <f>VLOOKUP($A45,'Data shares'!$C:$FB,66)</f>
        <v>21706125</v>
      </c>
      <c r="E45" s="49">
        <f>VLOOKUP($A45,'Data shares'!$C:$FB,67)</f>
        <v>14202375</v>
      </c>
      <c r="F45" s="50">
        <f>VLOOKUP($A45,'Data shares'!$C:$FB,69)*100</f>
        <v>52.83</v>
      </c>
      <c r="G45" s="49">
        <f>VLOOKUP($A45,'Data shares'!$C:$FB,42)</f>
        <v>2694375</v>
      </c>
      <c r="H45" s="49">
        <f>VLOOKUP($A45,'Data shares'!$C:$FB,43)</f>
        <v>2191875</v>
      </c>
      <c r="I45" s="50">
        <f>VLOOKUP($A45,'Data shares'!$C:$FB,45)*100</f>
        <v>22.93</v>
      </c>
      <c r="J45" s="49">
        <f>VLOOKUP($A45,'Data shares'!$C:$FB,58)</f>
        <v>11705250</v>
      </c>
      <c r="K45" s="49">
        <f>VLOOKUP($A45,'Data shares'!$C:$FB,59)</f>
        <v>6070125</v>
      </c>
      <c r="L45" s="50">
        <f>VLOOKUP($A45,'Data shares'!$C:$FB,61)*100</f>
        <v>92.83</v>
      </c>
      <c r="M45" s="49">
        <f>VLOOKUP($A45,'Data shares'!$C:$FB,62)</f>
        <v>7306500</v>
      </c>
      <c r="N45" s="49">
        <f>VLOOKUP($A45,'Data shares'!$C:$FB,63)</f>
        <v>5940375</v>
      </c>
      <c r="O45" s="140">
        <f>VLOOKUP($A45,'Data shares'!$C:$FB,65)*100</f>
        <v>23</v>
      </c>
    </row>
    <row r="46" spans="1:15" x14ac:dyDescent="0.25">
      <c r="A46" s="101" t="str">
        <f>'Data Vlaue (Cr)'!C41</f>
        <v>CAMS</v>
      </c>
      <c r="B46" s="50">
        <f>VLOOKUP($A46,'Data shares'!$C:$FB,7)</f>
        <v>730.85</v>
      </c>
      <c r="C46" s="50">
        <f>VLOOKUP($A46,'Data shares'!$C:$FB,10)*100</f>
        <v>-1.05</v>
      </c>
      <c r="D46" s="49">
        <f>VLOOKUP($A46,'Data shares'!$C:$FB,66)</f>
        <v>10887000</v>
      </c>
      <c r="E46" s="49">
        <f>VLOOKUP($A46,'Data shares'!$C:$FB,67)</f>
        <v>11917500</v>
      </c>
      <c r="F46" s="50">
        <f>VLOOKUP($A46,'Data shares'!$C:$FB,69)*100</f>
        <v>-8.6499999999999986</v>
      </c>
      <c r="G46" s="49">
        <f>VLOOKUP($A46,'Data shares'!$C:$FB,42)</f>
        <v>1700250</v>
      </c>
      <c r="H46" s="49">
        <f>VLOOKUP($A46,'Data shares'!$C:$FB,43)</f>
        <v>4346250</v>
      </c>
      <c r="I46" s="50">
        <f>VLOOKUP($A46,'Data shares'!$C:$FB,45)*100</f>
        <v>-60.88</v>
      </c>
      <c r="J46" s="49">
        <f>VLOOKUP($A46,'Data shares'!$C:$FB,58)</f>
        <v>5170500</v>
      </c>
      <c r="K46" s="49">
        <f>VLOOKUP($A46,'Data shares'!$C:$FB,59)</f>
        <v>3264000</v>
      </c>
      <c r="L46" s="50">
        <f>VLOOKUP($A46,'Data shares'!$C:$FB,61)*100</f>
        <v>58.41</v>
      </c>
      <c r="M46" s="49">
        <f>VLOOKUP($A46,'Data shares'!$C:$FB,62)</f>
        <v>4016250</v>
      </c>
      <c r="N46" s="49">
        <f>VLOOKUP($A46,'Data shares'!$C:$FB,63)</f>
        <v>4307250</v>
      </c>
      <c r="O46" s="140">
        <f>VLOOKUP($A46,'Data shares'!$C:$FB,65)*100</f>
        <v>-6.76</v>
      </c>
    </row>
    <row r="47" spans="1:15" x14ac:dyDescent="0.25">
      <c r="A47" s="101" t="str">
        <f>'Data Vlaue (Cr)'!C42</f>
        <v>CANBK</v>
      </c>
      <c r="B47" s="50">
        <f>VLOOKUP($A47,'Data shares'!$C:$FB,7)</f>
        <v>134.80000000000001</v>
      </c>
      <c r="C47" s="50">
        <f>VLOOKUP($A47,'Data shares'!$C:$FB,10)*100</f>
        <v>0.11</v>
      </c>
      <c r="D47" s="49">
        <f>VLOOKUP($A47,'Data shares'!$C:$FB,66)</f>
        <v>116363250</v>
      </c>
      <c r="E47" s="49">
        <f>VLOOKUP($A47,'Data shares'!$C:$FB,67)</f>
        <v>124854750</v>
      </c>
      <c r="F47" s="50">
        <f>VLOOKUP($A47,'Data shares'!$C:$FB,69)*100</f>
        <v>-6.8000000000000007</v>
      </c>
      <c r="G47" s="49">
        <f>VLOOKUP($A47,'Data shares'!$C:$FB,42)</f>
        <v>24306750</v>
      </c>
      <c r="H47" s="49">
        <f>VLOOKUP($A47,'Data shares'!$C:$FB,43)</f>
        <v>32244750</v>
      </c>
      <c r="I47" s="50">
        <f>VLOOKUP($A47,'Data shares'!$C:$FB,45)*100</f>
        <v>-24.62</v>
      </c>
      <c r="J47" s="49">
        <f>VLOOKUP($A47,'Data shares'!$C:$FB,58)</f>
        <v>57071250</v>
      </c>
      <c r="K47" s="49">
        <f>VLOOKUP($A47,'Data shares'!$C:$FB,59)</f>
        <v>51414750</v>
      </c>
      <c r="L47" s="50">
        <f>VLOOKUP($A47,'Data shares'!$C:$FB,61)*100</f>
        <v>11</v>
      </c>
      <c r="M47" s="49">
        <f>VLOOKUP($A47,'Data shares'!$C:$FB,62)</f>
        <v>34985250</v>
      </c>
      <c r="N47" s="49">
        <f>VLOOKUP($A47,'Data shares'!$C:$FB,63)</f>
        <v>41195250</v>
      </c>
      <c r="O47" s="140">
        <f>VLOOKUP($A47,'Data shares'!$C:$FB,65)*100</f>
        <v>-15.07</v>
      </c>
    </row>
    <row r="48" spans="1:15" x14ac:dyDescent="0.25">
      <c r="A48" s="101" t="str">
        <f>'Data Vlaue (Cr)'!C43</f>
        <v>CDSL</v>
      </c>
      <c r="B48" s="50">
        <f>VLOOKUP($A48,'Data shares'!$C:$FB,7)</f>
        <v>1238.3</v>
      </c>
      <c r="C48" s="50">
        <f>VLOOKUP($A48,'Data shares'!$C:$FB,10)*100</f>
        <v>-2.65</v>
      </c>
      <c r="D48" s="49">
        <f>VLOOKUP($A48,'Data shares'!$C:$FB,66)</f>
        <v>29278050</v>
      </c>
      <c r="E48" s="49">
        <f>VLOOKUP($A48,'Data shares'!$C:$FB,67)</f>
        <v>13331350</v>
      </c>
      <c r="F48" s="50">
        <f>VLOOKUP($A48,'Data shares'!$C:$FB,69)*100</f>
        <v>119.61999999999999</v>
      </c>
      <c r="G48" s="49">
        <f>VLOOKUP($A48,'Data shares'!$C:$FB,42)</f>
        <v>5065400</v>
      </c>
      <c r="H48" s="49">
        <f>VLOOKUP($A48,'Data shares'!$C:$FB,43)</f>
        <v>2761175</v>
      </c>
      <c r="I48" s="50">
        <f>VLOOKUP($A48,'Data shares'!$C:$FB,45)*100</f>
        <v>83.45</v>
      </c>
      <c r="J48" s="49">
        <f>VLOOKUP($A48,'Data shares'!$C:$FB,58)</f>
        <v>12863950</v>
      </c>
      <c r="K48" s="49">
        <f>VLOOKUP($A48,'Data shares'!$C:$FB,59)</f>
        <v>5911375</v>
      </c>
      <c r="L48" s="50">
        <f>VLOOKUP($A48,'Data shares'!$C:$FB,61)*100</f>
        <v>117.60999999999999</v>
      </c>
      <c r="M48" s="49">
        <f>VLOOKUP($A48,'Data shares'!$C:$FB,62)</f>
        <v>11348700</v>
      </c>
      <c r="N48" s="49">
        <f>VLOOKUP($A48,'Data shares'!$C:$FB,63)</f>
        <v>4658800</v>
      </c>
      <c r="O48" s="140">
        <f>VLOOKUP($A48,'Data shares'!$C:$FB,65)*100</f>
        <v>143.6</v>
      </c>
    </row>
    <row r="49" spans="1:15" x14ac:dyDescent="0.25">
      <c r="A49" s="101" t="str">
        <f>'Data Vlaue (Cr)'!C44</f>
        <v>CGPOWER</v>
      </c>
      <c r="B49" s="50">
        <f>VLOOKUP($A49,'Data shares'!$C:$FB,7)</f>
        <v>802.3</v>
      </c>
      <c r="C49" s="50">
        <f>VLOOKUP($A49,'Data shares'!$C:$FB,10)*100</f>
        <v>-1.3599999999999999</v>
      </c>
      <c r="D49" s="49">
        <f>VLOOKUP($A49,'Data shares'!$C:$FB,66)</f>
        <v>10747400</v>
      </c>
      <c r="E49" s="49">
        <f>VLOOKUP($A49,'Data shares'!$C:$FB,67)</f>
        <v>8731200</v>
      </c>
      <c r="F49" s="50">
        <f>VLOOKUP($A49,'Data shares'!$C:$FB,69)*100</f>
        <v>23.09</v>
      </c>
      <c r="G49" s="49">
        <f>VLOOKUP($A49,'Data shares'!$C:$FB,42)</f>
        <v>3217250</v>
      </c>
      <c r="H49" s="49">
        <f>VLOOKUP($A49,'Data shares'!$C:$FB,43)</f>
        <v>3343050</v>
      </c>
      <c r="I49" s="50">
        <f>VLOOKUP($A49,'Data shares'!$C:$FB,45)*100</f>
        <v>-3.7600000000000002</v>
      </c>
      <c r="J49" s="49">
        <f>VLOOKUP($A49,'Data shares'!$C:$FB,58)</f>
        <v>5319300</v>
      </c>
      <c r="K49" s="49">
        <f>VLOOKUP($A49,'Data shares'!$C:$FB,59)</f>
        <v>3169650</v>
      </c>
      <c r="L49" s="50">
        <f>VLOOKUP($A49,'Data shares'!$C:$FB,61)*100</f>
        <v>67.820000000000007</v>
      </c>
      <c r="M49" s="49">
        <f>VLOOKUP($A49,'Data shares'!$C:$FB,62)</f>
        <v>2210850</v>
      </c>
      <c r="N49" s="49">
        <f>VLOOKUP($A49,'Data shares'!$C:$FB,63)</f>
        <v>2218500</v>
      </c>
      <c r="O49" s="140">
        <f>VLOOKUP($A49,'Data shares'!$C:$FB,65)*100</f>
        <v>-0.33999999999999997</v>
      </c>
    </row>
    <row r="50" spans="1:15" x14ac:dyDescent="0.25">
      <c r="A50" s="101" t="str">
        <f>'Data Vlaue (Cr)'!C45</f>
        <v>CHOLAFIN</v>
      </c>
      <c r="B50" s="50">
        <f>VLOOKUP($A50,'Data shares'!$C:$FB,7)</f>
        <v>1639.5</v>
      </c>
      <c r="C50" s="50">
        <f>VLOOKUP($A50,'Data shares'!$C:$FB,10)*100</f>
        <v>4.9000000000000004</v>
      </c>
      <c r="D50" s="49">
        <f>VLOOKUP($A50,'Data shares'!$C:$FB,66)</f>
        <v>26993125</v>
      </c>
      <c r="E50" s="49">
        <f>VLOOKUP($A50,'Data shares'!$C:$FB,67)</f>
        <v>37755000</v>
      </c>
      <c r="F50" s="50">
        <f>VLOOKUP($A50,'Data shares'!$C:$FB,69)*100</f>
        <v>-28.499999999999996</v>
      </c>
      <c r="G50" s="49">
        <f>VLOOKUP($A50,'Data shares'!$C:$FB,42)</f>
        <v>5935000</v>
      </c>
      <c r="H50" s="49">
        <f>VLOOKUP($A50,'Data shares'!$C:$FB,43)</f>
        <v>9267500</v>
      </c>
      <c r="I50" s="50">
        <f>VLOOKUP($A50,'Data shares'!$C:$FB,45)*100</f>
        <v>-35.96</v>
      </c>
      <c r="J50" s="49">
        <f>VLOOKUP($A50,'Data shares'!$C:$FB,58)</f>
        <v>14231875</v>
      </c>
      <c r="K50" s="49">
        <f>VLOOKUP($A50,'Data shares'!$C:$FB,59)</f>
        <v>18153125</v>
      </c>
      <c r="L50" s="50">
        <f>VLOOKUP($A50,'Data shares'!$C:$FB,61)*100</f>
        <v>-21.6</v>
      </c>
      <c r="M50" s="49">
        <f>VLOOKUP($A50,'Data shares'!$C:$FB,62)</f>
        <v>6826250</v>
      </c>
      <c r="N50" s="49">
        <f>VLOOKUP($A50,'Data shares'!$C:$FB,63)</f>
        <v>10334375</v>
      </c>
      <c r="O50" s="140">
        <f>VLOOKUP($A50,'Data shares'!$C:$FB,65)*100</f>
        <v>-33.950000000000003</v>
      </c>
    </row>
    <row r="51" spans="1:15" x14ac:dyDescent="0.25">
      <c r="A51" s="101" t="str">
        <f>'Data Vlaue (Cr)'!C46</f>
        <v>CIPLA</v>
      </c>
      <c r="B51" s="50">
        <f>VLOOKUP($A51,'Data shares'!$C:$FB,7)</f>
        <v>1335</v>
      </c>
      <c r="C51" s="50">
        <f>VLOOKUP($A51,'Data shares'!$C:$FB,10)*100</f>
        <v>1.94</v>
      </c>
      <c r="D51" s="49">
        <f>VLOOKUP($A51,'Data shares'!$C:$FB,66)</f>
        <v>7922250</v>
      </c>
      <c r="E51" s="49">
        <f>VLOOKUP($A51,'Data shares'!$C:$FB,67)</f>
        <v>8103750</v>
      </c>
      <c r="F51" s="50">
        <f>VLOOKUP($A51,'Data shares'!$C:$FB,69)*100</f>
        <v>-2.2399999999999998</v>
      </c>
      <c r="G51" s="49">
        <f>VLOOKUP($A51,'Data shares'!$C:$FB,42)</f>
        <v>1289625</v>
      </c>
      <c r="H51" s="49">
        <f>VLOOKUP($A51,'Data shares'!$C:$FB,43)</f>
        <v>1402500</v>
      </c>
      <c r="I51" s="50">
        <f>VLOOKUP($A51,'Data shares'!$C:$FB,45)*100</f>
        <v>-8.0500000000000007</v>
      </c>
      <c r="J51" s="49">
        <f>VLOOKUP($A51,'Data shares'!$C:$FB,58)</f>
        <v>4828125</v>
      </c>
      <c r="K51" s="49">
        <f>VLOOKUP($A51,'Data shares'!$C:$FB,59)</f>
        <v>4983000</v>
      </c>
      <c r="L51" s="50">
        <f>VLOOKUP($A51,'Data shares'!$C:$FB,61)*100</f>
        <v>-3.11</v>
      </c>
      <c r="M51" s="49">
        <f>VLOOKUP($A51,'Data shares'!$C:$FB,62)</f>
        <v>1804500</v>
      </c>
      <c r="N51" s="49">
        <f>VLOOKUP($A51,'Data shares'!$C:$FB,63)</f>
        <v>1718250</v>
      </c>
      <c r="O51" s="140">
        <f>VLOOKUP($A51,'Data shares'!$C:$FB,65)*100</f>
        <v>5.0200000000000005</v>
      </c>
    </row>
    <row r="52" spans="1:15" x14ac:dyDescent="0.25">
      <c r="A52" s="101" t="str">
        <f>'Data Vlaue (Cr)'!C47</f>
        <v>COALINDIA</v>
      </c>
      <c r="B52" s="50">
        <f>VLOOKUP($A52,'Data shares'!$C:$FB,7)</f>
        <v>479.95</v>
      </c>
      <c r="C52" s="50">
        <f>VLOOKUP($A52,'Data shares'!$C:$FB,10)*100</f>
        <v>-0.31</v>
      </c>
      <c r="D52" s="49">
        <f>VLOOKUP($A52,'Data shares'!$C:$FB,66)</f>
        <v>55987200</v>
      </c>
      <c r="E52" s="49">
        <f>VLOOKUP($A52,'Data shares'!$C:$FB,67)</f>
        <v>114018300</v>
      </c>
      <c r="F52" s="50">
        <f>VLOOKUP($A52,'Data shares'!$C:$FB,69)*100</f>
        <v>-50.9</v>
      </c>
      <c r="G52" s="49">
        <f>VLOOKUP($A52,'Data shares'!$C:$FB,42)</f>
        <v>7788150</v>
      </c>
      <c r="H52" s="49">
        <f>VLOOKUP($A52,'Data shares'!$C:$FB,43)</f>
        <v>13695750</v>
      </c>
      <c r="I52" s="50">
        <f>VLOOKUP($A52,'Data shares'!$C:$FB,45)*100</f>
        <v>-43.13</v>
      </c>
      <c r="J52" s="49">
        <f>VLOOKUP($A52,'Data shares'!$C:$FB,58)</f>
        <v>28115100</v>
      </c>
      <c r="K52" s="49">
        <f>VLOOKUP($A52,'Data shares'!$C:$FB,59)</f>
        <v>68921550</v>
      </c>
      <c r="L52" s="50">
        <f>VLOOKUP($A52,'Data shares'!$C:$FB,61)*100</f>
        <v>-59.209999999999994</v>
      </c>
      <c r="M52" s="49">
        <f>VLOOKUP($A52,'Data shares'!$C:$FB,62)</f>
        <v>20083950</v>
      </c>
      <c r="N52" s="49">
        <f>VLOOKUP($A52,'Data shares'!$C:$FB,63)</f>
        <v>31401000</v>
      </c>
      <c r="O52" s="140">
        <f>VLOOKUP($A52,'Data shares'!$C:$FB,65)*100</f>
        <v>-36.04</v>
      </c>
    </row>
    <row r="53" spans="1:15" x14ac:dyDescent="0.25">
      <c r="A53" s="101" t="str">
        <f>'Data Vlaue (Cr)'!C48</f>
        <v>COCHINSHIP</v>
      </c>
      <c r="B53" s="50">
        <f>VLOOKUP($A53,'Data shares'!$C:$FB,7)</f>
        <v>1719.3</v>
      </c>
      <c r="C53" s="50">
        <f>VLOOKUP($A53,'Data shares'!$C:$FB,10)*100</f>
        <v>-0.80999999999999994</v>
      </c>
      <c r="D53" s="49">
        <f>VLOOKUP($A53,'Data shares'!$C:$FB,66)</f>
        <v>2592000</v>
      </c>
      <c r="E53" s="49">
        <f>VLOOKUP($A53,'Data shares'!$C:$FB,67)</f>
        <v>2644800</v>
      </c>
      <c r="F53" s="50">
        <f>VLOOKUP($A53,'Data shares'!$C:$FB,69)*100</f>
        <v>-2</v>
      </c>
      <c r="G53" s="49">
        <f>VLOOKUP($A53,'Data shares'!$C:$FB,42)</f>
        <v>905200</v>
      </c>
      <c r="H53" s="49">
        <f>VLOOKUP($A53,'Data shares'!$C:$FB,43)</f>
        <v>824000</v>
      </c>
      <c r="I53" s="50">
        <f>VLOOKUP($A53,'Data shares'!$C:$FB,45)*100</f>
        <v>9.85</v>
      </c>
      <c r="J53" s="49">
        <f>VLOOKUP($A53,'Data shares'!$C:$FB,58)</f>
        <v>1218800</v>
      </c>
      <c r="K53" s="49">
        <f>VLOOKUP($A53,'Data shares'!$C:$FB,59)</f>
        <v>1144400</v>
      </c>
      <c r="L53" s="50">
        <f>VLOOKUP($A53,'Data shares'!$C:$FB,61)*100</f>
        <v>6.5</v>
      </c>
      <c r="M53" s="49">
        <f>VLOOKUP($A53,'Data shares'!$C:$FB,62)</f>
        <v>468000</v>
      </c>
      <c r="N53" s="49">
        <f>VLOOKUP($A53,'Data shares'!$C:$FB,63)</f>
        <v>676400</v>
      </c>
      <c r="O53" s="140">
        <f>VLOOKUP($A53,'Data shares'!$C:$FB,65)*100</f>
        <v>-30.81</v>
      </c>
    </row>
    <row r="54" spans="1:15" x14ac:dyDescent="0.25">
      <c r="A54" s="101" t="str">
        <f>'Data Vlaue (Cr)'!C49</f>
        <v>COFORGE</v>
      </c>
      <c r="B54" s="50">
        <f>VLOOKUP($A54,'Data shares'!$C:$FB,7)</f>
        <v>1151.5999999999999</v>
      </c>
      <c r="C54" s="50">
        <f>VLOOKUP($A54,'Data shares'!$C:$FB,10)*100</f>
        <v>-3.6999999999999997</v>
      </c>
      <c r="D54" s="49">
        <f>VLOOKUP($A54,'Data shares'!$C:$FB,66)</f>
        <v>17319000</v>
      </c>
      <c r="E54" s="49">
        <f>VLOOKUP($A54,'Data shares'!$C:$FB,67)</f>
        <v>7097625</v>
      </c>
      <c r="F54" s="50">
        <f>VLOOKUP($A54,'Data shares'!$C:$FB,69)*100</f>
        <v>144.01</v>
      </c>
      <c r="G54" s="49">
        <f>VLOOKUP($A54,'Data shares'!$C:$FB,42)</f>
        <v>2462625</v>
      </c>
      <c r="H54" s="49">
        <f>VLOOKUP($A54,'Data shares'!$C:$FB,43)</f>
        <v>2136750</v>
      </c>
      <c r="I54" s="50">
        <f>VLOOKUP($A54,'Data shares'!$C:$FB,45)*100</f>
        <v>15.25</v>
      </c>
      <c r="J54" s="49">
        <f>VLOOKUP($A54,'Data shares'!$C:$FB,58)</f>
        <v>9411375</v>
      </c>
      <c r="K54" s="49">
        <f>VLOOKUP($A54,'Data shares'!$C:$FB,59)</f>
        <v>2689500</v>
      </c>
      <c r="L54" s="50">
        <f>VLOOKUP($A54,'Data shares'!$C:$FB,61)*100</f>
        <v>249.92999999999998</v>
      </c>
      <c r="M54" s="49">
        <f>VLOOKUP($A54,'Data shares'!$C:$FB,62)</f>
        <v>5445000</v>
      </c>
      <c r="N54" s="49">
        <f>VLOOKUP($A54,'Data shares'!$C:$FB,63)</f>
        <v>2271375</v>
      </c>
      <c r="O54" s="140">
        <f>VLOOKUP($A54,'Data shares'!$C:$FB,65)*100</f>
        <v>139.72</v>
      </c>
    </row>
    <row r="55" spans="1:15" x14ac:dyDescent="0.25">
      <c r="A55" s="101" t="str">
        <f>'Data Vlaue (Cr)'!C50</f>
        <v>COLPAL</v>
      </c>
      <c r="B55" s="50">
        <f>VLOOKUP($A55,'Data shares'!$C:$FB,7)</f>
        <v>2172.9</v>
      </c>
      <c r="C55" s="50">
        <f>VLOOKUP($A55,'Data shares'!$C:$FB,10)*100</f>
        <v>3.66</v>
      </c>
      <c r="D55" s="49">
        <f>VLOOKUP($A55,'Data shares'!$C:$FB,66)</f>
        <v>4697550</v>
      </c>
      <c r="E55" s="49">
        <f>VLOOKUP($A55,'Data shares'!$C:$FB,67)</f>
        <v>3207825</v>
      </c>
      <c r="F55" s="50">
        <f>VLOOKUP($A55,'Data shares'!$C:$FB,69)*100</f>
        <v>46.44</v>
      </c>
      <c r="G55" s="49">
        <f>VLOOKUP($A55,'Data shares'!$C:$FB,42)</f>
        <v>1221525</v>
      </c>
      <c r="H55" s="49">
        <f>VLOOKUP($A55,'Data shares'!$C:$FB,43)</f>
        <v>842400</v>
      </c>
      <c r="I55" s="50">
        <f>VLOOKUP($A55,'Data shares'!$C:$FB,45)*100</f>
        <v>45.01</v>
      </c>
      <c r="J55" s="49">
        <f>VLOOKUP($A55,'Data shares'!$C:$FB,58)</f>
        <v>2652525</v>
      </c>
      <c r="K55" s="49">
        <f>VLOOKUP($A55,'Data shares'!$C:$FB,59)</f>
        <v>1287675</v>
      </c>
      <c r="L55" s="50">
        <f>VLOOKUP($A55,'Data shares'!$C:$FB,61)*100</f>
        <v>105.99000000000001</v>
      </c>
      <c r="M55" s="49">
        <f>VLOOKUP($A55,'Data shares'!$C:$FB,62)</f>
        <v>823500</v>
      </c>
      <c r="N55" s="49">
        <f>VLOOKUP($A55,'Data shares'!$C:$FB,63)</f>
        <v>1077750</v>
      </c>
      <c r="O55" s="140">
        <f>VLOOKUP($A55,'Data shares'!$C:$FB,65)*100</f>
        <v>-23.59</v>
      </c>
    </row>
    <row r="56" spans="1:15" x14ac:dyDescent="0.25">
      <c r="A56" s="101" t="str">
        <f>'Data Vlaue (Cr)'!C51</f>
        <v>CONCOR</v>
      </c>
      <c r="B56" s="50">
        <f>VLOOKUP($A56,'Data shares'!$C:$FB,7)</f>
        <v>516.35</v>
      </c>
      <c r="C56" s="50">
        <f>VLOOKUP($A56,'Data shares'!$C:$FB,10)*100</f>
        <v>1.47</v>
      </c>
      <c r="D56" s="49">
        <f>VLOOKUP($A56,'Data shares'!$C:$FB,66)</f>
        <v>5277500</v>
      </c>
      <c r="E56" s="49">
        <f>VLOOKUP($A56,'Data shares'!$C:$FB,67)</f>
        <v>4441250</v>
      </c>
      <c r="F56" s="50">
        <f>VLOOKUP($A56,'Data shares'!$C:$FB,69)*100</f>
        <v>18.829999999999998</v>
      </c>
      <c r="G56" s="49">
        <f>VLOOKUP($A56,'Data shares'!$C:$FB,42)</f>
        <v>1243750</v>
      </c>
      <c r="H56" s="49">
        <f>VLOOKUP($A56,'Data shares'!$C:$FB,43)</f>
        <v>1228750</v>
      </c>
      <c r="I56" s="50">
        <f>VLOOKUP($A56,'Data shares'!$C:$FB,45)*100</f>
        <v>1.22</v>
      </c>
      <c r="J56" s="49">
        <f>VLOOKUP($A56,'Data shares'!$C:$FB,58)</f>
        <v>3023750</v>
      </c>
      <c r="K56" s="49">
        <f>VLOOKUP($A56,'Data shares'!$C:$FB,59)</f>
        <v>2252500</v>
      </c>
      <c r="L56" s="50">
        <f>VLOOKUP($A56,'Data shares'!$C:$FB,61)*100</f>
        <v>34.239999999999995</v>
      </c>
      <c r="M56" s="49">
        <f>VLOOKUP($A56,'Data shares'!$C:$FB,62)</f>
        <v>1010000</v>
      </c>
      <c r="N56" s="49">
        <f>VLOOKUP($A56,'Data shares'!$C:$FB,63)</f>
        <v>960000</v>
      </c>
      <c r="O56" s="140">
        <f>VLOOKUP($A56,'Data shares'!$C:$FB,65)*100</f>
        <v>5.21</v>
      </c>
    </row>
    <row r="57" spans="1:15" x14ac:dyDescent="0.25">
      <c r="A57" s="101" t="str">
        <f>'Data Vlaue (Cr)'!C52</f>
        <v>CROMPTON</v>
      </c>
      <c r="B57" s="50">
        <f>VLOOKUP($A57,'Data shares'!$C:$FB,7)</f>
        <v>277.95</v>
      </c>
      <c r="C57" s="50">
        <f>VLOOKUP($A57,'Data shares'!$C:$FB,10)*100</f>
        <v>2.0500000000000003</v>
      </c>
      <c r="D57" s="49">
        <f>VLOOKUP($A57,'Data shares'!$C:$FB,66)</f>
        <v>31982400</v>
      </c>
      <c r="E57" s="49">
        <f>VLOOKUP($A57,'Data shares'!$C:$FB,67)</f>
        <v>35105400</v>
      </c>
      <c r="F57" s="50">
        <f>VLOOKUP($A57,'Data shares'!$C:$FB,69)*100</f>
        <v>-8.9</v>
      </c>
      <c r="G57" s="49">
        <f>VLOOKUP($A57,'Data shares'!$C:$FB,42)</f>
        <v>10485000</v>
      </c>
      <c r="H57" s="49">
        <f>VLOOKUP($A57,'Data shares'!$C:$FB,43)</f>
        <v>11318400</v>
      </c>
      <c r="I57" s="50">
        <f>VLOOKUP($A57,'Data shares'!$C:$FB,45)*100</f>
        <v>-7.3599999999999994</v>
      </c>
      <c r="J57" s="49">
        <f>VLOOKUP($A57,'Data shares'!$C:$FB,58)</f>
        <v>14871600</v>
      </c>
      <c r="K57" s="49">
        <f>VLOOKUP($A57,'Data shares'!$C:$FB,59)</f>
        <v>15989400</v>
      </c>
      <c r="L57" s="50">
        <f>VLOOKUP($A57,'Data shares'!$C:$FB,61)*100</f>
        <v>-6.99</v>
      </c>
      <c r="M57" s="49">
        <f>VLOOKUP($A57,'Data shares'!$C:$FB,62)</f>
        <v>6625800</v>
      </c>
      <c r="N57" s="49">
        <f>VLOOKUP($A57,'Data shares'!$C:$FB,63)</f>
        <v>7797600</v>
      </c>
      <c r="O57" s="140">
        <f>VLOOKUP($A57,'Data shares'!$C:$FB,65)*100</f>
        <v>-15.03</v>
      </c>
    </row>
    <row r="58" spans="1:15" x14ac:dyDescent="0.25">
      <c r="A58" s="101" t="str">
        <f>'Data Vlaue (Cr)'!C53</f>
        <v>CUMMINSIND</v>
      </c>
      <c r="B58" s="50">
        <f>VLOOKUP($A58,'Data shares'!$C:$FB,7)</f>
        <v>5289</v>
      </c>
      <c r="C58" s="50">
        <f>VLOOKUP($A58,'Data shares'!$C:$FB,10)*100</f>
        <v>0.43</v>
      </c>
      <c r="D58" s="49">
        <f>VLOOKUP($A58,'Data shares'!$C:$FB,66)</f>
        <v>1742600</v>
      </c>
      <c r="E58" s="49">
        <f>VLOOKUP($A58,'Data shares'!$C:$FB,67)</f>
        <v>1617800</v>
      </c>
      <c r="F58" s="50">
        <f>VLOOKUP($A58,'Data shares'!$C:$FB,69)*100</f>
        <v>7.71</v>
      </c>
      <c r="G58" s="49">
        <f>VLOOKUP($A58,'Data shares'!$C:$FB,42)</f>
        <v>604600</v>
      </c>
      <c r="H58" s="49">
        <f>VLOOKUP($A58,'Data shares'!$C:$FB,43)</f>
        <v>509200</v>
      </c>
      <c r="I58" s="50">
        <f>VLOOKUP($A58,'Data shares'!$C:$FB,45)*100</f>
        <v>18.740000000000002</v>
      </c>
      <c r="J58" s="49">
        <f>VLOOKUP($A58,'Data shares'!$C:$FB,58)</f>
        <v>825400</v>
      </c>
      <c r="K58" s="49">
        <f>VLOOKUP($A58,'Data shares'!$C:$FB,59)</f>
        <v>608000</v>
      </c>
      <c r="L58" s="50">
        <f>VLOOKUP($A58,'Data shares'!$C:$FB,61)*100</f>
        <v>35.76</v>
      </c>
      <c r="M58" s="49">
        <f>VLOOKUP($A58,'Data shares'!$C:$FB,62)</f>
        <v>312600</v>
      </c>
      <c r="N58" s="49">
        <f>VLOOKUP($A58,'Data shares'!$C:$FB,63)</f>
        <v>500600</v>
      </c>
      <c r="O58" s="140">
        <f>VLOOKUP($A58,'Data shares'!$C:$FB,65)*100</f>
        <v>-37.549999999999997</v>
      </c>
    </row>
    <row r="59" spans="1:15" x14ac:dyDescent="0.25">
      <c r="A59" s="101" t="str">
        <f>'Data Vlaue (Cr)'!C54</f>
        <v>DABUR</v>
      </c>
      <c r="B59" s="50">
        <f>VLOOKUP($A59,'Data shares'!$C:$FB,7)</f>
        <v>445.65</v>
      </c>
      <c r="C59" s="50">
        <f>VLOOKUP($A59,'Data shares'!$C:$FB,10)*100</f>
        <v>0.94000000000000006</v>
      </c>
      <c r="D59" s="49">
        <f>VLOOKUP($A59,'Data shares'!$C:$FB,66)</f>
        <v>9500000</v>
      </c>
      <c r="E59" s="49">
        <f>VLOOKUP($A59,'Data shares'!$C:$FB,67)</f>
        <v>14963750</v>
      </c>
      <c r="F59" s="50">
        <f>VLOOKUP($A59,'Data shares'!$C:$FB,69)*100</f>
        <v>-36.51</v>
      </c>
      <c r="G59" s="49">
        <f>VLOOKUP($A59,'Data shares'!$C:$FB,42)</f>
        <v>2066250</v>
      </c>
      <c r="H59" s="49">
        <f>VLOOKUP($A59,'Data shares'!$C:$FB,43)</f>
        <v>3356250</v>
      </c>
      <c r="I59" s="50">
        <f>VLOOKUP($A59,'Data shares'!$C:$FB,45)*100</f>
        <v>-38.440000000000005</v>
      </c>
      <c r="J59" s="49">
        <f>VLOOKUP($A59,'Data shares'!$C:$FB,58)</f>
        <v>5232500</v>
      </c>
      <c r="K59" s="49">
        <f>VLOOKUP($A59,'Data shares'!$C:$FB,59)</f>
        <v>7775000</v>
      </c>
      <c r="L59" s="50">
        <f>VLOOKUP($A59,'Data shares'!$C:$FB,61)*100</f>
        <v>-32.700000000000003</v>
      </c>
      <c r="M59" s="49">
        <f>VLOOKUP($A59,'Data shares'!$C:$FB,62)</f>
        <v>2201250</v>
      </c>
      <c r="N59" s="49">
        <f>VLOOKUP($A59,'Data shares'!$C:$FB,63)</f>
        <v>3832500</v>
      </c>
      <c r="O59" s="140">
        <f>VLOOKUP($A59,'Data shares'!$C:$FB,65)*100</f>
        <v>-42.559999999999995</v>
      </c>
    </row>
    <row r="60" spans="1:15" x14ac:dyDescent="0.25">
      <c r="A60" s="101" t="str">
        <f>'Data Vlaue (Cr)'!C55</f>
        <v>DALBHARAT</v>
      </c>
      <c r="B60" s="50">
        <f>VLOOKUP($A60,'Data shares'!$C:$FB,7)</f>
        <v>1983.3</v>
      </c>
      <c r="C60" s="50">
        <f>VLOOKUP($A60,'Data shares'!$C:$FB,10)*100</f>
        <v>4.04</v>
      </c>
      <c r="D60" s="49">
        <f>VLOOKUP($A60,'Data shares'!$C:$FB,66)</f>
        <v>4497350</v>
      </c>
      <c r="E60" s="49">
        <f>VLOOKUP($A60,'Data shares'!$C:$FB,67)</f>
        <v>2571725</v>
      </c>
      <c r="F60" s="50">
        <f>VLOOKUP($A60,'Data shares'!$C:$FB,69)*100</f>
        <v>74.88</v>
      </c>
      <c r="G60" s="49">
        <f>VLOOKUP($A60,'Data shares'!$C:$FB,42)</f>
        <v>1411800</v>
      </c>
      <c r="H60" s="49">
        <f>VLOOKUP($A60,'Data shares'!$C:$FB,43)</f>
        <v>651300</v>
      </c>
      <c r="I60" s="50">
        <f>VLOOKUP($A60,'Data shares'!$C:$FB,45)*100</f>
        <v>116.77</v>
      </c>
      <c r="J60" s="49">
        <f>VLOOKUP($A60,'Data shares'!$C:$FB,58)</f>
        <v>2026700</v>
      </c>
      <c r="K60" s="49">
        <f>VLOOKUP($A60,'Data shares'!$C:$FB,59)</f>
        <v>1064700</v>
      </c>
      <c r="L60" s="50">
        <f>VLOOKUP($A60,'Data shares'!$C:$FB,61)*100</f>
        <v>90.35</v>
      </c>
      <c r="M60" s="49">
        <f>VLOOKUP($A60,'Data shares'!$C:$FB,62)</f>
        <v>1058850</v>
      </c>
      <c r="N60" s="49">
        <f>VLOOKUP($A60,'Data shares'!$C:$FB,63)</f>
        <v>855725</v>
      </c>
      <c r="O60" s="140">
        <f>VLOOKUP($A60,'Data shares'!$C:$FB,65)*100</f>
        <v>23.74</v>
      </c>
    </row>
    <row r="61" spans="1:15" x14ac:dyDescent="0.25">
      <c r="A61" s="101" t="str">
        <f>'Data Vlaue (Cr)'!C56</f>
        <v>DELHIVERY</v>
      </c>
      <c r="B61" s="50">
        <f>VLOOKUP($A61,'Data shares'!$C:$FB,7)</f>
        <v>467.35</v>
      </c>
      <c r="C61" s="50">
        <f>VLOOKUP($A61,'Data shares'!$C:$FB,10)*100</f>
        <v>0.06</v>
      </c>
      <c r="D61" s="49">
        <f>VLOOKUP($A61,'Data shares'!$C:$FB,66)</f>
        <v>10455925</v>
      </c>
      <c r="E61" s="49">
        <f>VLOOKUP($A61,'Data shares'!$C:$FB,67)</f>
        <v>10368775</v>
      </c>
      <c r="F61" s="50">
        <f>VLOOKUP($A61,'Data shares'!$C:$FB,69)*100</f>
        <v>0.84</v>
      </c>
      <c r="G61" s="49">
        <f>VLOOKUP($A61,'Data shares'!$C:$FB,42)</f>
        <v>4029650</v>
      </c>
      <c r="H61" s="49">
        <f>VLOOKUP($A61,'Data shares'!$C:$FB,43)</f>
        <v>3388475</v>
      </c>
      <c r="I61" s="50">
        <f>VLOOKUP($A61,'Data shares'!$C:$FB,45)*100</f>
        <v>18.920000000000002</v>
      </c>
      <c r="J61" s="49">
        <f>VLOOKUP($A61,'Data shares'!$C:$FB,58)</f>
        <v>4840975</v>
      </c>
      <c r="K61" s="49">
        <f>VLOOKUP($A61,'Data shares'!$C:$FB,59)</f>
        <v>4965475</v>
      </c>
      <c r="L61" s="50">
        <f>VLOOKUP($A61,'Data shares'!$C:$FB,61)*100</f>
        <v>-2.5100000000000002</v>
      </c>
      <c r="M61" s="49">
        <f>VLOOKUP($A61,'Data shares'!$C:$FB,62)</f>
        <v>1585300</v>
      </c>
      <c r="N61" s="49">
        <f>VLOOKUP($A61,'Data shares'!$C:$FB,63)</f>
        <v>2014825</v>
      </c>
      <c r="O61" s="140">
        <f>VLOOKUP($A61,'Data shares'!$C:$FB,65)*100</f>
        <v>-21.32</v>
      </c>
    </row>
    <row r="62" spans="1:15" x14ac:dyDescent="0.25">
      <c r="A62" s="101" t="str">
        <f>'Data Vlaue (Cr)'!C57</f>
        <v>DIVISLAB</v>
      </c>
      <c r="B62" s="50">
        <f>VLOOKUP($A62,'Data shares'!$C:$FB,7)</f>
        <v>6619.5</v>
      </c>
      <c r="C62" s="50">
        <f>VLOOKUP($A62,'Data shares'!$C:$FB,10)*100</f>
        <v>1.7999999999999998</v>
      </c>
      <c r="D62" s="49">
        <f>VLOOKUP($A62,'Data shares'!$C:$FB,66)</f>
        <v>1797500</v>
      </c>
      <c r="E62" s="49">
        <f>VLOOKUP($A62,'Data shares'!$C:$FB,67)</f>
        <v>1011500</v>
      </c>
      <c r="F62" s="50">
        <f>VLOOKUP($A62,'Data shares'!$C:$FB,69)*100</f>
        <v>77.710000000000008</v>
      </c>
      <c r="G62" s="49">
        <f>VLOOKUP($A62,'Data shares'!$C:$FB,42)</f>
        <v>238000</v>
      </c>
      <c r="H62" s="49">
        <f>VLOOKUP($A62,'Data shares'!$C:$FB,43)</f>
        <v>198300</v>
      </c>
      <c r="I62" s="50">
        <f>VLOOKUP($A62,'Data shares'!$C:$FB,45)*100</f>
        <v>20.02</v>
      </c>
      <c r="J62" s="49">
        <f>VLOOKUP($A62,'Data shares'!$C:$FB,58)</f>
        <v>1157600</v>
      </c>
      <c r="K62" s="49">
        <f>VLOOKUP($A62,'Data shares'!$C:$FB,59)</f>
        <v>553300</v>
      </c>
      <c r="L62" s="50">
        <f>VLOOKUP($A62,'Data shares'!$C:$FB,61)*100</f>
        <v>109.22</v>
      </c>
      <c r="M62" s="49">
        <f>VLOOKUP($A62,'Data shares'!$C:$FB,62)</f>
        <v>401900</v>
      </c>
      <c r="N62" s="49">
        <f>VLOOKUP($A62,'Data shares'!$C:$FB,63)</f>
        <v>259900</v>
      </c>
      <c r="O62" s="140">
        <f>VLOOKUP($A62,'Data shares'!$C:$FB,65)*100</f>
        <v>54.64</v>
      </c>
    </row>
    <row r="63" spans="1:15" x14ac:dyDescent="0.25">
      <c r="A63" s="101" t="str">
        <f>'Data Vlaue (Cr)'!C58</f>
        <v>DIXON</v>
      </c>
      <c r="B63" s="50">
        <f>VLOOKUP($A63,'Data shares'!$C:$FB,7)</f>
        <v>11408</v>
      </c>
      <c r="C63" s="50">
        <f>VLOOKUP($A63,'Data shares'!$C:$FB,10)*100</f>
        <v>2.16</v>
      </c>
      <c r="D63" s="49">
        <f>VLOOKUP($A63,'Data shares'!$C:$FB,66)</f>
        <v>2108950</v>
      </c>
      <c r="E63" s="49">
        <f>VLOOKUP($A63,'Data shares'!$C:$FB,67)</f>
        <v>2589450</v>
      </c>
      <c r="F63" s="50">
        <f>VLOOKUP($A63,'Data shares'!$C:$FB,69)*100</f>
        <v>-18.559999999999999</v>
      </c>
      <c r="G63" s="49">
        <f>VLOOKUP($A63,'Data shares'!$C:$FB,42)</f>
        <v>507000</v>
      </c>
      <c r="H63" s="49">
        <f>VLOOKUP($A63,'Data shares'!$C:$FB,43)</f>
        <v>630750</v>
      </c>
      <c r="I63" s="50">
        <f>VLOOKUP($A63,'Data shares'!$C:$FB,45)*100</f>
        <v>-19.62</v>
      </c>
      <c r="J63" s="49">
        <f>VLOOKUP($A63,'Data shares'!$C:$FB,58)</f>
        <v>922850</v>
      </c>
      <c r="K63" s="49">
        <f>VLOOKUP($A63,'Data shares'!$C:$FB,59)</f>
        <v>1173300</v>
      </c>
      <c r="L63" s="50">
        <f>VLOOKUP($A63,'Data shares'!$C:$FB,61)*100</f>
        <v>-21.349999999999998</v>
      </c>
      <c r="M63" s="49">
        <f>VLOOKUP($A63,'Data shares'!$C:$FB,62)</f>
        <v>679100</v>
      </c>
      <c r="N63" s="49">
        <f>VLOOKUP($A63,'Data shares'!$C:$FB,63)</f>
        <v>785400</v>
      </c>
      <c r="O63" s="140">
        <f>VLOOKUP($A63,'Data shares'!$C:$FB,65)*100</f>
        <v>-13.530000000000001</v>
      </c>
    </row>
    <row r="64" spans="1:15" x14ac:dyDescent="0.25">
      <c r="A64" s="101" t="str">
        <f>'Data Vlaue (Cr)'!C59</f>
        <v>DLF</v>
      </c>
      <c r="B64" s="50">
        <f>VLOOKUP($A64,'Data shares'!$C:$FB,7)</f>
        <v>607.20000000000005</v>
      </c>
      <c r="C64" s="50">
        <f>VLOOKUP($A64,'Data shares'!$C:$FB,10)*100</f>
        <v>3.44</v>
      </c>
      <c r="D64" s="49">
        <f>VLOOKUP($A64,'Data shares'!$C:$FB,66)</f>
        <v>21579525</v>
      </c>
      <c r="E64" s="49">
        <f>VLOOKUP($A64,'Data shares'!$C:$FB,67)</f>
        <v>17027175</v>
      </c>
      <c r="F64" s="50">
        <f>VLOOKUP($A64,'Data shares'!$C:$FB,69)*100</f>
        <v>26.740000000000002</v>
      </c>
      <c r="G64" s="49">
        <f>VLOOKUP($A64,'Data shares'!$C:$FB,42)</f>
        <v>5181825</v>
      </c>
      <c r="H64" s="49">
        <f>VLOOKUP($A64,'Data shares'!$C:$FB,43)</f>
        <v>4138200</v>
      </c>
      <c r="I64" s="50">
        <f>VLOOKUP($A64,'Data shares'!$C:$FB,45)*100</f>
        <v>25.22</v>
      </c>
      <c r="J64" s="49">
        <f>VLOOKUP($A64,'Data shares'!$C:$FB,58)</f>
        <v>11549175</v>
      </c>
      <c r="K64" s="49">
        <f>VLOOKUP($A64,'Data shares'!$C:$FB,59)</f>
        <v>5560500</v>
      </c>
      <c r="L64" s="50">
        <f>VLOOKUP($A64,'Data shares'!$C:$FB,61)*100</f>
        <v>107.69999999999999</v>
      </c>
      <c r="M64" s="49">
        <f>VLOOKUP($A64,'Data shares'!$C:$FB,62)</f>
        <v>4848525</v>
      </c>
      <c r="N64" s="49">
        <f>VLOOKUP($A64,'Data shares'!$C:$FB,63)</f>
        <v>7328475</v>
      </c>
      <c r="O64" s="140">
        <f>VLOOKUP($A64,'Data shares'!$C:$FB,65)*100</f>
        <v>-33.839999999999996</v>
      </c>
    </row>
    <row r="65" spans="1:15" x14ac:dyDescent="0.25">
      <c r="A65" s="101" t="str">
        <f>'Data Vlaue (Cr)'!C60</f>
        <v>DMART</v>
      </c>
      <c r="B65" s="50">
        <f>VLOOKUP($A65,'Data shares'!$C:$FB,7)</f>
        <v>4376.5</v>
      </c>
      <c r="C65" s="50">
        <f>VLOOKUP($A65,'Data shares'!$C:$FB,10)*100</f>
        <v>-4.5699999999999994</v>
      </c>
      <c r="D65" s="49">
        <f>VLOOKUP($A65,'Data shares'!$C:$FB,66)</f>
        <v>14011950</v>
      </c>
      <c r="E65" s="49">
        <f>VLOOKUP($A65,'Data shares'!$C:$FB,67)</f>
        <v>2642100</v>
      </c>
      <c r="F65" s="50">
        <f>VLOOKUP($A65,'Data shares'!$C:$FB,69)*100</f>
        <v>430.33000000000004</v>
      </c>
      <c r="G65" s="49">
        <f>VLOOKUP($A65,'Data shares'!$C:$FB,42)</f>
        <v>1885050</v>
      </c>
      <c r="H65" s="49">
        <f>VLOOKUP($A65,'Data shares'!$C:$FB,43)</f>
        <v>522300</v>
      </c>
      <c r="I65" s="50">
        <f>VLOOKUP($A65,'Data shares'!$C:$FB,45)*100</f>
        <v>260.91000000000003</v>
      </c>
      <c r="J65" s="49">
        <f>VLOOKUP($A65,'Data shares'!$C:$FB,58)</f>
        <v>8131800</v>
      </c>
      <c r="K65" s="49">
        <f>VLOOKUP($A65,'Data shares'!$C:$FB,59)</f>
        <v>1359450</v>
      </c>
      <c r="L65" s="50">
        <f>VLOOKUP($A65,'Data shares'!$C:$FB,61)*100</f>
        <v>498.17</v>
      </c>
      <c r="M65" s="49">
        <f>VLOOKUP($A65,'Data shares'!$C:$FB,62)</f>
        <v>3995100</v>
      </c>
      <c r="N65" s="49">
        <f>VLOOKUP($A65,'Data shares'!$C:$FB,63)</f>
        <v>760350</v>
      </c>
      <c r="O65" s="140">
        <f>VLOOKUP($A65,'Data shares'!$C:$FB,65)*100</f>
        <v>425.42999999999995</v>
      </c>
    </row>
    <row r="66" spans="1:15" x14ac:dyDescent="0.25">
      <c r="A66" s="101" t="str">
        <f>'Data Vlaue (Cr)'!C61</f>
        <v>DRREDDY</v>
      </c>
      <c r="B66" s="50">
        <f>VLOOKUP($A66,'Data shares'!$C:$FB,7)</f>
        <v>1287.2</v>
      </c>
      <c r="C66" s="50">
        <f>VLOOKUP($A66,'Data shares'!$C:$FB,10)*100</f>
        <v>-2.7</v>
      </c>
      <c r="D66" s="49">
        <f>VLOOKUP($A66,'Data shares'!$C:$FB,66)</f>
        <v>22251875</v>
      </c>
      <c r="E66" s="49">
        <f>VLOOKUP($A66,'Data shares'!$C:$FB,67)</f>
        <v>14028125</v>
      </c>
      <c r="F66" s="50">
        <f>VLOOKUP($A66,'Data shares'!$C:$FB,69)*100</f>
        <v>58.620000000000005</v>
      </c>
      <c r="G66" s="49">
        <f>VLOOKUP($A66,'Data shares'!$C:$FB,42)</f>
        <v>4645625</v>
      </c>
      <c r="H66" s="49">
        <f>VLOOKUP($A66,'Data shares'!$C:$FB,43)</f>
        <v>2700000</v>
      </c>
      <c r="I66" s="50">
        <f>VLOOKUP($A66,'Data shares'!$C:$FB,45)*100</f>
        <v>72.06</v>
      </c>
      <c r="J66" s="49">
        <f>VLOOKUP($A66,'Data shares'!$C:$FB,58)</f>
        <v>11028125</v>
      </c>
      <c r="K66" s="49">
        <f>VLOOKUP($A66,'Data shares'!$C:$FB,59)</f>
        <v>6738750</v>
      </c>
      <c r="L66" s="50">
        <f>VLOOKUP($A66,'Data shares'!$C:$FB,61)*100</f>
        <v>63.65</v>
      </c>
      <c r="M66" s="49">
        <f>VLOOKUP($A66,'Data shares'!$C:$FB,62)</f>
        <v>6578125</v>
      </c>
      <c r="N66" s="49">
        <f>VLOOKUP($A66,'Data shares'!$C:$FB,63)</f>
        <v>4589375</v>
      </c>
      <c r="O66" s="140">
        <f>VLOOKUP($A66,'Data shares'!$C:$FB,65)*100</f>
        <v>43.33</v>
      </c>
    </row>
    <row r="67" spans="1:15" x14ac:dyDescent="0.25">
      <c r="A67" s="101" t="str">
        <f>'Data Vlaue (Cr)'!C62</f>
        <v>EICHERMOT</v>
      </c>
      <c r="B67" s="50">
        <f>VLOOKUP($A67,'Data shares'!$C:$FB,7)</f>
        <v>7329</v>
      </c>
      <c r="C67" s="50">
        <f>VLOOKUP($A67,'Data shares'!$C:$FB,10)*100</f>
        <v>3.09</v>
      </c>
      <c r="D67" s="49">
        <f>VLOOKUP($A67,'Data shares'!$C:$FB,66)</f>
        <v>3789700</v>
      </c>
      <c r="E67" s="49">
        <f>VLOOKUP($A67,'Data shares'!$C:$FB,67)</f>
        <v>2571400</v>
      </c>
      <c r="F67" s="50">
        <f>VLOOKUP($A67,'Data shares'!$C:$FB,69)*100</f>
        <v>47.38</v>
      </c>
      <c r="G67" s="49">
        <f>VLOOKUP($A67,'Data shares'!$C:$FB,42)</f>
        <v>793200</v>
      </c>
      <c r="H67" s="49">
        <f>VLOOKUP($A67,'Data shares'!$C:$FB,43)</f>
        <v>525600</v>
      </c>
      <c r="I67" s="50">
        <f>VLOOKUP($A67,'Data shares'!$C:$FB,45)*100</f>
        <v>50.91</v>
      </c>
      <c r="J67" s="49">
        <f>VLOOKUP($A67,'Data shares'!$C:$FB,58)</f>
        <v>2234500</v>
      </c>
      <c r="K67" s="49">
        <f>VLOOKUP($A67,'Data shares'!$C:$FB,59)</f>
        <v>1061000</v>
      </c>
      <c r="L67" s="50">
        <f>VLOOKUP($A67,'Data shares'!$C:$FB,61)*100</f>
        <v>110.60000000000001</v>
      </c>
      <c r="M67" s="49">
        <f>VLOOKUP($A67,'Data shares'!$C:$FB,62)</f>
        <v>762000</v>
      </c>
      <c r="N67" s="49">
        <f>VLOOKUP($A67,'Data shares'!$C:$FB,63)</f>
        <v>984800</v>
      </c>
      <c r="O67" s="140">
        <f>VLOOKUP($A67,'Data shares'!$C:$FB,65)*100</f>
        <v>-22.62</v>
      </c>
    </row>
    <row r="68" spans="1:15" x14ac:dyDescent="0.25">
      <c r="A68" s="101" t="str">
        <f>'Data Vlaue (Cr)'!C63</f>
        <v>ETERNAL</v>
      </c>
      <c r="B68" s="50">
        <f>VLOOKUP($A68,'Data shares'!$C:$FB,7)</f>
        <v>251.9</v>
      </c>
      <c r="C68" s="50">
        <f>VLOOKUP($A68,'Data shares'!$C:$FB,10)*100</f>
        <v>1.97</v>
      </c>
      <c r="D68" s="49">
        <f>VLOOKUP($A68,'Data shares'!$C:$FB,66)</f>
        <v>175819775</v>
      </c>
      <c r="E68" s="49">
        <f>VLOOKUP($A68,'Data shares'!$C:$FB,67)</f>
        <v>269645450</v>
      </c>
      <c r="F68" s="50">
        <f>VLOOKUP($A68,'Data shares'!$C:$FB,69)*100</f>
        <v>-34.799999999999997</v>
      </c>
      <c r="G68" s="49">
        <f>VLOOKUP($A68,'Data shares'!$C:$FB,42)</f>
        <v>31134575</v>
      </c>
      <c r="H68" s="49">
        <f>VLOOKUP($A68,'Data shares'!$C:$FB,43)</f>
        <v>46768550</v>
      </c>
      <c r="I68" s="50">
        <f>VLOOKUP($A68,'Data shares'!$C:$FB,45)*100</f>
        <v>-33.43</v>
      </c>
      <c r="J68" s="49">
        <f>VLOOKUP($A68,'Data shares'!$C:$FB,58)</f>
        <v>95933000</v>
      </c>
      <c r="K68" s="49">
        <f>VLOOKUP($A68,'Data shares'!$C:$FB,59)</f>
        <v>143916475</v>
      </c>
      <c r="L68" s="50">
        <f>VLOOKUP($A68,'Data shares'!$C:$FB,61)*100</f>
        <v>-33.339999999999996</v>
      </c>
      <c r="M68" s="49">
        <f>VLOOKUP($A68,'Data shares'!$C:$FB,62)</f>
        <v>48752200</v>
      </c>
      <c r="N68" s="49">
        <f>VLOOKUP($A68,'Data shares'!$C:$FB,63)</f>
        <v>78960425</v>
      </c>
      <c r="O68" s="140">
        <f>VLOOKUP($A68,'Data shares'!$C:$FB,65)*100</f>
        <v>-38.26</v>
      </c>
    </row>
    <row r="69" spans="1:15" x14ac:dyDescent="0.25">
      <c r="A69" s="101" t="str">
        <f>'Data Vlaue (Cr)'!C64</f>
        <v>EXIDEIND</v>
      </c>
      <c r="B69" s="50">
        <f>VLOOKUP($A69,'Data shares'!$C:$FB,7)</f>
        <v>359.05</v>
      </c>
      <c r="C69" s="50">
        <f>VLOOKUP($A69,'Data shares'!$C:$FB,10)*100</f>
        <v>-0.42</v>
      </c>
      <c r="D69" s="49">
        <f>VLOOKUP($A69,'Data shares'!$C:$FB,66)</f>
        <v>114042600</v>
      </c>
      <c r="E69" s="49">
        <f>VLOOKUP($A69,'Data shares'!$C:$FB,67)</f>
        <v>15375600</v>
      </c>
      <c r="F69" s="50">
        <f>VLOOKUP($A69,'Data shares'!$C:$FB,69)*100</f>
        <v>641.70999999999992</v>
      </c>
      <c r="G69" s="49">
        <f>VLOOKUP($A69,'Data shares'!$C:$FB,42)</f>
        <v>20982600</v>
      </c>
      <c r="H69" s="49">
        <f>VLOOKUP($A69,'Data shares'!$C:$FB,43)</f>
        <v>4064400</v>
      </c>
      <c r="I69" s="50">
        <f>VLOOKUP($A69,'Data shares'!$C:$FB,45)*100</f>
        <v>416.24999999999994</v>
      </c>
      <c r="J69" s="49">
        <f>VLOOKUP($A69,'Data shares'!$C:$FB,58)</f>
        <v>62591400</v>
      </c>
      <c r="K69" s="49">
        <f>VLOOKUP($A69,'Data shares'!$C:$FB,59)</f>
        <v>7718400</v>
      </c>
      <c r="L69" s="50">
        <f>VLOOKUP($A69,'Data shares'!$C:$FB,61)*100</f>
        <v>710.93999999999994</v>
      </c>
      <c r="M69" s="49">
        <f>VLOOKUP($A69,'Data shares'!$C:$FB,62)</f>
        <v>30468600</v>
      </c>
      <c r="N69" s="49">
        <f>VLOOKUP($A69,'Data shares'!$C:$FB,63)</f>
        <v>3592800</v>
      </c>
      <c r="O69" s="140">
        <f>VLOOKUP($A69,'Data shares'!$C:$FB,65)*100</f>
        <v>748.05000000000007</v>
      </c>
    </row>
    <row r="70" spans="1:15" x14ac:dyDescent="0.25">
      <c r="A70" s="101" t="str">
        <f>'Data Vlaue (Cr)'!C65</f>
        <v>FEDERALBNK</v>
      </c>
      <c r="B70" s="50">
        <f>VLOOKUP($A70,'Data shares'!$C:$FB,7)</f>
        <v>289.14999999999998</v>
      </c>
      <c r="C70" s="50">
        <f>VLOOKUP($A70,'Data shares'!$C:$FB,10)*100</f>
        <v>0.77</v>
      </c>
      <c r="D70" s="49">
        <f>VLOOKUP($A70,'Data shares'!$C:$FB,66)</f>
        <v>71992500</v>
      </c>
      <c r="E70" s="49">
        <f>VLOOKUP($A70,'Data shares'!$C:$FB,67)</f>
        <v>129932500</v>
      </c>
      <c r="F70" s="50">
        <f>VLOOKUP($A70,'Data shares'!$C:$FB,69)*100</f>
        <v>-44.59</v>
      </c>
      <c r="G70" s="49">
        <f>VLOOKUP($A70,'Data shares'!$C:$FB,42)</f>
        <v>14707500</v>
      </c>
      <c r="H70" s="49">
        <f>VLOOKUP($A70,'Data shares'!$C:$FB,43)</f>
        <v>22842500</v>
      </c>
      <c r="I70" s="50">
        <f>VLOOKUP($A70,'Data shares'!$C:$FB,45)*100</f>
        <v>-35.61</v>
      </c>
      <c r="J70" s="49">
        <f>VLOOKUP($A70,'Data shares'!$C:$FB,58)</f>
        <v>39332500</v>
      </c>
      <c r="K70" s="49">
        <f>VLOOKUP($A70,'Data shares'!$C:$FB,59)</f>
        <v>76517500</v>
      </c>
      <c r="L70" s="50">
        <f>VLOOKUP($A70,'Data shares'!$C:$FB,61)*100</f>
        <v>-48.6</v>
      </c>
      <c r="M70" s="49">
        <f>VLOOKUP($A70,'Data shares'!$C:$FB,62)</f>
        <v>17952500</v>
      </c>
      <c r="N70" s="49">
        <f>VLOOKUP($A70,'Data shares'!$C:$FB,63)</f>
        <v>30572500</v>
      </c>
      <c r="O70" s="140">
        <f>VLOOKUP($A70,'Data shares'!$C:$FB,65)*100</f>
        <v>-41.28</v>
      </c>
    </row>
    <row r="71" spans="1:15" x14ac:dyDescent="0.25">
      <c r="A71" s="101" t="str">
        <f>'Data Vlaue (Cr)'!C66</f>
        <v>FINNIFTY</v>
      </c>
      <c r="B71" s="50">
        <f>VLOOKUP($A71,'Data shares'!$C:$FB,7)</f>
        <v>25814.400000000001</v>
      </c>
      <c r="C71" s="50">
        <f>VLOOKUP($A71,'Data shares'!$C:$FB,10)*100</f>
        <v>0.61</v>
      </c>
      <c r="D71" s="49">
        <f>VLOOKUP($A71,'Data shares'!$C:$FB,66)</f>
        <v>470040</v>
      </c>
      <c r="E71" s="49">
        <f>VLOOKUP($A71,'Data shares'!$C:$FB,67)</f>
        <v>324180</v>
      </c>
      <c r="F71" s="50">
        <f>VLOOKUP($A71,'Data shares'!$C:$FB,69)*100</f>
        <v>44.99</v>
      </c>
      <c r="G71" s="49">
        <f>VLOOKUP($A71,'Data shares'!$C:$FB,42)</f>
        <v>5940</v>
      </c>
      <c r="H71" s="49">
        <f>VLOOKUP($A71,'Data shares'!$C:$FB,43)</f>
        <v>12180</v>
      </c>
      <c r="I71" s="50">
        <f>VLOOKUP($A71,'Data shares'!$C:$FB,45)*100</f>
        <v>-51.23</v>
      </c>
      <c r="J71" s="49">
        <f>VLOOKUP($A71,'Data shares'!$C:$FB,58)</f>
        <v>285840</v>
      </c>
      <c r="K71" s="49">
        <f>VLOOKUP($A71,'Data shares'!$C:$FB,59)</f>
        <v>177060</v>
      </c>
      <c r="L71" s="50">
        <f>VLOOKUP($A71,'Data shares'!$C:$FB,61)*100</f>
        <v>61.44</v>
      </c>
      <c r="M71" s="49">
        <f>VLOOKUP($A71,'Data shares'!$C:$FB,62)</f>
        <v>178260</v>
      </c>
      <c r="N71" s="49">
        <f>VLOOKUP($A71,'Data shares'!$C:$FB,63)</f>
        <v>134940</v>
      </c>
      <c r="O71" s="140">
        <f>VLOOKUP($A71,'Data shares'!$C:$FB,65)*100</f>
        <v>32.1</v>
      </c>
    </row>
    <row r="72" spans="1:15" x14ac:dyDescent="0.25">
      <c r="A72" s="101" t="str">
        <f>'Data Vlaue (Cr)'!C67</f>
        <v>FORCEMOT</v>
      </c>
      <c r="B72" s="50">
        <f>VLOOKUP($A72,'Data shares'!$C:$FB,7)</f>
        <v>19331</v>
      </c>
      <c r="C72" s="50">
        <f>VLOOKUP($A72,'Data shares'!$C:$FB,10)*100</f>
        <v>-2.88</v>
      </c>
      <c r="D72" s="49">
        <f>VLOOKUP($A72,'Data shares'!$C:$FB,66)</f>
        <v>353225</v>
      </c>
      <c r="E72" s="49">
        <f>VLOOKUP($A72,'Data shares'!$C:$FB,67)</f>
        <v>620575</v>
      </c>
      <c r="F72" s="50">
        <f>VLOOKUP($A72,'Data shares'!$C:$FB,69)*100</f>
        <v>-43.08</v>
      </c>
      <c r="G72" s="49">
        <f>VLOOKUP($A72,'Data shares'!$C:$FB,42)</f>
        <v>86400</v>
      </c>
      <c r="H72" s="49">
        <f>VLOOKUP($A72,'Data shares'!$C:$FB,43)</f>
        <v>142075</v>
      </c>
      <c r="I72" s="50">
        <f>VLOOKUP($A72,'Data shares'!$C:$FB,45)*100</f>
        <v>-39.190000000000005</v>
      </c>
      <c r="J72" s="49">
        <f>VLOOKUP($A72,'Data shares'!$C:$FB,58)</f>
        <v>210875</v>
      </c>
      <c r="K72" s="49">
        <f>VLOOKUP($A72,'Data shares'!$C:$FB,59)</f>
        <v>304475</v>
      </c>
      <c r="L72" s="50">
        <f>VLOOKUP($A72,'Data shares'!$C:$FB,61)*100</f>
        <v>-30.740000000000002</v>
      </c>
      <c r="M72" s="49">
        <f>VLOOKUP($A72,'Data shares'!$C:$FB,62)</f>
        <v>55950</v>
      </c>
      <c r="N72" s="49">
        <f>VLOOKUP($A72,'Data shares'!$C:$FB,63)</f>
        <v>174025</v>
      </c>
      <c r="O72" s="140">
        <f>VLOOKUP($A72,'Data shares'!$C:$FB,65)*100</f>
        <v>-67.849999999999994</v>
      </c>
    </row>
    <row r="73" spans="1:15" x14ac:dyDescent="0.25">
      <c r="A73" s="101" t="str">
        <f>'Data Vlaue (Cr)'!C68</f>
        <v>FORTIS</v>
      </c>
      <c r="B73" s="50">
        <f>VLOOKUP($A73,'Data shares'!$C:$FB,7)</f>
        <v>952.9</v>
      </c>
      <c r="C73" s="50">
        <f>VLOOKUP($A73,'Data shares'!$C:$FB,10)*100</f>
        <v>3.25</v>
      </c>
      <c r="D73" s="49">
        <f>VLOOKUP($A73,'Data shares'!$C:$FB,66)</f>
        <v>5144450</v>
      </c>
      <c r="E73" s="49">
        <f>VLOOKUP($A73,'Data shares'!$C:$FB,67)</f>
        <v>2480775</v>
      </c>
      <c r="F73" s="50">
        <f>VLOOKUP($A73,'Data shares'!$C:$FB,69)*100</f>
        <v>107.37</v>
      </c>
      <c r="G73" s="49">
        <f>VLOOKUP($A73,'Data shares'!$C:$FB,42)</f>
        <v>1057100</v>
      </c>
      <c r="H73" s="49">
        <f>VLOOKUP($A73,'Data shares'!$C:$FB,43)</f>
        <v>981150</v>
      </c>
      <c r="I73" s="50">
        <f>VLOOKUP($A73,'Data shares'!$C:$FB,45)*100</f>
        <v>7.7399999999999993</v>
      </c>
      <c r="J73" s="49">
        <f>VLOOKUP($A73,'Data shares'!$C:$FB,58)</f>
        <v>2993050</v>
      </c>
      <c r="K73" s="49">
        <f>VLOOKUP($A73,'Data shares'!$C:$FB,59)</f>
        <v>729275</v>
      </c>
      <c r="L73" s="50">
        <f>VLOOKUP($A73,'Data shares'!$C:$FB,61)*100</f>
        <v>310.40999999999997</v>
      </c>
      <c r="M73" s="49">
        <f>VLOOKUP($A73,'Data shares'!$C:$FB,62)</f>
        <v>1094300</v>
      </c>
      <c r="N73" s="49">
        <f>VLOOKUP($A73,'Data shares'!$C:$FB,63)</f>
        <v>770350</v>
      </c>
      <c r="O73" s="140">
        <f>VLOOKUP($A73,'Data shares'!$C:$FB,65)*100</f>
        <v>42.05</v>
      </c>
    </row>
    <row r="74" spans="1:15" x14ac:dyDescent="0.25">
      <c r="A74" s="101" t="str">
        <f>'Data Vlaue (Cr)'!C69</f>
        <v>GAIL</v>
      </c>
      <c r="B74" s="50">
        <f>VLOOKUP($A74,'Data shares'!$C:$FB,7)</f>
        <v>164.48</v>
      </c>
      <c r="C74" s="50">
        <f>VLOOKUP($A74,'Data shares'!$C:$FB,10)*100</f>
        <v>0.77</v>
      </c>
      <c r="D74" s="49">
        <f>VLOOKUP($A74,'Data shares'!$C:$FB,66)</f>
        <v>34665750</v>
      </c>
      <c r="E74" s="49">
        <f>VLOOKUP($A74,'Data shares'!$C:$FB,67)</f>
        <v>29191050</v>
      </c>
      <c r="F74" s="50">
        <f>VLOOKUP($A74,'Data shares'!$C:$FB,69)*100</f>
        <v>18.75</v>
      </c>
      <c r="G74" s="49">
        <f>VLOOKUP($A74,'Data shares'!$C:$FB,42)</f>
        <v>9094050</v>
      </c>
      <c r="H74" s="49">
        <f>VLOOKUP($A74,'Data shares'!$C:$FB,43)</f>
        <v>7982100</v>
      </c>
      <c r="I74" s="50">
        <f>VLOOKUP($A74,'Data shares'!$C:$FB,45)*100</f>
        <v>13.930000000000001</v>
      </c>
      <c r="J74" s="49">
        <f>VLOOKUP($A74,'Data shares'!$C:$FB,58)</f>
        <v>17394300</v>
      </c>
      <c r="K74" s="49">
        <f>VLOOKUP($A74,'Data shares'!$C:$FB,59)</f>
        <v>12401550</v>
      </c>
      <c r="L74" s="50">
        <f>VLOOKUP($A74,'Data shares'!$C:$FB,61)*100</f>
        <v>40.26</v>
      </c>
      <c r="M74" s="49">
        <f>VLOOKUP($A74,'Data shares'!$C:$FB,62)</f>
        <v>8177400</v>
      </c>
      <c r="N74" s="49">
        <f>VLOOKUP($A74,'Data shares'!$C:$FB,63)</f>
        <v>8807400</v>
      </c>
      <c r="O74" s="140">
        <f>VLOOKUP($A74,'Data shares'!$C:$FB,65)*100</f>
        <v>-7.1499999999999995</v>
      </c>
    </row>
    <row r="75" spans="1:15" x14ac:dyDescent="0.25">
      <c r="A75" s="101" t="str">
        <f>'Data Vlaue (Cr)'!C70</f>
        <v>GLENMARK</v>
      </c>
      <c r="B75" s="50">
        <f>VLOOKUP($A75,'Data shares'!$C:$FB,7)</f>
        <v>2393.6999999999998</v>
      </c>
      <c r="C75" s="50">
        <f>VLOOKUP($A75,'Data shares'!$C:$FB,10)*100</f>
        <v>-0.52</v>
      </c>
      <c r="D75" s="49">
        <f>VLOOKUP($A75,'Data shares'!$C:$FB,66)</f>
        <v>2626125</v>
      </c>
      <c r="E75" s="49">
        <f>VLOOKUP($A75,'Data shares'!$C:$FB,67)</f>
        <v>4462875</v>
      </c>
      <c r="F75" s="50">
        <f>VLOOKUP($A75,'Data shares'!$C:$FB,69)*100</f>
        <v>-41.160000000000004</v>
      </c>
      <c r="G75" s="49">
        <f>VLOOKUP($A75,'Data shares'!$C:$FB,42)</f>
        <v>777000</v>
      </c>
      <c r="H75" s="49">
        <f>VLOOKUP($A75,'Data shares'!$C:$FB,43)</f>
        <v>1318500</v>
      </c>
      <c r="I75" s="50">
        <f>VLOOKUP($A75,'Data shares'!$C:$FB,45)*100</f>
        <v>-41.07</v>
      </c>
      <c r="J75" s="49">
        <f>VLOOKUP($A75,'Data shares'!$C:$FB,58)</f>
        <v>1182000</v>
      </c>
      <c r="K75" s="49">
        <f>VLOOKUP($A75,'Data shares'!$C:$FB,59)</f>
        <v>2199375</v>
      </c>
      <c r="L75" s="50">
        <f>VLOOKUP($A75,'Data shares'!$C:$FB,61)*100</f>
        <v>-46.26</v>
      </c>
      <c r="M75" s="49">
        <f>VLOOKUP($A75,'Data shares'!$C:$FB,62)</f>
        <v>667125</v>
      </c>
      <c r="N75" s="49">
        <f>VLOOKUP($A75,'Data shares'!$C:$FB,63)</f>
        <v>945000</v>
      </c>
      <c r="O75" s="140">
        <f>VLOOKUP($A75,'Data shares'!$C:$FB,65)*100</f>
        <v>-29.4</v>
      </c>
    </row>
    <row r="76" spans="1:15" x14ac:dyDescent="0.25">
      <c r="A76" s="101" t="str">
        <f>'Data Vlaue (Cr)'!C71</f>
        <v>GMRAIRPORT</v>
      </c>
      <c r="B76" s="50">
        <f>VLOOKUP($A76,'Data shares'!$C:$FB,7)</f>
        <v>98.9</v>
      </c>
      <c r="C76" s="50">
        <f>VLOOKUP($A76,'Data shares'!$C:$FB,10)*100</f>
        <v>2.56</v>
      </c>
      <c r="D76" s="49">
        <f>VLOOKUP($A76,'Data shares'!$C:$FB,66)</f>
        <v>129421125</v>
      </c>
      <c r="E76" s="49">
        <f>VLOOKUP($A76,'Data shares'!$C:$FB,67)</f>
        <v>58457475</v>
      </c>
      <c r="F76" s="50">
        <f>VLOOKUP($A76,'Data shares'!$C:$FB,69)*100</f>
        <v>121.39</v>
      </c>
      <c r="G76" s="49">
        <f>VLOOKUP($A76,'Data shares'!$C:$FB,42)</f>
        <v>25577325</v>
      </c>
      <c r="H76" s="49">
        <f>VLOOKUP($A76,'Data shares'!$C:$FB,43)</f>
        <v>14773050</v>
      </c>
      <c r="I76" s="50">
        <f>VLOOKUP($A76,'Data shares'!$C:$FB,45)*100</f>
        <v>73.14</v>
      </c>
      <c r="J76" s="49">
        <f>VLOOKUP($A76,'Data shares'!$C:$FB,58)</f>
        <v>72658575</v>
      </c>
      <c r="K76" s="49">
        <f>VLOOKUP($A76,'Data shares'!$C:$FB,59)</f>
        <v>28081350</v>
      </c>
      <c r="L76" s="50">
        <f>VLOOKUP($A76,'Data shares'!$C:$FB,61)*100</f>
        <v>158.73999999999998</v>
      </c>
      <c r="M76" s="49">
        <f>VLOOKUP($A76,'Data shares'!$C:$FB,62)</f>
        <v>31185225</v>
      </c>
      <c r="N76" s="49">
        <f>VLOOKUP($A76,'Data shares'!$C:$FB,63)</f>
        <v>15603075</v>
      </c>
      <c r="O76" s="140">
        <f>VLOOKUP($A76,'Data shares'!$C:$FB,65)*100</f>
        <v>99.87</v>
      </c>
    </row>
    <row r="77" spans="1:15" x14ac:dyDescent="0.25">
      <c r="A77" s="101" t="str">
        <f>'Data Vlaue (Cr)'!C72</f>
        <v>GODFRYPHLP</v>
      </c>
      <c r="B77" s="50">
        <f>VLOOKUP($A77,'Data shares'!$C:$FB,7)</f>
        <v>2216.3000000000002</v>
      </c>
      <c r="C77" s="50">
        <f>VLOOKUP($A77,'Data shares'!$C:$FB,10)*100</f>
        <v>-1.54</v>
      </c>
      <c r="D77" s="49">
        <f>VLOOKUP($A77,'Data shares'!$C:$FB,66)</f>
        <v>936925</v>
      </c>
      <c r="E77" s="49">
        <f>VLOOKUP($A77,'Data shares'!$C:$FB,67)</f>
        <v>1969550</v>
      </c>
      <c r="F77" s="50">
        <f>VLOOKUP($A77,'Data shares'!$C:$FB,69)*100</f>
        <v>-52.43</v>
      </c>
      <c r="G77" s="49">
        <f>VLOOKUP($A77,'Data shares'!$C:$FB,42)</f>
        <v>311300</v>
      </c>
      <c r="H77" s="49">
        <f>VLOOKUP($A77,'Data shares'!$C:$FB,43)</f>
        <v>629200</v>
      </c>
      <c r="I77" s="50">
        <f>VLOOKUP($A77,'Data shares'!$C:$FB,45)*100</f>
        <v>-50.519999999999996</v>
      </c>
      <c r="J77" s="49">
        <f>VLOOKUP($A77,'Data shares'!$C:$FB,58)</f>
        <v>489775</v>
      </c>
      <c r="K77" s="49">
        <f>VLOOKUP($A77,'Data shares'!$C:$FB,59)</f>
        <v>1050775</v>
      </c>
      <c r="L77" s="50">
        <f>VLOOKUP($A77,'Data shares'!$C:$FB,61)*100</f>
        <v>-53.39</v>
      </c>
      <c r="M77" s="49">
        <f>VLOOKUP($A77,'Data shares'!$C:$FB,62)</f>
        <v>135850</v>
      </c>
      <c r="N77" s="49">
        <f>VLOOKUP($A77,'Data shares'!$C:$FB,63)</f>
        <v>289575</v>
      </c>
      <c r="O77" s="140">
        <f>VLOOKUP($A77,'Data shares'!$C:$FB,65)*100</f>
        <v>-53.09</v>
      </c>
    </row>
    <row r="78" spans="1:15" x14ac:dyDescent="0.25">
      <c r="A78" s="101" t="str">
        <f>'Data Vlaue (Cr)'!C73</f>
        <v>GODREJCP</v>
      </c>
      <c r="B78" s="50">
        <f>VLOOKUP($A78,'Data shares'!$C:$FB,7)</f>
        <v>1072.5</v>
      </c>
      <c r="C78" s="50">
        <f>VLOOKUP($A78,'Data shares'!$C:$FB,10)*100</f>
        <v>0.51</v>
      </c>
      <c r="D78" s="49">
        <f>VLOOKUP($A78,'Data shares'!$C:$FB,66)</f>
        <v>3330500</v>
      </c>
      <c r="E78" s="49">
        <f>VLOOKUP($A78,'Data shares'!$C:$FB,67)</f>
        <v>5291000</v>
      </c>
      <c r="F78" s="50">
        <f>VLOOKUP($A78,'Data shares'!$C:$FB,69)*100</f>
        <v>-37.049999999999997</v>
      </c>
      <c r="G78" s="49">
        <f>VLOOKUP($A78,'Data shares'!$C:$FB,42)</f>
        <v>1415000</v>
      </c>
      <c r="H78" s="49">
        <f>VLOOKUP($A78,'Data shares'!$C:$FB,43)</f>
        <v>2362000</v>
      </c>
      <c r="I78" s="50">
        <f>VLOOKUP($A78,'Data shares'!$C:$FB,45)*100</f>
        <v>-40.089999999999996</v>
      </c>
      <c r="J78" s="49">
        <f>VLOOKUP($A78,'Data shares'!$C:$FB,58)</f>
        <v>1419000</v>
      </c>
      <c r="K78" s="49">
        <f>VLOOKUP($A78,'Data shares'!$C:$FB,59)</f>
        <v>1416000</v>
      </c>
      <c r="L78" s="50">
        <f>VLOOKUP($A78,'Data shares'!$C:$FB,61)*100</f>
        <v>0.21</v>
      </c>
      <c r="M78" s="49">
        <f>VLOOKUP($A78,'Data shares'!$C:$FB,62)</f>
        <v>496500</v>
      </c>
      <c r="N78" s="49">
        <f>VLOOKUP($A78,'Data shares'!$C:$FB,63)</f>
        <v>1513000</v>
      </c>
      <c r="O78" s="140">
        <f>VLOOKUP($A78,'Data shares'!$C:$FB,65)*100</f>
        <v>-67.179999999999993</v>
      </c>
    </row>
    <row r="79" spans="1:15" x14ac:dyDescent="0.25">
      <c r="A79" s="101" t="str">
        <f>'Data Vlaue (Cr)'!C74</f>
        <v>GODREJPROP</v>
      </c>
      <c r="B79" s="50">
        <f>VLOOKUP($A79,'Data shares'!$C:$FB,7)</f>
        <v>1899.8</v>
      </c>
      <c r="C79" s="50">
        <f>VLOOKUP($A79,'Data shares'!$C:$FB,10)*100</f>
        <v>3.52</v>
      </c>
      <c r="D79" s="49">
        <f>VLOOKUP($A79,'Data shares'!$C:$FB,66)</f>
        <v>25533750</v>
      </c>
      <c r="E79" s="49">
        <f>VLOOKUP($A79,'Data shares'!$C:$FB,67)</f>
        <v>3601400</v>
      </c>
      <c r="F79" s="50">
        <f>VLOOKUP($A79,'Data shares'!$C:$FB,69)*100</f>
        <v>609</v>
      </c>
      <c r="G79" s="49">
        <f>VLOOKUP($A79,'Data shares'!$C:$FB,42)</f>
        <v>3281300</v>
      </c>
      <c r="H79" s="49">
        <f>VLOOKUP($A79,'Data shares'!$C:$FB,43)</f>
        <v>1101925</v>
      </c>
      <c r="I79" s="50">
        <f>VLOOKUP($A79,'Data shares'!$C:$FB,45)*100</f>
        <v>197.78</v>
      </c>
      <c r="J79" s="49">
        <f>VLOOKUP($A79,'Data shares'!$C:$FB,58)</f>
        <v>16528050</v>
      </c>
      <c r="K79" s="49">
        <f>VLOOKUP($A79,'Data shares'!$C:$FB,59)</f>
        <v>1232825</v>
      </c>
      <c r="L79" s="50">
        <f>VLOOKUP($A79,'Data shares'!$C:$FB,61)*100</f>
        <v>1240.6599999999999</v>
      </c>
      <c r="M79" s="49">
        <f>VLOOKUP($A79,'Data shares'!$C:$FB,62)</f>
        <v>5724400</v>
      </c>
      <c r="N79" s="49">
        <f>VLOOKUP($A79,'Data shares'!$C:$FB,63)</f>
        <v>1266650</v>
      </c>
      <c r="O79" s="140">
        <f>VLOOKUP($A79,'Data shares'!$C:$FB,65)*100</f>
        <v>351.93</v>
      </c>
    </row>
    <row r="80" spans="1:15" x14ac:dyDescent="0.25">
      <c r="A80" s="101" t="str">
        <f>'Data Vlaue (Cr)'!C75</f>
        <v>GRASIM</v>
      </c>
      <c r="B80" s="50">
        <f>VLOOKUP($A80,'Data shares'!$C:$FB,7)</f>
        <v>2856</v>
      </c>
      <c r="C80" s="50">
        <f>VLOOKUP($A80,'Data shares'!$C:$FB,10)*100</f>
        <v>2.1999999999999997</v>
      </c>
      <c r="D80" s="49">
        <f>VLOOKUP($A80,'Data shares'!$C:$FB,66)</f>
        <v>3712500</v>
      </c>
      <c r="E80" s="49">
        <f>VLOOKUP($A80,'Data shares'!$C:$FB,67)</f>
        <v>2108250</v>
      </c>
      <c r="F80" s="50">
        <f>VLOOKUP($A80,'Data shares'!$C:$FB,69)*100</f>
        <v>76.09</v>
      </c>
      <c r="G80" s="49">
        <f>VLOOKUP($A80,'Data shares'!$C:$FB,42)</f>
        <v>1106750</v>
      </c>
      <c r="H80" s="49">
        <f>VLOOKUP($A80,'Data shares'!$C:$FB,43)</f>
        <v>969750</v>
      </c>
      <c r="I80" s="50">
        <f>VLOOKUP($A80,'Data shares'!$C:$FB,45)*100</f>
        <v>14.13</v>
      </c>
      <c r="J80" s="49">
        <f>VLOOKUP($A80,'Data shares'!$C:$FB,58)</f>
        <v>2004750</v>
      </c>
      <c r="K80" s="49">
        <f>VLOOKUP($A80,'Data shares'!$C:$FB,59)</f>
        <v>759000</v>
      </c>
      <c r="L80" s="50">
        <f>VLOOKUP($A80,'Data shares'!$C:$FB,61)*100</f>
        <v>164.13</v>
      </c>
      <c r="M80" s="49">
        <f>VLOOKUP($A80,'Data shares'!$C:$FB,62)</f>
        <v>601000</v>
      </c>
      <c r="N80" s="49">
        <f>VLOOKUP($A80,'Data shares'!$C:$FB,63)</f>
        <v>379500</v>
      </c>
      <c r="O80" s="140">
        <f>VLOOKUP($A80,'Data shares'!$C:$FB,65)*100</f>
        <v>58.37</v>
      </c>
    </row>
    <row r="81" spans="1:15" x14ac:dyDescent="0.25">
      <c r="A81" s="101" t="str">
        <f>'Data Vlaue (Cr)'!C76</f>
        <v>HAL</v>
      </c>
      <c r="B81" s="50">
        <f>VLOOKUP($A81,'Data shares'!$C:$FB,7)</f>
        <v>4559.5</v>
      </c>
      <c r="C81" s="50">
        <f>VLOOKUP($A81,'Data shares'!$C:$FB,10)*100</f>
        <v>5.09</v>
      </c>
      <c r="D81" s="49">
        <f>VLOOKUP($A81,'Data shares'!$C:$FB,66)</f>
        <v>18061350</v>
      </c>
      <c r="E81" s="49">
        <f>VLOOKUP($A81,'Data shares'!$C:$FB,67)</f>
        <v>3999600</v>
      </c>
      <c r="F81" s="50">
        <f>VLOOKUP($A81,'Data shares'!$C:$FB,69)*100</f>
        <v>351.58</v>
      </c>
      <c r="G81" s="49">
        <f>VLOOKUP($A81,'Data shares'!$C:$FB,42)</f>
        <v>2203200</v>
      </c>
      <c r="H81" s="49">
        <f>VLOOKUP($A81,'Data shares'!$C:$FB,43)</f>
        <v>632250</v>
      </c>
      <c r="I81" s="50">
        <f>VLOOKUP($A81,'Data shares'!$C:$FB,45)*100</f>
        <v>248.47000000000003</v>
      </c>
      <c r="J81" s="49">
        <f>VLOOKUP($A81,'Data shares'!$C:$FB,58)</f>
        <v>11447250</v>
      </c>
      <c r="K81" s="49">
        <f>VLOOKUP($A81,'Data shares'!$C:$FB,59)</f>
        <v>1981200</v>
      </c>
      <c r="L81" s="50">
        <f>VLOOKUP($A81,'Data shares'!$C:$FB,61)*100</f>
        <v>477.78999999999996</v>
      </c>
      <c r="M81" s="49">
        <f>VLOOKUP($A81,'Data shares'!$C:$FB,62)</f>
        <v>4410900</v>
      </c>
      <c r="N81" s="49">
        <f>VLOOKUP($A81,'Data shares'!$C:$FB,63)</f>
        <v>1386150</v>
      </c>
      <c r="O81" s="140">
        <f>VLOOKUP($A81,'Data shares'!$C:$FB,65)*100</f>
        <v>218.21</v>
      </c>
    </row>
    <row r="82" spans="1:15" x14ac:dyDescent="0.25">
      <c r="A82" s="101" t="str">
        <f>'Data Vlaue (Cr)'!C77</f>
        <v>HAVELLS</v>
      </c>
      <c r="B82" s="50">
        <f>VLOOKUP($A82,'Data shares'!$C:$FB,7)</f>
        <v>1256.5999999999999</v>
      </c>
      <c r="C82" s="50">
        <f>VLOOKUP($A82,'Data shares'!$C:$FB,10)*100</f>
        <v>1.29</v>
      </c>
      <c r="D82" s="49">
        <f>VLOOKUP($A82,'Data shares'!$C:$FB,66)</f>
        <v>5089000</v>
      </c>
      <c r="E82" s="49">
        <f>VLOOKUP($A82,'Data shares'!$C:$FB,67)</f>
        <v>5814500</v>
      </c>
      <c r="F82" s="50">
        <f>VLOOKUP($A82,'Data shares'!$C:$FB,69)*100</f>
        <v>-12.479999999999999</v>
      </c>
      <c r="G82" s="49">
        <f>VLOOKUP($A82,'Data shares'!$C:$FB,42)</f>
        <v>1033000</v>
      </c>
      <c r="H82" s="49">
        <f>VLOOKUP($A82,'Data shares'!$C:$FB,43)</f>
        <v>1287500</v>
      </c>
      <c r="I82" s="50">
        <f>VLOOKUP($A82,'Data shares'!$C:$FB,45)*100</f>
        <v>-19.77</v>
      </c>
      <c r="J82" s="49">
        <f>VLOOKUP($A82,'Data shares'!$C:$FB,58)</f>
        <v>3056000</v>
      </c>
      <c r="K82" s="49">
        <f>VLOOKUP($A82,'Data shares'!$C:$FB,59)</f>
        <v>3193500</v>
      </c>
      <c r="L82" s="50">
        <f>VLOOKUP($A82,'Data shares'!$C:$FB,61)*100</f>
        <v>-4.3099999999999996</v>
      </c>
      <c r="M82" s="49">
        <f>VLOOKUP($A82,'Data shares'!$C:$FB,62)</f>
        <v>1000000</v>
      </c>
      <c r="N82" s="49">
        <f>VLOOKUP($A82,'Data shares'!$C:$FB,63)</f>
        <v>1333500</v>
      </c>
      <c r="O82" s="140">
        <f>VLOOKUP($A82,'Data shares'!$C:$FB,65)*100</f>
        <v>-25.009999999999998</v>
      </c>
    </row>
    <row r="83" spans="1:15" x14ac:dyDescent="0.25">
      <c r="A83" s="101" t="str">
        <f>'Data Vlaue (Cr)'!C78</f>
        <v>HCLTECH</v>
      </c>
      <c r="B83" s="50">
        <f>VLOOKUP($A83,'Data shares'!$C:$FB,7)</f>
        <v>1200.5</v>
      </c>
      <c r="C83" s="50">
        <f>VLOOKUP($A83,'Data shares'!$C:$FB,10)*100</f>
        <v>0.12</v>
      </c>
      <c r="D83" s="49">
        <f>VLOOKUP($A83,'Data shares'!$C:$FB,66)</f>
        <v>21876050</v>
      </c>
      <c r="E83" s="49">
        <f>VLOOKUP($A83,'Data shares'!$C:$FB,67)</f>
        <v>24849650</v>
      </c>
      <c r="F83" s="50">
        <f>VLOOKUP($A83,'Data shares'!$C:$FB,69)*100</f>
        <v>-11.97</v>
      </c>
      <c r="G83" s="49">
        <f>VLOOKUP($A83,'Data shares'!$C:$FB,42)</f>
        <v>2916200</v>
      </c>
      <c r="H83" s="49">
        <f>VLOOKUP($A83,'Data shares'!$C:$FB,43)</f>
        <v>4409300</v>
      </c>
      <c r="I83" s="50">
        <f>VLOOKUP($A83,'Data shares'!$C:$FB,45)*100</f>
        <v>-33.86</v>
      </c>
      <c r="J83" s="49">
        <f>VLOOKUP($A83,'Data shares'!$C:$FB,58)</f>
        <v>13071100</v>
      </c>
      <c r="K83" s="49">
        <f>VLOOKUP($A83,'Data shares'!$C:$FB,59)</f>
        <v>13473600</v>
      </c>
      <c r="L83" s="50">
        <f>VLOOKUP($A83,'Data shares'!$C:$FB,61)*100</f>
        <v>-2.9899999999999998</v>
      </c>
      <c r="M83" s="49">
        <f>VLOOKUP($A83,'Data shares'!$C:$FB,62)</f>
        <v>5888750</v>
      </c>
      <c r="N83" s="49">
        <f>VLOOKUP($A83,'Data shares'!$C:$FB,63)</f>
        <v>6966750</v>
      </c>
      <c r="O83" s="140">
        <f>VLOOKUP($A83,'Data shares'!$C:$FB,65)*100</f>
        <v>-15.47</v>
      </c>
    </row>
    <row r="84" spans="1:15" x14ac:dyDescent="0.25">
      <c r="A84" s="101" t="str">
        <f>'Data Vlaue (Cr)'!C79</f>
        <v>HDFCAMC</v>
      </c>
      <c r="B84" s="50">
        <f>VLOOKUP($A84,'Data shares'!$C:$FB,7)</f>
        <v>2753.6</v>
      </c>
      <c r="C84" s="50">
        <f>VLOOKUP($A84,'Data shares'!$C:$FB,10)*100</f>
        <v>1.51</v>
      </c>
      <c r="D84" s="49">
        <f>VLOOKUP($A84,'Data shares'!$C:$FB,66)</f>
        <v>1727400</v>
      </c>
      <c r="E84" s="49">
        <f>VLOOKUP($A84,'Data shares'!$C:$FB,67)</f>
        <v>1994400</v>
      </c>
      <c r="F84" s="50">
        <f>VLOOKUP($A84,'Data shares'!$C:$FB,69)*100</f>
        <v>-13.389999999999999</v>
      </c>
      <c r="G84" s="49">
        <f>VLOOKUP($A84,'Data shares'!$C:$FB,42)</f>
        <v>647400</v>
      </c>
      <c r="H84" s="49">
        <f>VLOOKUP($A84,'Data shares'!$C:$FB,43)</f>
        <v>864600</v>
      </c>
      <c r="I84" s="50">
        <f>VLOOKUP($A84,'Data shares'!$C:$FB,45)*100</f>
        <v>-25.119999999999997</v>
      </c>
      <c r="J84" s="49">
        <f>VLOOKUP($A84,'Data shares'!$C:$FB,58)</f>
        <v>694500</v>
      </c>
      <c r="K84" s="49">
        <f>VLOOKUP($A84,'Data shares'!$C:$FB,59)</f>
        <v>669000</v>
      </c>
      <c r="L84" s="50">
        <f>VLOOKUP($A84,'Data shares'!$C:$FB,61)*100</f>
        <v>3.81</v>
      </c>
      <c r="M84" s="49">
        <f>VLOOKUP($A84,'Data shares'!$C:$FB,62)</f>
        <v>385500</v>
      </c>
      <c r="N84" s="49">
        <f>VLOOKUP($A84,'Data shares'!$C:$FB,63)</f>
        <v>460800</v>
      </c>
      <c r="O84" s="140">
        <f>VLOOKUP($A84,'Data shares'!$C:$FB,65)*100</f>
        <v>-16.34</v>
      </c>
    </row>
    <row r="85" spans="1:15" x14ac:dyDescent="0.25">
      <c r="A85" s="101" t="str">
        <f>'Data Vlaue (Cr)'!C80</f>
        <v>HDFCBANK</v>
      </c>
      <c r="B85" s="50">
        <f>VLOOKUP($A85,'Data shares'!$C:$FB,7)</f>
        <v>779.4</v>
      </c>
      <c r="C85" s="50">
        <f>VLOOKUP($A85,'Data shares'!$C:$FB,10)*100</f>
        <v>1</v>
      </c>
      <c r="D85" s="49">
        <f>VLOOKUP($A85,'Data shares'!$C:$FB,66)</f>
        <v>114604050</v>
      </c>
      <c r="E85" s="49">
        <f>VLOOKUP($A85,'Data shares'!$C:$FB,67)</f>
        <v>135867050</v>
      </c>
      <c r="F85" s="50">
        <f>VLOOKUP($A85,'Data shares'!$C:$FB,69)*100</f>
        <v>-15.65</v>
      </c>
      <c r="G85" s="49">
        <f>VLOOKUP($A85,'Data shares'!$C:$FB,42)</f>
        <v>20008450</v>
      </c>
      <c r="H85" s="49">
        <f>VLOOKUP($A85,'Data shares'!$C:$FB,43)</f>
        <v>24066350</v>
      </c>
      <c r="I85" s="50">
        <f>VLOOKUP($A85,'Data shares'!$C:$FB,45)*100</f>
        <v>-16.86</v>
      </c>
      <c r="J85" s="49">
        <f>VLOOKUP($A85,'Data shares'!$C:$FB,58)</f>
        <v>59524300</v>
      </c>
      <c r="K85" s="49">
        <f>VLOOKUP($A85,'Data shares'!$C:$FB,59)</f>
        <v>74698800</v>
      </c>
      <c r="L85" s="50">
        <f>VLOOKUP($A85,'Data shares'!$C:$FB,61)*100</f>
        <v>-20.309999999999999</v>
      </c>
      <c r="M85" s="49">
        <f>VLOOKUP($A85,'Data shares'!$C:$FB,62)</f>
        <v>35071300</v>
      </c>
      <c r="N85" s="49">
        <f>VLOOKUP($A85,'Data shares'!$C:$FB,63)</f>
        <v>37101900</v>
      </c>
      <c r="O85" s="140">
        <f>VLOOKUP($A85,'Data shares'!$C:$FB,65)*100</f>
        <v>-5.47</v>
      </c>
    </row>
    <row r="86" spans="1:15" x14ac:dyDescent="0.25">
      <c r="A86" s="101" t="str">
        <f>'Data Vlaue (Cr)'!C81</f>
        <v>HDFCLIFE</v>
      </c>
      <c r="B86" s="50">
        <f>VLOOKUP($A86,'Data shares'!$C:$FB,7)</f>
        <v>588.35</v>
      </c>
      <c r="C86" s="50">
        <f>VLOOKUP($A86,'Data shares'!$C:$FB,10)*100</f>
        <v>0.25</v>
      </c>
      <c r="D86" s="49">
        <f>VLOOKUP($A86,'Data shares'!$C:$FB,66)</f>
        <v>14672900</v>
      </c>
      <c r="E86" s="49">
        <f>VLOOKUP($A86,'Data shares'!$C:$FB,67)</f>
        <v>24174700</v>
      </c>
      <c r="F86" s="50">
        <f>VLOOKUP($A86,'Data shares'!$C:$FB,69)*100</f>
        <v>-39.300000000000004</v>
      </c>
      <c r="G86" s="49">
        <f>VLOOKUP($A86,'Data shares'!$C:$FB,42)</f>
        <v>2684000</v>
      </c>
      <c r="H86" s="49">
        <f>VLOOKUP($A86,'Data shares'!$C:$FB,43)</f>
        <v>4418700</v>
      </c>
      <c r="I86" s="50">
        <f>VLOOKUP($A86,'Data shares'!$C:$FB,45)*100</f>
        <v>-39.26</v>
      </c>
      <c r="J86" s="49">
        <f>VLOOKUP($A86,'Data shares'!$C:$FB,58)</f>
        <v>7871600</v>
      </c>
      <c r="K86" s="49">
        <f>VLOOKUP($A86,'Data shares'!$C:$FB,59)</f>
        <v>12861200</v>
      </c>
      <c r="L86" s="50">
        <f>VLOOKUP($A86,'Data shares'!$C:$FB,61)*100</f>
        <v>-38.800000000000004</v>
      </c>
      <c r="M86" s="49">
        <f>VLOOKUP($A86,'Data shares'!$C:$FB,62)</f>
        <v>4117300</v>
      </c>
      <c r="N86" s="49">
        <f>VLOOKUP($A86,'Data shares'!$C:$FB,63)</f>
        <v>6894800</v>
      </c>
      <c r="O86" s="140">
        <f>VLOOKUP($A86,'Data shares'!$C:$FB,65)*100</f>
        <v>-40.28</v>
      </c>
    </row>
    <row r="87" spans="1:15" x14ac:dyDescent="0.25">
      <c r="A87" s="101" t="str">
        <f>'Data Vlaue (Cr)'!C82</f>
        <v>HEROMOTOCO</v>
      </c>
      <c r="B87" s="50">
        <f>VLOOKUP($A87,'Data shares'!$C:$FB,7)</f>
        <v>5066.5</v>
      </c>
      <c r="C87" s="50">
        <f>VLOOKUP($A87,'Data shares'!$C:$FB,10)*100</f>
        <v>-0.64</v>
      </c>
      <c r="D87" s="49">
        <f>VLOOKUP($A87,'Data shares'!$C:$FB,66)</f>
        <v>5749650</v>
      </c>
      <c r="E87" s="49">
        <f>VLOOKUP($A87,'Data shares'!$C:$FB,67)</f>
        <v>3430950</v>
      </c>
      <c r="F87" s="50">
        <f>VLOOKUP($A87,'Data shares'!$C:$FB,69)*100</f>
        <v>67.58</v>
      </c>
      <c r="G87" s="49">
        <f>VLOOKUP($A87,'Data shares'!$C:$FB,42)</f>
        <v>963750</v>
      </c>
      <c r="H87" s="49">
        <f>VLOOKUP($A87,'Data shares'!$C:$FB,43)</f>
        <v>634200</v>
      </c>
      <c r="I87" s="50">
        <f>VLOOKUP($A87,'Data shares'!$C:$FB,45)*100</f>
        <v>51.959999999999994</v>
      </c>
      <c r="J87" s="49">
        <f>VLOOKUP($A87,'Data shares'!$C:$FB,58)</f>
        <v>3572850</v>
      </c>
      <c r="K87" s="49">
        <f>VLOOKUP($A87,'Data shares'!$C:$FB,59)</f>
        <v>1930500</v>
      </c>
      <c r="L87" s="50">
        <f>VLOOKUP($A87,'Data shares'!$C:$FB,61)*100</f>
        <v>85.070000000000007</v>
      </c>
      <c r="M87" s="49">
        <f>VLOOKUP($A87,'Data shares'!$C:$FB,62)</f>
        <v>1213050</v>
      </c>
      <c r="N87" s="49">
        <f>VLOOKUP($A87,'Data shares'!$C:$FB,63)</f>
        <v>866250</v>
      </c>
      <c r="O87" s="140">
        <f>VLOOKUP($A87,'Data shares'!$C:$FB,65)*100</f>
        <v>40.03</v>
      </c>
    </row>
    <row r="88" spans="1:15" x14ac:dyDescent="0.25">
      <c r="A88" s="101" t="str">
        <f>'Data Vlaue (Cr)'!C83</f>
        <v>HINDALCO</v>
      </c>
      <c r="B88" s="50">
        <f>VLOOKUP($A88,'Data shares'!$C:$FB,7)</f>
        <v>1042.7</v>
      </c>
      <c r="C88" s="50">
        <f>VLOOKUP($A88,'Data shares'!$C:$FB,10)*100</f>
        <v>0.44999999999999996</v>
      </c>
      <c r="D88" s="49">
        <f>VLOOKUP($A88,'Data shares'!$C:$FB,66)</f>
        <v>18769800</v>
      </c>
      <c r="E88" s="49">
        <f>VLOOKUP($A88,'Data shares'!$C:$FB,67)</f>
        <v>24423700</v>
      </c>
      <c r="F88" s="50">
        <f>VLOOKUP($A88,'Data shares'!$C:$FB,69)*100</f>
        <v>-23.150000000000002</v>
      </c>
      <c r="G88" s="49">
        <f>VLOOKUP($A88,'Data shares'!$C:$FB,42)</f>
        <v>3908800</v>
      </c>
      <c r="H88" s="49">
        <f>VLOOKUP($A88,'Data shares'!$C:$FB,43)</f>
        <v>6869100</v>
      </c>
      <c r="I88" s="50">
        <f>VLOOKUP($A88,'Data shares'!$C:$FB,45)*100</f>
        <v>-43.1</v>
      </c>
      <c r="J88" s="49">
        <f>VLOOKUP($A88,'Data shares'!$C:$FB,58)</f>
        <v>9289700</v>
      </c>
      <c r="K88" s="49">
        <f>VLOOKUP($A88,'Data shares'!$C:$FB,59)</f>
        <v>9483600</v>
      </c>
      <c r="L88" s="50">
        <f>VLOOKUP($A88,'Data shares'!$C:$FB,61)*100</f>
        <v>-2.04</v>
      </c>
      <c r="M88" s="49">
        <f>VLOOKUP($A88,'Data shares'!$C:$FB,62)</f>
        <v>5571300</v>
      </c>
      <c r="N88" s="49">
        <f>VLOOKUP($A88,'Data shares'!$C:$FB,63)</f>
        <v>8071000</v>
      </c>
      <c r="O88" s="140">
        <f>VLOOKUP($A88,'Data shares'!$C:$FB,65)*100</f>
        <v>-30.97</v>
      </c>
    </row>
    <row r="89" spans="1:15" x14ac:dyDescent="0.25">
      <c r="A89" s="101" t="str">
        <f>'Data Vlaue (Cr)'!C84</f>
        <v>HINDPETRO</v>
      </c>
      <c r="B89" s="50">
        <f>VLOOKUP($A89,'Data shares'!$C:$FB,7)</f>
        <v>373.85</v>
      </c>
      <c r="C89" s="50">
        <f>VLOOKUP($A89,'Data shares'!$C:$FB,10)*100</f>
        <v>-0.19</v>
      </c>
      <c r="D89" s="49">
        <f>VLOOKUP($A89,'Data shares'!$C:$FB,66)</f>
        <v>20634750</v>
      </c>
      <c r="E89" s="49">
        <f>VLOOKUP($A89,'Data shares'!$C:$FB,67)</f>
        <v>24737400</v>
      </c>
      <c r="F89" s="50">
        <f>VLOOKUP($A89,'Data shares'!$C:$FB,69)*100</f>
        <v>-16.580000000000002</v>
      </c>
      <c r="G89" s="49">
        <f>VLOOKUP($A89,'Data shares'!$C:$FB,42)</f>
        <v>5716575</v>
      </c>
      <c r="H89" s="49">
        <f>VLOOKUP($A89,'Data shares'!$C:$FB,43)</f>
        <v>7719300</v>
      </c>
      <c r="I89" s="50">
        <f>VLOOKUP($A89,'Data shares'!$C:$FB,45)*100</f>
        <v>-25.94</v>
      </c>
      <c r="J89" s="49">
        <f>VLOOKUP($A89,'Data shares'!$C:$FB,58)</f>
        <v>7644375</v>
      </c>
      <c r="K89" s="49">
        <f>VLOOKUP($A89,'Data shares'!$C:$FB,59)</f>
        <v>9179325</v>
      </c>
      <c r="L89" s="50">
        <f>VLOOKUP($A89,'Data shares'!$C:$FB,61)*100</f>
        <v>-16.72</v>
      </c>
      <c r="M89" s="49">
        <f>VLOOKUP($A89,'Data shares'!$C:$FB,62)</f>
        <v>7273800</v>
      </c>
      <c r="N89" s="49">
        <f>VLOOKUP($A89,'Data shares'!$C:$FB,63)</f>
        <v>7838775</v>
      </c>
      <c r="O89" s="140">
        <f>VLOOKUP($A89,'Data shares'!$C:$FB,65)*100</f>
        <v>-7.21</v>
      </c>
    </row>
    <row r="90" spans="1:15" x14ac:dyDescent="0.25">
      <c r="A90" s="101" t="str">
        <f>'Data Vlaue (Cr)'!C85</f>
        <v>HINDUNILVR</v>
      </c>
      <c r="B90" s="50">
        <f>VLOOKUP($A90,'Data shares'!$C:$FB,7)</f>
        <v>2309.3000000000002</v>
      </c>
      <c r="C90" s="50">
        <f>VLOOKUP($A90,'Data shares'!$C:$FB,10)*100</f>
        <v>2.59</v>
      </c>
      <c r="D90" s="49">
        <f>VLOOKUP($A90,'Data shares'!$C:$FB,66)</f>
        <v>49271100</v>
      </c>
      <c r="E90" s="49">
        <f>VLOOKUP($A90,'Data shares'!$C:$FB,67)</f>
        <v>76617000</v>
      </c>
      <c r="F90" s="50">
        <f>VLOOKUP($A90,'Data shares'!$C:$FB,69)*100</f>
        <v>-35.69</v>
      </c>
      <c r="G90" s="49">
        <f>VLOOKUP($A90,'Data shares'!$C:$FB,42)</f>
        <v>4474800</v>
      </c>
      <c r="H90" s="49">
        <f>VLOOKUP($A90,'Data shares'!$C:$FB,43)</f>
        <v>10213500</v>
      </c>
      <c r="I90" s="50">
        <f>VLOOKUP($A90,'Data shares'!$C:$FB,45)*100</f>
        <v>-56.19</v>
      </c>
      <c r="J90" s="49">
        <f>VLOOKUP($A90,'Data shares'!$C:$FB,58)</f>
        <v>30433500</v>
      </c>
      <c r="K90" s="49">
        <f>VLOOKUP($A90,'Data shares'!$C:$FB,59)</f>
        <v>44132400</v>
      </c>
      <c r="L90" s="50">
        <f>VLOOKUP($A90,'Data shares'!$C:$FB,61)*100</f>
        <v>-31.04</v>
      </c>
      <c r="M90" s="49">
        <f>VLOOKUP($A90,'Data shares'!$C:$FB,62)</f>
        <v>14362800</v>
      </c>
      <c r="N90" s="49">
        <f>VLOOKUP($A90,'Data shares'!$C:$FB,63)</f>
        <v>22271100</v>
      </c>
      <c r="O90" s="140">
        <f>VLOOKUP($A90,'Data shares'!$C:$FB,65)*100</f>
        <v>-35.510000000000005</v>
      </c>
    </row>
    <row r="91" spans="1:15" x14ac:dyDescent="0.25">
      <c r="A91" s="101" t="str">
        <f>'Data Vlaue (Cr)'!C86</f>
        <v>HINDZINC</v>
      </c>
      <c r="B91" s="50">
        <f>VLOOKUP($A91,'Data shares'!$C:$FB,7)</f>
        <v>605.54999999999995</v>
      </c>
      <c r="C91" s="50">
        <f>VLOOKUP($A91,'Data shares'!$C:$FB,10)*100</f>
        <v>1.6099999999999999</v>
      </c>
      <c r="D91" s="49">
        <f>VLOOKUP($A91,'Data shares'!$C:$FB,66)</f>
        <v>30280775</v>
      </c>
      <c r="E91" s="49">
        <f>VLOOKUP($A91,'Data shares'!$C:$FB,67)</f>
        <v>39441325</v>
      </c>
      <c r="F91" s="50">
        <f>VLOOKUP($A91,'Data shares'!$C:$FB,69)*100</f>
        <v>-23.23</v>
      </c>
      <c r="G91" s="49">
        <f>VLOOKUP($A91,'Data shares'!$C:$FB,42)</f>
        <v>4397750</v>
      </c>
      <c r="H91" s="49">
        <f>VLOOKUP($A91,'Data shares'!$C:$FB,43)</f>
        <v>6801200</v>
      </c>
      <c r="I91" s="50">
        <f>VLOOKUP($A91,'Data shares'!$C:$FB,45)*100</f>
        <v>-35.339999999999996</v>
      </c>
      <c r="J91" s="49">
        <f>VLOOKUP($A91,'Data shares'!$C:$FB,58)</f>
        <v>16884175</v>
      </c>
      <c r="K91" s="49">
        <f>VLOOKUP($A91,'Data shares'!$C:$FB,59)</f>
        <v>20124300</v>
      </c>
      <c r="L91" s="50">
        <f>VLOOKUP($A91,'Data shares'!$C:$FB,61)*100</f>
        <v>-16.100000000000001</v>
      </c>
      <c r="M91" s="49">
        <f>VLOOKUP($A91,'Data shares'!$C:$FB,62)</f>
        <v>8998850</v>
      </c>
      <c r="N91" s="49">
        <f>VLOOKUP($A91,'Data shares'!$C:$FB,63)</f>
        <v>12515825</v>
      </c>
      <c r="O91" s="140">
        <f>VLOOKUP($A91,'Data shares'!$C:$FB,65)*100</f>
        <v>-28.1</v>
      </c>
    </row>
    <row r="92" spans="1:15" x14ac:dyDescent="0.25">
      <c r="A92" s="101" t="str">
        <f>'Data Vlaue (Cr)'!C87</f>
        <v>HYUNDAI</v>
      </c>
      <c r="B92" s="50">
        <f>VLOOKUP($A92,'Data shares'!$C:$FB,7)</f>
        <v>1844.5</v>
      </c>
      <c r="C92" s="50">
        <f>VLOOKUP($A92,'Data shares'!$C:$FB,10)*100</f>
        <v>1.48</v>
      </c>
      <c r="D92" s="49">
        <f>VLOOKUP($A92,'Data shares'!$C:$FB,66)</f>
        <v>2664475</v>
      </c>
      <c r="E92" s="49">
        <f>VLOOKUP($A92,'Data shares'!$C:$FB,67)</f>
        <v>1861475</v>
      </c>
      <c r="F92" s="50">
        <f>VLOOKUP($A92,'Data shares'!$C:$FB,69)*100</f>
        <v>43.14</v>
      </c>
      <c r="G92" s="49">
        <f>VLOOKUP($A92,'Data shares'!$C:$FB,42)</f>
        <v>977900</v>
      </c>
      <c r="H92" s="49">
        <f>VLOOKUP($A92,'Data shares'!$C:$FB,43)</f>
        <v>1159400</v>
      </c>
      <c r="I92" s="50">
        <f>VLOOKUP($A92,'Data shares'!$C:$FB,45)*100</f>
        <v>-15.65</v>
      </c>
      <c r="J92" s="49">
        <f>VLOOKUP($A92,'Data shares'!$C:$FB,58)</f>
        <v>1304050</v>
      </c>
      <c r="K92" s="49">
        <f>VLOOKUP($A92,'Data shares'!$C:$FB,59)</f>
        <v>419375</v>
      </c>
      <c r="L92" s="50">
        <f>VLOOKUP($A92,'Data shares'!$C:$FB,61)*100</f>
        <v>210.95000000000002</v>
      </c>
      <c r="M92" s="49">
        <f>VLOOKUP($A92,'Data shares'!$C:$FB,62)</f>
        <v>382525</v>
      </c>
      <c r="N92" s="49">
        <f>VLOOKUP($A92,'Data shares'!$C:$FB,63)</f>
        <v>282700</v>
      </c>
      <c r="O92" s="140">
        <f>VLOOKUP($A92,'Data shares'!$C:$FB,65)*100</f>
        <v>35.31</v>
      </c>
    </row>
    <row r="93" spans="1:15" x14ac:dyDescent="0.25">
      <c r="A93" s="101" t="str">
        <f>'Data Vlaue (Cr)'!C88</f>
        <v>ICICIBANK</v>
      </c>
      <c r="B93" s="50">
        <f>VLOOKUP($A93,'Data shares'!$C:$FB,7)</f>
        <v>1270.8</v>
      </c>
      <c r="C93" s="50">
        <f>VLOOKUP($A93,'Data shares'!$C:$FB,10)*100</f>
        <v>0.59</v>
      </c>
      <c r="D93" s="49">
        <f>VLOOKUP($A93,'Data shares'!$C:$FB,66)</f>
        <v>53535300</v>
      </c>
      <c r="E93" s="49">
        <f>VLOOKUP($A93,'Data shares'!$C:$FB,67)</f>
        <v>65252600</v>
      </c>
      <c r="F93" s="50">
        <f>VLOOKUP($A93,'Data shares'!$C:$FB,69)*100</f>
        <v>-17.96</v>
      </c>
      <c r="G93" s="49">
        <f>VLOOKUP($A93,'Data shares'!$C:$FB,42)</f>
        <v>11006800</v>
      </c>
      <c r="H93" s="49">
        <f>VLOOKUP($A93,'Data shares'!$C:$FB,43)</f>
        <v>11429600</v>
      </c>
      <c r="I93" s="50">
        <f>VLOOKUP($A93,'Data shares'!$C:$FB,45)*100</f>
        <v>-3.6999999999999997</v>
      </c>
      <c r="J93" s="49">
        <f>VLOOKUP($A93,'Data shares'!$C:$FB,58)</f>
        <v>27286700</v>
      </c>
      <c r="K93" s="49">
        <f>VLOOKUP($A93,'Data shares'!$C:$FB,59)</f>
        <v>35421400</v>
      </c>
      <c r="L93" s="50">
        <f>VLOOKUP($A93,'Data shares'!$C:$FB,61)*100</f>
        <v>-22.97</v>
      </c>
      <c r="M93" s="49">
        <f>VLOOKUP($A93,'Data shares'!$C:$FB,62)</f>
        <v>15241800</v>
      </c>
      <c r="N93" s="49">
        <f>VLOOKUP($A93,'Data shares'!$C:$FB,63)</f>
        <v>18401600</v>
      </c>
      <c r="O93" s="140">
        <f>VLOOKUP($A93,'Data shares'!$C:$FB,65)*100</f>
        <v>-17.169999999999998</v>
      </c>
    </row>
    <row r="94" spans="1:15" x14ac:dyDescent="0.25">
      <c r="A94" s="101" t="str">
        <f>'Data Vlaue (Cr)'!C89</f>
        <v>ICICIGI</v>
      </c>
      <c r="B94" s="50">
        <f>VLOOKUP($A94,'Data shares'!$C:$FB,7)</f>
        <v>1756.8</v>
      </c>
      <c r="C94" s="50">
        <f>VLOOKUP($A94,'Data shares'!$C:$FB,10)*100</f>
        <v>-0.36</v>
      </c>
      <c r="D94" s="49">
        <f>VLOOKUP($A94,'Data shares'!$C:$FB,66)</f>
        <v>1346800</v>
      </c>
      <c r="E94" s="49">
        <f>VLOOKUP($A94,'Data shares'!$C:$FB,67)</f>
        <v>1091675</v>
      </c>
      <c r="F94" s="50">
        <f>VLOOKUP($A94,'Data shares'!$C:$FB,69)*100</f>
        <v>23.369999999999997</v>
      </c>
      <c r="G94" s="49">
        <f>VLOOKUP($A94,'Data shares'!$C:$FB,42)</f>
        <v>352300</v>
      </c>
      <c r="H94" s="49">
        <f>VLOOKUP($A94,'Data shares'!$C:$FB,43)</f>
        <v>279825</v>
      </c>
      <c r="I94" s="50">
        <f>VLOOKUP($A94,'Data shares'!$C:$FB,45)*100</f>
        <v>25.900000000000002</v>
      </c>
      <c r="J94" s="49">
        <f>VLOOKUP($A94,'Data shares'!$C:$FB,58)</f>
        <v>644475</v>
      </c>
      <c r="K94" s="49">
        <f>VLOOKUP($A94,'Data shares'!$C:$FB,59)</f>
        <v>528450</v>
      </c>
      <c r="L94" s="50">
        <f>VLOOKUP($A94,'Data shares'!$C:$FB,61)*100</f>
        <v>21.959999999999997</v>
      </c>
      <c r="M94" s="49">
        <f>VLOOKUP($A94,'Data shares'!$C:$FB,62)</f>
        <v>350025</v>
      </c>
      <c r="N94" s="49">
        <f>VLOOKUP($A94,'Data shares'!$C:$FB,63)</f>
        <v>283400</v>
      </c>
      <c r="O94" s="140">
        <f>VLOOKUP($A94,'Data shares'!$C:$FB,65)*100</f>
        <v>23.51</v>
      </c>
    </row>
    <row r="95" spans="1:15" x14ac:dyDescent="0.25">
      <c r="A95" s="101" t="str">
        <f>'Data Vlaue (Cr)'!C90</f>
        <v>ICICIPRULI</v>
      </c>
      <c r="B95" s="50">
        <f>VLOOKUP($A95,'Data shares'!$C:$FB,7)</f>
        <v>535.54999999999995</v>
      </c>
      <c r="C95" s="50">
        <f>VLOOKUP($A95,'Data shares'!$C:$FB,10)*100</f>
        <v>4.22</v>
      </c>
      <c r="D95" s="49">
        <f>VLOOKUP($A95,'Data shares'!$C:$FB,66)</f>
        <v>12377425</v>
      </c>
      <c r="E95" s="49">
        <f>VLOOKUP($A95,'Data shares'!$C:$FB,67)</f>
        <v>5636950</v>
      </c>
      <c r="F95" s="50">
        <f>VLOOKUP($A95,'Data shares'!$C:$FB,69)*100</f>
        <v>119.58</v>
      </c>
      <c r="G95" s="49">
        <f>VLOOKUP($A95,'Data shares'!$C:$FB,42)</f>
        <v>3364225</v>
      </c>
      <c r="H95" s="49">
        <f>VLOOKUP($A95,'Data shares'!$C:$FB,43)</f>
        <v>1322750</v>
      </c>
      <c r="I95" s="50">
        <f>VLOOKUP($A95,'Data shares'!$C:$FB,45)*100</f>
        <v>154.34</v>
      </c>
      <c r="J95" s="49">
        <f>VLOOKUP($A95,'Data shares'!$C:$FB,58)</f>
        <v>6417650</v>
      </c>
      <c r="K95" s="49">
        <f>VLOOKUP($A95,'Data shares'!$C:$FB,59)</f>
        <v>2984050</v>
      </c>
      <c r="L95" s="50">
        <f>VLOOKUP($A95,'Data shares'!$C:$FB,61)*100</f>
        <v>115.07000000000001</v>
      </c>
      <c r="M95" s="49">
        <f>VLOOKUP($A95,'Data shares'!$C:$FB,62)</f>
        <v>2595550</v>
      </c>
      <c r="N95" s="49">
        <f>VLOOKUP($A95,'Data shares'!$C:$FB,63)</f>
        <v>1330150</v>
      </c>
      <c r="O95" s="140">
        <f>VLOOKUP($A95,'Data shares'!$C:$FB,65)*100</f>
        <v>95.13000000000001</v>
      </c>
    </row>
    <row r="96" spans="1:15" x14ac:dyDescent="0.25">
      <c r="A96" s="101" t="str">
        <f>'Data Vlaue (Cr)'!C91</f>
        <v>IDEA</v>
      </c>
      <c r="B96" s="50">
        <f>VLOOKUP($A96,'Data shares'!$C:$FB,7)</f>
        <v>10.52</v>
      </c>
      <c r="C96" s="50">
        <f>VLOOKUP($A96,'Data shares'!$C:$FB,10)*100</f>
        <v>2.94</v>
      </c>
      <c r="D96" s="49">
        <f>VLOOKUP($A96,'Data shares'!$C:$FB,66)</f>
        <v>5360553525</v>
      </c>
      <c r="E96" s="49">
        <f>VLOOKUP($A96,'Data shares'!$C:$FB,67)</f>
        <v>2135172675</v>
      </c>
      <c r="F96" s="50">
        <f>VLOOKUP($A96,'Data shares'!$C:$FB,69)*100</f>
        <v>151.06</v>
      </c>
      <c r="G96" s="49">
        <f>VLOOKUP($A96,'Data shares'!$C:$FB,42)</f>
        <v>1601111475</v>
      </c>
      <c r="H96" s="49">
        <f>VLOOKUP($A96,'Data shares'!$C:$FB,43)</f>
        <v>421845450</v>
      </c>
      <c r="I96" s="50">
        <f>VLOOKUP($A96,'Data shares'!$C:$FB,45)*100</f>
        <v>279.55</v>
      </c>
      <c r="J96" s="49">
        <f>VLOOKUP($A96,'Data shares'!$C:$FB,58)</f>
        <v>3029110500</v>
      </c>
      <c r="K96" s="49">
        <f>VLOOKUP($A96,'Data shares'!$C:$FB,59)</f>
        <v>1325360925</v>
      </c>
      <c r="L96" s="50">
        <f>VLOOKUP($A96,'Data shares'!$C:$FB,61)*100</f>
        <v>128.55000000000001</v>
      </c>
      <c r="M96" s="49">
        <f>VLOOKUP($A96,'Data shares'!$C:$FB,62)</f>
        <v>730331550</v>
      </c>
      <c r="N96" s="49">
        <f>VLOOKUP($A96,'Data shares'!$C:$FB,63)</f>
        <v>387966300</v>
      </c>
      <c r="O96" s="140">
        <f>VLOOKUP($A96,'Data shares'!$C:$FB,65)*100</f>
        <v>88.25</v>
      </c>
    </row>
    <row r="97" spans="1:15" x14ac:dyDescent="0.25">
      <c r="A97" s="101" t="str">
        <f>'Data Vlaue (Cr)'!C92</f>
        <v>IDFCFIRSTB</v>
      </c>
      <c r="B97" s="50">
        <f>VLOOKUP($A97,'Data shares'!$C:$FB,7)</f>
        <v>69.59</v>
      </c>
      <c r="C97" s="50">
        <f>VLOOKUP($A97,'Data shares'!$C:$FB,10)*100</f>
        <v>-6.9999999999999993E-2</v>
      </c>
      <c r="D97" s="49">
        <f>VLOOKUP($A97,'Data shares'!$C:$FB,66)</f>
        <v>162034250</v>
      </c>
      <c r="E97" s="49">
        <f>VLOOKUP($A97,'Data shares'!$C:$FB,67)</f>
        <v>175306775</v>
      </c>
      <c r="F97" s="50">
        <f>VLOOKUP($A97,'Data shares'!$C:$FB,69)*100</f>
        <v>-7.57</v>
      </c>
      <c r="G97" s="49">
        <f>VLOOKUP($A97,'Data shares'!$C:$FB,42)</f>
        <v>34530825</v>
      </c>
      <c r="H97" s="49">
        <f>VLOOKUP($A97,'Data shares'!$C:$FB,43)</f>
        <v>48842150</v>
      </c>
      <c r="I97" s="50">
        <f>VLOOKUP($A97,'Data shares'!$C:$FB,45)*100</f>
        <v>-29.299999999999997</v>
      </c>
      <c r="J97" s="49">
        <f>VLOOKUP($A97,'Data shares'!$C:$FB,58)</f>
        <v>67021150</v>
      </c>
      <c r="K97" s="49">
        <f>VLOOKUP($A97,'Data shares'!$C:$FB,59)</f>
        <v>73458000</v>
      </c>
      <c r="L97" s="50">
        <f>VLOOKUP($A97,'Data shares'!$C:$FB,61)*100</f>
        <v>-8.76</v>
      </c>
      <c r="M97" s="49">
        <f>VLOOKUP($A97,'Data shares'!$C:$FB,62)</f>
        <v>60482275</v>
      </c>
      <c r="N97" s="49">
        <f>VLOOKUP($A97,'Data shares'!$C:$FB,63)</f>
        <v>53006625</v>
      </c>
      <c r="O97" s="140">
        <f>VLOOKUP($A97,'Data shares'!$C:$FB,65)*100</f>
        <v>14.099999999999998</v>
      </c>
    </row>
    <row r="98" spans="1:15" x14ac:dyDescent="0.25">
      <c r="A98" s="101" t="str">
        <f>'Data Vlaue (Cr)'!C93</f>
        <v>IEX</v>
      </c>
      <c r="B98" s="50">
        <f>VLOOKUP($A98,'Data shares'!$C:$FB,7)</f>
        <v>126.97</v>
      </c>
      <c r="C98" s="50">
        <f>VLOOKUP($A98,'Data shares'!$C:$FB,10)*100</f>
        <v>1.4200000000000002</v>
      </c>
      <c r="D98" s="49">
        <f>VLOOKUP($A98,'Data shares'!$C:$FB,66)</f>
        <v>53943750</v>
      </c>
      <c r="E98" s="49">
        <f>VLOOKUP($A98,'Data shares'!$C:$FB,67)</f>
        <v>39997500</v>
      </c>
      <c r="F98" s="50">
        <f>VLOOKUP($A98,'Data shares'!$C:$FB,69)*100</f>
        <v>34.870000000000005</v>
      </c>
      <c r="G98" s="49">
        <f>VLOOKUP($A98,'Data shares'!$C:$FB,42)</f>
        <v>8490000</v>
      </c>
      <c r="H98" s="49">
        <f>VLOOKUP($A98,'Data shares'!$C:$FB,43)</f>
        <v>5595000</v>
      </c>
      <c r="I98" s="50">
        <f>VLOOKUP($A98,'Data shares'!$C:$FB,45)*100</f>
        <v>51.739999999999995</v>
      </c>
      <c r="J98" s="49">
        <f>VLOOKUP($A98,'Data shares'!$C:$FB,58)</f>
        <v>31252500</v>
      </c>
      <c r="K98" s="49">
        <f>VLOOKUP($A98,'Data shares'!$C:$FB,59)</f>
        <v>25413750</v>
      </c>
      <c r="L98" s="50">
        <f>VLOOKUP($A98,'Data shares'!$C:$FB,61)*100</f>
        <v>22.97</v>
      </c>
      <c r="M98" s="49">
        <f>VLOOKUP($A98,'Data shares'!$C:$FB,62)</f>
        <v>14201250</v>
      </c>
      <c r="N98" s="49">
        <f>VLOOKUP($A98,'Data shares'!$C:$FB,63)</f>
        <v>8988750</v>
      </c>
      <c r="O98" s="140">
        <f>VLOOKUP($A98,'Data shares'!$C:$FB,65)*100</f>
        <v>57.989999999999995</v>
      </c>
    </row>
    <row r="99" spans="1:15" x14ac:dyDescent="0.25">
      <c r="A99" s="101" t="str">
        <f>'Data Vlaue (Cr)'!C94</f>
        <v>INDHOTEL</v>
      </c>
      <c r="B99" s="50">
        <f>VLOOKUP($A99,'Data shares'!$C:$FB,7)</f>
        <v>643.70000000000005</v>
      </c>
      <c r="C99" s="50">
        <f>VLOOKUP($A99,'Data shares'!$C:$FB,10)*100</f>
        <v>1.23</v>
      </c>
      <c r="D99" s="49">
        <f>VLOOKUP($A99,'Data shares'!$C:$FB,66)</f>
        <v>7345000</v>
      </c>
      <c r="E99" s="49">
        <f>VLOOKUP($A99,'Data shares'!$C:$FB,67)</f>
        <v>11362000</v>
      </c>
      <c r="F99" s="50">
        <f>VLOOKUP($A99,'Data shares'!$C:$FB,69)*100</f>
        <v>-35.35</v>
      </c>
      <c r="G99" s="49">
        <f>VLOOKUP($A99,'Data shares'!$C:$FB,42)</f>
        <v>2007000</v>
      </c>
      <c r="H99" s="49">
        <f>VLOOKUP($A99,'Data shares'!$C:$FB,43)</f>
        <v>2195000</v>
      </c>
      <c r="I99" s="50">
        <f>VLOOKUP($A99,'Data shares'!$C:$FB,45)*100</f>
        <v>-8.5599999999999987</v>
      </c>
      <c r="J99" s="49">
        <f>VLOOKUP($A99,'Data shares'!$C:$FB,58)</f>
        <v>3085000</v>
      </c>
      <c r="K99" s="49">
        <f>VLOOKUP($A99,'Data shares'!$C:$FB,59)</f>
        <v>5031000</v>
      </c>
      <c r="L99" s="50">
        <f>VLOOKUP($A99,'Data shares'!$C:$FB,61)*100</f>
        <v>-38.68</v>
      </c>
      <c r="M99" s="49">
        <f>VLOOKUP($A99,'Data shares'!$C:$FB,62)</f>
        <v>2253000</v>
      </c>
      <c r="N99" s="49">
        <f>VLOOKUP($A99,'Data shares'!$C:$FB,63)</f>
        <v>4136000</v>
      </c>
      <c r="O99" s="140">
        <f>VLOOKUP($A99,'Data shares'!$C:$FB,65)*100</f>
        <v>-45.53</v>
      </c>
    </row>
    <row r="100" spans="1:15" x14ac:dyDescent="0.25">
      <c r="A100" s="101" t="str">
        <f>'Data Vlaue (Cr)'!C95</f>
        <v>INDIANB</v>
      </c>
      <c r="B100" s="50">
        <f>VLOOKUP($A100,'Data shares'!$C:$FB,7)</f>
        <v>830.35</v>
      </c>
      <c r="C100" s="50">
        <f>VLOOKUP($A100,'Data shares'!$C:$FB,10)*100</f>
        <v>-2.52</v>
      </c>
      <c r="D100" s="49">
        <f>VLOOKUP($A100,'Data shares'!$C:$FB,66)</f>
        <v>14452000</v>
      </c>
      <c r="E100" s="49">
        <f>VLOOKUP($A100,'Data shares'!$C:$FB,67)</f>
        <v>53628000</v>
      </c>
      <c r="F100" s="50">
        <f>VLOOKUP($A100,'Data shares'!$C:$FB,69)*100</f>
        <v>-73.05</v>
      </c>
      <c r="G100" s="49">
        <f>VLOOKUP($A100,'Data shares'!$C:$FB,42)</f>
        <v>2966000</v>
      </c>
      <c r="H100" s="49">
        <f>VLOOKUP($A100,'Data shares'!$C:$FB,43)</f>
        <v>8994000</v>
      </c>
      <c r="I100" s="50">
        <f>VLOOKUP($A100,'Data shares'!$C:$FB,45)*100</f>
        <v>-67.02</v>
      </c>
      <c r="J100" s="49">
        <f>VLOOKUP($A100,'Data shares'!$C:$FB,58)</f>
        <v>8222000</v>
      </c>
      <c r="K100" s="49">
        <f>VLOOKUP($A100,'Data shares'!$C:$FB,59)</f>
        <v>26506000</v>
      </c>
      <c r="L100" s="50">
        <f>VLOOKUP($A100,'Data shares'!$C:$FB,61)*100</f>
        <v>-68.97999999999999</v>
      </c>
      <c r="M100" s="49">
        <f>VLOOKUP($A100,'Data shares'!$C:$FB,62)</f>
        <v>3264000</v>
      </c>
      <c r="N100" s="49">
        <f>VLOOKUP($A100,'Data shares'!$C:$FB,63)</f>
        <v>18128000</v>
      </c>
      <c r="O100" s="140">
        <f>VLOOKUP($A100,'Data shares'!$C:$FB,65)*100</f>
        <v>-81.99</v>
      </c>
    </row>
    <row r="101" spans="1:15" x14ac:dyDescent="0.25">
      <c r="A101" s="101" t="str">
        <f>'Data Vlaue (Cr)'!C96</f>
        <v>INDIAVIX</v>
      </c>
      <c r="B101" s="50">
        <f>VLOOKUP($A101,'Data shares'!$C:$FB,7)</f>
        <v>18.3</v>
      </c>
      <c r="C101" s="50">
        <f>VLOOKUP($A101,'Data shares'!$C:$FB,10)*100</f>
        <v>-0.86999999999999988</v>
      </c>
      <c r="D101" s="49">
        <f>VLOOKUP($A101,'Data shares'!$C:$FB,66)</f>
        <v>0</v>
      </c>
      <c r="E101" s="49">
        <f>VLOOKUP($A101,'Data shares'!$C:$FB,67)</f>
        <v>0</v>
      </c>
      <c r="F101" s="50">
        <f>VLOOKUP($A101,'Data shares'!$C:$FB,69)*100</f>
        <v>0</v>
      </c>
      <c r="G101" s="49">
        <f>VLOOKUP($A101,'Data shares'!$C:$FB,42)</f>
        <v>0</v>
      </c>
      <c r="H101" s="49">
        <f>VLOOKUP($A101,'Data shares'!$C:$FB,43)</f>
        <v>0</v>
      </c>
      <c r="I101" s="50">
        <f>VLOOKUP($A101,'Data shares'!$C:$FB,45)*100</f>
        <v>0</v>
      </c>
      <c r="J101" s="49">
        <f>VLOOKUP($A101,'Data shares'!$C:$FB,58)</f>
        <v>0</v>
      </c>
      <c r="K101" s="49">
        <f>VLOOKUP($A101,'Data shares'!$C:$FB,59)</f>
        <v>0</v>
      </c>
      <c r="L101" s="50">
        <f>VLOOKUP($A101,'Data shares'!$C:$FB,61)*100</f>
        <v>0</v>
      </c>
      <c r="M101" s="49">
        <f>VLOOKUP($A101,'Data shares'!$C:$FB,62)</f>
        <v>0</v>
      </c>
      <c r="N101" s="49">
        <f>VLOOKUP($A101,'Data shares'!$C:$FB,63)</f>
        <v>0</v>
      </c>
      <c r="O101" s="140">
        <f>VLOOKUP($A101,'Data shares'!$C:$FB,65)*100</f>
        <v>0</v>
      </c>
    </row>
    <row r="102" spans="1:15" x14ac:dyDescent="0.25">
      <c r="A102" s="101" t="str">
        <f>'Data Vlaue (Cr)'!C97</f>
        <v>INDIGO</v>
      </c>
      <c r="B102" s="50">
        <f>VLOOKUP($A102,'Data shares'!$C:$FB,7)</f>
        <v>4262.3999999999996</v>
      </c>
      <c r="C102" s="50">
        <f>VLOOKUP($A102,'Data shares'!$C:$FB,10)*100</f>
        <v>-0.77</v>
      </c>
      <c r="D102" s="49">
        <f>VLOOKUP($A102,'Data shares'!$C:$FB,66)</f>
        <v>7561800</v>
      </c>
      <c r="E102" s="49">
        <f>VLOOKUP($A102,'Data shares'!$C:$FB,67)</f>
        <v>9940050</v>
      </c>
      <c r="F102" s="50">
        <f>VLOOKUP($A102,'Data shares'!$C:$FB,69)*100</f>
        <v>-23.93</v>
      </c>
      <c r="G102" s="49">
        <f>VLOOKUP($A102,'Data shares'!$C:$FB,42)</f>
        <v>1411050</v>
      </c>
      <c r="H102" s="49">
        <f>VLOOKUP($A102,'Data shares'!$C:$FB,43)</f>
        <v>1823550</v>
      </c>
      <c r="I102" s="50">
        <f>VLOOKUP($A102,'Data shares'!$C:$FB,45)*100</f>
        <v>-22.62</v>
      </c>
      <c r="J102" s="49">
        <f>VLOOKUP($A102,'Data shares'!$C:$FB,58)</f>
        <v>3537000</v>
      </c>
      <c r="K102" s="49">
        <f>VLOOKUP($A102,'Data shares'!$C:$FB,59)</f>
        <v>3686850</v>
      </c>
      <c r="L102" s="50">
        <f>VLOOKUP($A102,'Data shares'!$C:$FB,61)*100</f>
        <v>-4.0599999999999996</v>
      </c>
      <c r="M102" s="49">
        <f>VLOOKUP($A102,'Data shares'!$C:$FB,62)</f>
        <v>2613750</v>
      </c>
      <c r="N102" s="49">
        <f>VLOOKUP($A102,'Data shares'!$C:$FB,63)</f>
        <v>4429650</v>
      </c>
      <c r="O102" s="140">
        <f>VLOOKUP($A102,'Data shares'!$C:$FB,65)*100</f>
        <v>-40.99</v>
      </c>
    </row>
    <row r="103" spans="1:15" x14ac:dyDescent="0.25">
      <c r="A103" s="101" t="str">
        <f>'Data Vlaue (Cr)'!C98</f>
        <v>INDUSINDBK</v>
      </c>
      <c r="B103" s="50">
        <f>VLOOKUP($A103,'Data shares'!$C:$FB,7)</f>
        <v>913.9</v>
      </c>
      <c r="C103" s="50">
        <f>VLOOKUP($A103,'Data shares'!$C:$FB,10)*100</f>
        <v>-0.22999999999999998</v>
      </c>
      <c r="D103" s="49">
        <f>VLOOKUP($A103,'Data shares'!$C:$FB,66)</f>
        <v>19595800</v>
      </c>
      <c r="E103" s="49">
        <f>VLOOKUP($A103,'Data shares'!$C:$FB,67)</f>
        <v>21750400</v>
      </c>
      <c r="F103" s="50">
        <f>VLOOKUP($A103,'Data shares'!$C:$FB,69)*100</f>
        <v>-9.91</v>
      </c>
      <c r="G103" s="49">
        <f>VLOOKUP($A103,'Data shares'!$C:$FB,42)</f>
        <v>4263000</v>
      </c>
      <c r="H103" s="49">
        <f>VLOOKUP($A103,'Data shares'!$C:$FB,43)</f>
        <v>4361000</v>
      </c>
      <c r="I103" s="50">
        <f>VLOOKUP($A103,'Data shares'!$C:$FB,45)*100</f>
        <v>-2.25</v>
      </c>
      <c r="J103" s="49">
        <f>VLOOKUP($A103,'Data shares'!$C:$FB,58)</f>
        <v>8281700</v>
      </c>
      <c r="K103" s="49">
        <f>VLOOKUP($A103,'Data shares'!$C:$FB,59)</f>
        <v>9218300</v>
      </c>
      <c r="L103" s="50">
        <f>VLOOKUP($A103,'Data shares'!$C:$FB,61)*100</f>
        <v>-10.16</v>
      </c>
      <c r="M103" s="49">
        <f>VLOOKUP($A103,'Data shares'!$C:$FB,62)</f>
        <v>7051100</v>
      </c>
      <c r="N103" s="49">
        <f>VLOOKUP($A103,'Data shares'!$C:$FB,63)</f>
        <v>8171100</v>
      </c>
      <c r="O103" s="140">
        <f>VLOOKUP($A103,'Data shares'!$C:$FB,65)*100</f>
        <v>-13.71</v>
      </c>
    </row>
    <row r="104" spans="1:15" x14ac:dyDescent="0.25">
      <c r="A104" s="101" t="str">
        <f>'Data Vlaue (Cr)'!C99</f>
        <v>INDUSTOWER</v>
      </c>
      <c r="B104" s="50">
        <f>VLOOKUP($A104,'Data shares'!$C:$FB,7)</f>
        <v>400.25</v>
      </c>
      <c r="C104" s="50">
        <f>VLOOKUP($A104,'Data shares'!$C:$FB,10)*100</f>
        <v>-2.37</v>
      </c>
      <c r="D104" s="49">
        <f>VLOOKUP($A104,'Data shares'!$C:$FB,66)</f>
        <v>143291300</v>
      </c>
      <c r="E104" s="49">
        <f>VLOOKUP($A104,'Data shares'!$C:$FB,67)</f>
        <v>42018900</v>
      </c>
      <c r="F104" s="50">
        <f>VLOOKUP($A104,'Data shares'!$C:$FB,69)*100</f>
        <v>241.02</v>
      </c>
      <c r="G104" s="49">
        <f>VLOOKUP($A104,'Data shares'!$C:$FB,42)</f>
        <v>24738400</v>
      </c>
      <c r="H104" s="49">
        <f>VLOOKUP($A104,'Data shares'!$C:$FB,43)</f>
        <v>7694200</v>
      </c>
      <c r="I104" s="50">
        <f>VLOOKUP($A104,'Data shares'!$C:$FB,45)*100</f>
        <v>221.51999999999998</v>
      </c>
      <c r="J104" s="49">
        <f>VLOOKUP($A104,'Data shares'!$C:$FB,58)</f>
        <v>80233200</v>
      </c>
      <c r="K104" s="49">
        <f>VLOOKUP($A104,'Data shares'!$C:$FB,59)</f>
        <v>21800800</v>
      </c>
      <c r="L104" s="50">
        <f>VLOOKUP($A104,'Data shares'!$C:$FB,61)*100</f>
        <v>268.02999999999997</v>
      </c>
      <c r="M104" s="49">
        <f>VLOOKUP($A104,'Data shares'!$C:$FB,62)</f>
        <v>38319700</v>
      </c>
      <c r="N104" s="49">
        <f>VLOOKUP($A104,'Data shares'!$C:$FB,63)</f>
        <v>12523900</v>
      </c>
      <c r="O104" s="140">
        <f>VLOOKUP($A104,'Data shares'!$C:$FB,65)*100</f>
        <v>205.97</v>
      </c>
    </row>
    <row r="105" spans="1:15" x14ac:dyDescent="0.25">
      <c r="A105" s="101" t="str">
        <f>'Data Vlaue (Cr)'!C100</f>
        <v>INFY</v>
      </c>
      <c r="B105" s="50">
        <f>VLOOKUP($A105,'Data shares'!$C:$FB,7)</f>
        <v>1168.4000000000001</v>
      </c>
      <c r="C105" s="50">
        <f>VLOOKUP($A105,'Data shares'!$C:$FB,10)*100</f>
        <v>-1.1299999999999999</v>
      </c>
      <c r="D105" s="49">
        <f>VLOOKUP($A105,'Data shares'!$C:$FB,66)</f>
        <v>37360400</v>
      </c>
      <c r="E105" s="49">
        <f>VLOOKUP($A105,'Data shares'!$C:$FB,67)</f>
        <v>57200400</v>
      </c>
      <c r="F105" s="50">
        <f>VLOOKUP($A105,'Data shares'!$C:$FB,69)*100</f>
        <v>-34.69</v>
      </c>
      <c r="G105" s="49">
        <f>VLOOKUP($A105,'Data shares'!$C:$FB,42)</f>
        <v>6088800</v>
      </c>
      <c r="H105" s="49">
        <f>VLOOKUP($A105,'Data shares'!$C:$FB,43)</f>
        <v>9730000</v>
      </c>
      <c r="I105" s="50">
        <f>VLOOKUP($A105,'Data shares'!$C:$FB,45)*100</f>
        <v>-37.419999999999995</v>
      </c>
      <c r="J105" s="49">
        <f>VLOOKUP($A105,'Data shares'!$C:$FB,58)</f>
        <v>20477200</v>
      </c>
      <c r="K105" s="49">
        <f>VLOOKUP($A105,'Data shares'!$C:$FB,59)</f>
        <v>30620400</v>
      </c>
      <c r="L105" s="50">
        <f>VLOOKUP($A105,'Data shares'!$C:$FB,61)*100</f>
        <v>-33.129999999999995</v>
      </c>
      <c r="M105" s="49">
        <f>VLOOKUP($A105,'Data shares'!$C:$FB,62)</f>
        <v>10794400</v>
      </c>
      <c r="N105" s="49">
        <f>VLOOKUP($A105,'Data shares'!$C:$FB,63)</f>
        <v>16850000</v>
      </c>
      <c r="O105" s="140">
        <f>VLOOKUP($A105,'Data shares'!$C:$FB,65)*100</f>
        <v>-35.94</v>
      </c>
    </row>
    <row r="106" spans="1:15" x14ac:dyDescent="0.25">
      <c r="A106" s="101" t="str">
        <f>'Data Vlaue (Cr)'!C101</f>
        <v>INOXWIND</v>
      </c>
      <c r="B106" s="50">
        <f>VLOOKUP($A106,'Data shares'!$C:$FB,7)</f>
        <v>103.38</v>
      </c>
      <c r="C106" s="50">
        <f>VLOOKUP($A106,'Data shares'!$C:$FB,10)*100</f>
        <v>2.41</v>
      </c>
      <c r="D106" s="49">
        <f>VLOOKUP($A106,'Data shares'!$C:$FB,66)</f>
        <v>66452100</v>
      </c>
      <c r="E106" s="49">
        <f>VLOOKUP($A106,'Data shares'!$C:$FB,67)</f>
        <v>39543075</v>
      </c>
      <c r="F106" s="50">
        <f>VLOOKUP($A106,'Data shares'!$C:$FB,69)*100</f>
        <v>68.05</v>
      </c>
      <c r="G106" s="49">
        <f>VLOOKUP($A106,'Data shares'!$C:$FB,42)</f>
        <v>30376775</v>
      </c>
      <c r="H106" s="49">
        <f>VLOOKUP($A106,'Data shares'!$C:$FB,43)</f>
        <v>19927050</v>
      </c>
      <c r="I106" s="50">
        <f>VLOOKUP($A106,'Data shares'!$C:$FB,45)*100</f>
        <v>52.44</v>
      </c>
      <c r="J106" s="49">
        <f>VLOOKUP($A106,'Data shares'!$C:$FB,58)</f>
        <v>26322725</v>
      </c>
      <c r="K106" s="49">
        <f>VLOOKUP($A106,'Data shares'!$C:$FB,59)</f>
        <v>13195325</v>
      </c>
      <c r="L106" s="50">
        <f>VLOOKUP($A106,'Data shares'!$C:$FB,61)*100</f>
        <v>99.49</v>
      </c>
      <c r="M106" s="49">
        <f>VLOOKUP($A106,'Data shares'!$C:$FB,62)</f>
        <v>9752600</v>
      </c>
      <c r="N106" s="49">
        <f>VLOOKUP($A106,'Data shares'!$C:$FB,63)</f>
        <v>6420700</v>
      </c>
      <c r="O106" s="140">
        <f>VLOOKUP($A106,'Data shares'!$C:$FB,65)*100</f>
        <v>51.89</v>
      </c>
    </row>
    <row r="107" spans="1:15" x14ac:dyDescent="0.25">
      <c r="A107" s="101" t="str">
        <f>'Data Vlaue (Cr)'!C102</f>
        <v>IOC</v>
      </c>
      <c r="B107" s="50">
        <f>VLOOKUP($A107,'Data shares'!$C:$FB,7)</f>
        <v>142.26</v>
      </c>
      <c r="C107" s="50">
        <f>VLOOKUP($A107,'Data shares'!$C:$FB,10)*100</f>
        <v>0.01</v>
      </c>
      <c r="D107" s="49">
        <f>VLOOKUP($A107,'Data shares'!$C:$FB,66)</f>
        <v>45074250</v>
      </c>
      <c r="E107" s="49">
        <f>VLOOKUP($A107,'Data shares'!$C:$FB,67)</f>
        <v>70453500</v>
      </c>
      <c r="F107" s="50">
        <f>VLOOKUP($A107,'Data shares'!$C:$FB,69)*100</f>
        <v>-36.020000000000003</v>
      </c>
      <c r="G107" s="49">
        <f>VLOOKUP($A107,'Data shares'!$C:$FB,42)</f>
        <v>8643375</v>
      </c>
      <c r="H107" s="49">
        <f>VLOOKUP($A107,'Data shares'!$C:$FB,43)</f>
        <v>20855250</v>
      </c>
      <c r="I107" s="50">
        <f>VLOOKUP($A107,'Data shares'!$C:$FB,45)*100</f>
        <v>-58.56</v>
      </c>
      <c r="J107" s="49">
        <f>VLOOKUP($A107,'Data shares'!$C:$FB,58)</f>
        <v>23424375</v>
      </c>
      <c r="K107" s="49">
        <f>VLOOKUP($A107,'Data shares'!$C:$FB,59)</f>
        <v>29030625</v>
      </c>
      <c r="L107" s="50">
        <f>VLOOKUP($A107,'Data shares'!$C:$FB,61)*100</f>
        <v>-19.309999999999999</v>
      </c>
      <c r="M107" s="49">
        <f>VLOOKUP($A107,'Data shares'!$C:$FB,62)</f>
        <v>13006500</v>
      </c>
      <c r="N107" s="49">
        <f>VLOOKUP($A107,'Data shares'!$C:$FB,63)</f>
        <v>20567625</v>
      </c>
      <c r="O107" s="140">
        <f>VLOOKUP($A107,'Data shares'!$C:$FB,65)*100</f>
        <v>-36.76</v>
      </c>
    </row>
    <row r="108" spans="1:15" x14ac:dyDescent="0.25">
      <c r="A108" s="101" t="str">
        <f>'Data Vlaue (Cr)'!C103</f>
        <v>IREDA</v>
      </c>
      <c r="B108" s="50">
        <f>VLOOKUP($A108,'Data shares'!$C:$FB,7)</f>
        <v>135.36000000000001</v>
      </c>
      <c r="C108" s="50">
        <f>VLOOKUP($A108,'Data shares'!$C:$FB,10)*100</f>
        <v>0.19</v>
      </c>
      <c r="D108" s="49">
        <f>VLOOKUP($A108,'Data shares'!$C:$FB,66)</f>
        <v>19395900</v>
      </c>
      <c r="E108" s="49">
        <f>VLOOKUP($A108,'Data shares'!$C:$FB,67)</f>
        <v>21293400</v>
      </c>
      <c r="F108" s="50">
        <f>VLOOKUP($A108,'Data shares'!$C:$FB,69)*100</f>
        <v>-8.91</v>
      </c>
      <c r="G108" s="49">
        <f>VLOOKUP($A108,'Data shares'!$C:$FB,42)</f>
        <v>5899500</v>
      </c>
      <c r="H108" s="49">
        <f>VLOOKUP($A108,'Data shares'!$C:$FB,43)</f>
        <v>6040950</v>
      </c>
      <c r="I108" s="50">
        <f>VLOOKUP($A108,'Data shares'!$C:$FB,45)*100</f>
        <v>-2.34</v>
      </c>
      <c r="J108" s="49">
        <f>VLOOKUP($A108,'Data shares'!$C:$FB,58)</f>
        <v>9528900</v>
      </c>
      <c r="K108" s="49">
        <f>VLOOKUP($A108,'Data shares'!$C:$FB,59)</f>
        <v>11057250</v>
      </c>
      <c r="L108" s="50">
        <f>VLOOKUP($A108,'Data shares'!$C:$FB,61)*100</f>
        <v>-13.819999999999999</v>
      </c>
      <c r="M108" s="49">
        <f>VLOOKUP($A108,'Data shares'!$C:$FB,62)</f>
        <v>3967500</v>
      </c>
      <c r="N108" s="49">
        <f>VLOOKUP($A108,'Data shares'!$C:$FB,63)</f>
        <v>4195200</v>
      </c>
      <c r="O108" s="140">
        <f>VLOOKUP($A108,'Data shares'!$C:$FB,65)*100</f>
        <v>-5.43</v>
      </c>
    </row>
    <row r="109" spans="1:15" x14ac:dyDescent="0.25">
      <c r="A109" s="101" t="str">
        <f>'Data Vlaue (Cr)'!C104</f>
        <v>IRFC</v>
      </c>
      <c r="B109" s="50">
        <f>VLOOKUP($A109,'Data shares'!$C:$FB,7)</f>
        <v>104.41</v>
      </c>
      <c r="C109" s="50">
        <f>VLOOKUP($A109,'Data shares'!$C:$FB,10)*100</f>
        <v>0.19</v>
      </c>
      <c r="D109" s="49">
        <f>VLOOKUP($A109,'Data shares'!$C:$FB,66)</f>
        <v>25143000</v>
      </c>
      <c r="E109" s="49">
        <f>VLOOKUP($A109,'Data shares'!$C:$FB,67)</f>
        <v>26350000</v>
      </c>
      <c r="F109" s="50">
        <f>VLOOKUP($A109,'Data shares'!$C:$FB,69)*100</f>
        <v>-4.58</v>
      </c>
      <c r="G109" s="49">
        <f>VLOOKUP($A109,'Data shares'!$C:$FB,42)</f>
        <v>5372000</v>
      </c>
      <c r="H109" s="49">
        <f>VLOOKUP($A109,'Data shares'!$C:$FB,43)</f>
        <v>7518250</v>
      </c>
      <c r="I109" s="50">
        <f>VLOOKUP($A109,'Data shares'!$C:$FB,45)*100</f>
        <v>-28.549999999999997</v>
      </c>
      <c r="J109" s="49">
        <f>VLOOKUP($A109,'Data shares'!$C:$FB,58)</f>
        <v>13051750</v>
      </c>
      <c r="K109" s="49">
        <f>VLOOKUP($A109,'Data shares'!$C:$FB,59)</f>
        <v>11653500</v>
      </c>
      <c r="L109" s="50">
        <f>VLOOKUP($A109,'Data shares'!$C:$FB,61)*100</f>
        <v>12</v>
      </c>
      <c r="M109" s="49">
        <f>VLOOKUP($A109,'Data shares'!$C:$FB,62)</f>
        <v>6719250</v>
      </c>
      <c r="N109" s="49">
        <f>VLOOKUP($A109,'Data shares'!$C:$FB,63)</f>
        <v>7178250</v>
      </c>
      <c r="O109" s="140">
        <f>VLOOKUP($A109,'Data shares'!$C:$FB,65)*100</f>
        <v>-6.39</v>
      </c>
    </row>
    <row r="110" spans="1:15" x14ac:dyDescent="0.25">
      <c r="A110" s="101" t="str">
        <f>'Data Vlaue (Cr)'!C105</f>
        <v>ITC</v>
      </c>
      <c r="B110" s="50">
        <f>VLOOKUP($A110,'Data shares'!$C:$FB,7)</f>
        <v>311.10000000000002</v>
      </c>
      <c r="C110" s="50">
        <f>VLOOKUP($A110,'Data shares'!$C:$FB,10)*100</f>
        <v>-1.21</v>
      </c>
      <c r="D110" s="49">
        <f>VLOOKUP($A110,'Data shares'!$C:$FB,66)</f>
        <v>206670400</v>
      </c>
      <c r="E110" s="49">
        <f>VLOOKUP($A110,'Data shares'!$C:$FB,67)</f>
        <v>175793600</v>
      </c>
      <c r="F110" s="50">
        <f>VLOOKUP($A110,'Data shares'!$C:$FB,69)*100</f>
        <v>17.560000000000002</v>
      </c>
      <c r="G110" s="49">
        <f>VLOOKUP($A110,'Data shares'!$C:$FB,42)</f>
        <v>20025600</v>
      </c>
      <c r="H110" s="49">
        <f>VLOOKUP($A110,'Data shares'!$C:$FB,43)</f>
        <v>19436800</v>
      </c>
      <c r="I110" s="50">
        <f>VLOOKUP($A110,'Data shares'!$C:$FB,45)*100</f>
        <v>3.0300000000000002</v>
      </c>
      <c r="J110" s="49">
        <f>VLOOKUP($A110,'Data shares'!$C:$FB,58)</f>
        <v>146403200</v>
      </c>
      <c r="K110" s="49">
        <f>VLOOKUP($A110,'Data shares'!$C:$FB,59)</f>
        <v>115508800</v>
      </c>
      <c r="L110" s="50">
        <f>VLOOKUP($A110,'Data shares'!$C:$FB,61)*100</f>
        <v>26.75</v>
      </c>
      <c r="M110" s="49">
        <f>VLOOKUP($A110,'Data shares'!$C:$FB,62)</f>
        <v>40241600</v>
      </c>
      <c r="N110" s="49">
        <f>VLOOKUP($A110,'Data shares'!$C:$FB,63)</f>
        <v>40848000</v>
      </c>
      <c r="O110" s="140">
        <f>VLOOKUP($A110,'Data shares'!$C:$FB,65)*100</f>
        <v>-1.48</v>
      </c>
    </row>
    <row r="111" spans="1:15" x14ac:dyDescent="0.25">
      <c r="A111" s="101" t="str">
        <f>'Data Vlaue (Cr)'!C106</f>
        <v>JINDALSTEL</v>
      </c>
      <c r="B111" s="50">
        <f>VLOOKUP($A111,'Data shares'!$C:$FB,7)</f>
        <v>1261.4000000000001</v>
      </c>
      <c r="C111" s="50">
        <f>VLOOKUP($A111,'Data shares'!$C:$FB,10)*100</f>
        <v>3.1300000000000003</v>
      </c>
      <c r="D111" s="49">
        <f>VLOOKUP($A111,'Data shares'!$C:$FB,66)</f>
        <v>24137500</v>
      </c>
      <c r="E111" s="49">
        <f>VLOOKUP($A111,'Data shares'!$C:$FB,67)</f>
        <v>10445625</v>
      </c>
      <c r="F111" s="50">
        <f>VLOOKUP($A111,'Data shares'!$C:$FB,69)*100</f>
        <v>131.07999999999998</v>
      </c>
      <c r="G111" s="49">
        <f>VLOOKUP($A111,'Data shares'!$C:$FB,42)</f>
        <v>4894375</v>
      </c>
      <c r="H111" s="49">
        <f>VLOOKUP($A111,'Data shares'!$C:$FB,43)</f>
        <v>3167500</v>
      </c>
      <c r="I111" s="50">
        <f>VLOOKUP($A111,'Data shares'!$C:$FB,45)*100</f>
        <v>54.52</v>
      </c>
      <c r="J111" s="49">
        <f>VLOOKUP($A111,'Data shares'!$C:$FB,58)</f>
        <v>12200000</v>
      </c>
      <c r="K111" s="49">
        <f>VLOOKUP($A111,'Data shares'!$C:$FB,59)</f>
        <v>4048125</v>
      </c>
      <c r="L111" s="50">
        <f>VLOOKUP($A111,'Data shares'!$C:$FB,61)*100</f>
        <v>201.37</v>
      </c>
      <c r="M111" s="49">
        <f>VLOOKUP($A111,'Data shares'!$C:$FB,62)</f>
        <v>7043125</v>
      </c>
      <c r="N111" s="49">
        <f>VLOOKUP($A111,'Data shares'!$C:$FB,63)</f>
        <v>3230000</v>
      </c>
      <c r="O111" s="140">
        <f>VLOOKUP($A111,'Data shares'!$C:$FB,65)*100</f>
        <v>118.05000000000001</v>
      </c>
    </row>
    <row r="112" spans="1:15" x14ac:dyDescent="0.25">
      <c r="A112" s="101" t="str">
        <f>'Data Vlaue (Cr)'!C107</f>
        <v>JIOFIN</v>
      </c>
      <c r="B112" s="50">
        <f>VLOOKUP($A112,'Data shares'!$C:$FB,7)</f>
        <v>252.74</v>
      </c>
      <c r="C112" s="50">
        <f>VLOOKUP($A112,'Data shares'!$C:$FB,10)*100</f>
        <v>2.59</v>
      </c>
      <c r="D112" s="49">
        <f>VLOOKUP($A112,'Data shares'!$C:$FB,66)</f>
        <v>101376650</v>
      </c>
      <c r="E112" s="49">
        <f>VLOOKUP($A112,'Data shares'!$C:$FB,67)</f>
        <v>101475350</v>
      </c>
      <c r="F112" s="50">
        <f>VLOOKUP($A112,'Data shares'!$C:$FB,69)*100</f>
        <v>-0.1</v>
      </c>
      <c r="G112" s="49">
        <f>VLOOKUP($A112,'Data shares'!$C:$FB,42)</f>
        <v>25102700</v>
      </c>
      <c r="H112" s="49">
        <f>VLOOKUP($A112,'Data shares'!$C:$FB,43)</f>
        <v>23267350</v>
      </c>
      <c r="I112" s="50">
        <f>VLOOKUP($A112,'Data shares'!$C:$FB,45)*100</f>
        <v>7.89</v>
      </c>
      <c r="J112" s="49">
        <f>VLOOKUP($A112,'Data shares'!$C:$FB,58)</f>
        <v>51573100</v>
      </c>
      <c r="K112" s="49">
        <f>VLOOKUP($A112,'Data shares'!$C:$FB,59)</f>
        <v>54461250</v>
      </c>
      <c r="L112" s="50">
        <f>VLOOKUP($A112,'Data shares'!$C:$FB,61)*100</f>
        <v>-5.3</v>
      </c>
      <c r="M112" s="49">
        <f>VLOOKUP($A112,'Data shares'!$C:$FB,62)</f>
        <v>24700850</v>
      </c>
      <c r="N112" s="49">
        <f>VLOOKUP($A112,'Data shares'!$C:$FB,63)</f>
        <v>23746750</v>
      </c>
      <c r="O112" s="140">
        <f>VLOOKUP($A112,'Data shares'!$C:$FB,65)*100</f>
        <v>4.0199999999999996</v>
      </c>
    </row>
    <row r="113" spans="1:15" x14ac:dyDescent="0.25">
      <c r="A113" s="101" t="str">
        <f>'Data Vlaue (Cr)'!C108</f>
        <v>JSWENERGY</v>
      </c>
      <c r="B113" s="50">
        <f>VLOOKUP($A113,'Data shares'!$C:$FB,7)</f>
        <v>562.29999999999995</v>
      </c>
      <c r="C113" s="50">
        <f>VLOOKUP($A113,'Data shares'!$C:$FB,10)*100</f>
        <v>0.2</v>
      </c>
      <c r="D113" s="49">
        <f>VLOOKUP($A113,'Data shares'!$C:$FB,66)</f>
        <v>9951000</v>
      </c>
      <c r="E113" s="49">
        <f>VLOOKUP($A113,'Data shares'!$C:$FB,67)</f>
        <v>10888000</v>
      </c>
      <c r="F113" s="50">
        <f>VLOOKUP($A113,'Data shares'!$C:$FB,69)*100</f>
        <v>-8.61</v>
      </c>
      <c r="G113" s="49">
        <f>VLOOKUP($A113,'Data shares'!$C:$FB,42)</f>
        <v>3188000</v>
      </c>
      <c r="H113" s="49">
        <f>VLOOKUP($A113,'Data shares'!$C:$FB,43)</f>
        <v>3016000</v>
      </c>
      <c r="I113" s="50">
        <f>VLOOKUP($A113,'Data shares'!$C:$FB,45)*100</f>
        <v>5.7</v>
      </c>
      <c r="J113" s="49">
        <f>VLOOKUP($A113,'Data shares'!$C:$FB,58)</f>
        <v>5109000</v>
      </c>
      <c r="K113" s="49">
        <f>VLOOKUP($A113,'Data shares'!$C:$FB,59)</f>
        <v>4816000</v>
      </c>
      <c r="L113" s="50">
        <f>VLOOKUP($A113,'Data shares'!$C:$FB,61)*100</f>
        <v>6.08</v>
      </c>
      <c r="M113" s="49">
        <f>VLOOKUP($A113,'Data shares'!$C:$FB,62)</f>
        <v>1654000</v>
      </c>
      <c r="N113" s="49">
        <f>VLOOKUP($A113,'Data shares'!$C:$FB,63)</f>
        <v>3056000</v>
      </c>
      <c r="O113" s="140">
        <f>VLOOKUP($A113,'Data shares'!$C:$FB,65)*100</f>
        <v>-45.879999999999995</v>
      </c>
    </row>
    <row r="114" spans="1:15" x14ac:dyDescent="0.25">
      <c r="A114" s="101" t="str">
        <f>'Data Vlaue (Cr)'!C109</f>
        <v>JSWSTEEL</v>
      </c>
      <c r="B114" s="50">
        <f>VLOOKUP($A114,'Data shares'!$C:$FB,7)</f>
        <v>1266.5999999999999</v>
      </c>
      <c r="C114" s="50">
        <f>VLOOKUP($A114,'Data shares'!$C:$FB,10)*100</f>
        <v>0.16999999999999998</v>
      </c>
      <c r="D114" s="49">
        <f>VLOOKUP($A114,'Data shares'!$C:$FB,66)</f>
        <v>10905975</v>
      </c>
      <c r="E114" s="49">
        <f>VLOOKUP($A114,'Data shares'!$C:$FB,67)</f>
        <v>8559000</v>
      </c>
      <c r="F114" s="50">
        <f>VLOOKUP($A114,'Data shares'!$C:$FB,69)*100</f>
        <v>27.42</v>
      </c>
      <c r="G114" s="49">
        <f>VLOOKUP($A114,'Data shares'!$C:$FB,42)</f>
        <v>3593025</v>
      </c>
      <c r="H114" s="49">
        <f>VLOOKUP($A114,'Data shares'!$C:$FB,43)</f>
        <v>2050650</v>
      </c>
      <c r="I114" s="50">
        <f>VLOOKUP($A114,'Data shares'!$C:$FB,45)*100</f>
        <v>75.209999999999994</v>
      </c>
      <c r="J114" s="49">
        <f>VLOOKUP($A114,'Data shares'!$C:$FB,58)</f>
        <v>4515750</v>
      </c>
      <c r="K114" s="49">
        <f>VLOOKUP($A114,'Data shares'!$C:$FB,59)</f>
        <v>3598425</v>
      </c>
      <c r="L114" s="50">
        <f>VLOOKUP($A114,'Data shares'!$C:$FB,61)*100</f>
        <v>25.490000000000002</v>
      </c>
      <c r="M114" s="49">
        <f>VLOOKUP($A114,'Data shares'!$C:$FB,62)</f>
        <v>2797200</v>
      </c>
      <c r="N114" s="49">
        <f>VLOOKUP($A114,'Data shares'!$C:$FB,63)</f>
        <v>2909925</v>
      </c>
      <c r="O114" s="140">
        <f>VLOOKUP($A114,'Data shares'!$C:$FB,65)*100</f>
        <v>-3.8699999999999997</v>
      </c>
    </row>
    <row r="115" spans="1:15" x14ac:dyDescent="0.25">
      <c r="A115" s="101" t="str">
        <f>'Data Vlaue (Cr)'!C110</f>
        <v>JUBLFOOD</v>
      </c>
      <c r="B115" s="50">
        <f>VLOOKUP($A115,'Data shares'!$C:$FB,7)</f>
        <v>476.4</v>
      </c>
      <c r="C115" s="50">
        <f>VLOOKUP($A115,'Data shares'!$C:$FB,10)*100</f>
        <v>-0.45999999999999996</v>
      </c>
      <c r="D115" s="49">
        <f>VLOOKUP($A115,'Data shares'!$C:$FB,66)</f>
        <v>8050000</v>
      </c>
      <c r="E115" s="49">
        <f>VLOOKUP($A115,'Data shares'!$C:$FB,67)</f>
        <v>7735000</v>
      </c>
      <c r="F115" s="50">
        <f>VLOOKUP($A115,'Data shares'!$C:$FB,69)*100</f>
        <v>4.07</v>
      </c>
      <c r="G115" s="49">
        <f>VLOOKUP($A115,'Data shares'!$C:$FB,42)</f>
        <v>2530000</v>
      </c>
      <c r="H115" s="49">
        <f>VLOOKUP($A115,'Data shares'!$C:$FB,43)</f>
        <v>3241250</v>
      </c>
      <c r="I115" s="50">
        <f>VLOOKUP($A115,'Data shares'!$C:$FB,45)*100</f>
        <v>-21.94</v>
      </c>
      <c r="J115" s="49">
        <f>VLOOKUP($A115,'Data shares'!$C:$FB,58)</f>
        <v>3398750</v>
      </c>
      <c r="K115" s="49">
        <f>VLOOKUP($A115,'Data shares'!$C:$FB,59)</f>
        <v>2903750</v>
      </c>
      <c r="L115" s="50">
        <f>VLOOKUP($A115,'Data shares'!$C:$FB,61)*100</f>
        <v>17.05</v>
      </c>
      <c r="M115" s="49">
        <f>VLOOKUP($A115,'Data shares'!$C:$FB,62)</f>
        <v>2121250</v>
      </c>
      <c r="N115" s="49">
        <f>VLOOKUP($A115,'Data shares'!$C:$FB,63)</f>
        <v>1590000</v>
      </c>
      <c r="O115" s="140">
        <f>VLOOKUP($A115,'Data shares'!$C:$FB,65)*100</f>
        <v>33.410000000000004</v>
      </c>
    </row>
    <row r="116" spans="1:15" x14ac:dyDescent="0.25">
      <c r="A116" s="101" t="str">
        <f>'Data Vlaue (Cr)'!C111</f>
        <v>KALYANKJIL</v>
      </c>
      <c r="B116" s="50">
        <f>VLOOKUP($A116,'Data shares'!$C:$FB,7)</f>
        <v>413.3</v>
      </c>
      <c r="C116" s="50">
        <f>VLOOKUP($A116,'Data shares'!$C:$FB,10)*100</f>
        <v>0.13</v>
      </c>
      <c r="D116" s="49">
        <f>VLOOKUP($A116,'Data shares'!$C:$FB,66)</f>
        <v>9954600</v>
      </c>
      <c r="E116" s="49">
        <f>VLOOKUP($A116,'Data shares'!$C:$FB,67)</f>
        <v>11332875</v>
      </c>
      <c r="F116" s="50">
        <f>VLOOKUP($A116,'Data shares'!$C:$FB,69)*100</f>
        <v>-12.16</v>
      </c>
      <c r="G116" s="49">
        <f>VLOOKUP($A116,'Data shares'!$C:$FB,42)</f>
        <v>2181975</v>
      </c>
      <c r="H116" s="49">
        <f>VLOOKUP($A116,'Data shares'!$C:$FB,43)</f>
        <v>2563850</v>
      </c>
      <c r="I116" s="50">
        <f>VLOOKUP($A116,'Data shares'!$C:$FB,45)*100</f>
        <v>-14.89</v>
      </c>
      <c r="J116" s="49">
        <f>VLOOKUP($A116,'Data shares'!$C:$FB,58)</f>
        <v>5182925</v>
      </c>
      <c r="K116" s="49">
        <f>VLOOKUP($A116,'Data shares'!$C:$FB,59)</f>
        <v>4794000</v>
      </c>
      <c r="L116" s="50">
        <f>VLOOKUP($A116,'Data shares'!$C:$FB,61)*100</f>
        <v>8.1100000000000012</v>
      </c>
      <c r="M116" s="49">
        <f>VLOOKUP($A116,'Data shares'!$C:$FB,62)</f>
        <v>2589700</v>
      </c>
      <c r="N116" s="49">
        <f>VLOOKUP($A116,'Data shares'!$C:$FB,63)</f>
        <v>3975025</v>
      </c>
      <c r="O116" s="140">
        <f>VLOOKUP($A116,'Data shares'!$C:$FB,65)*100</f>
        <v>-34.849999999999994</v>
      </c>
    </row>
    <row r="117" spans="1:15" x14ac:dyDescent="0.25">
      <c r="A117" s="101" t="str">
        <f>'Data Vlaue (Cr)'!C112</f>
        <v>KAYNES</v>
      </c>
      <c r="B117" s="50">
        <f>VLOOKUP($A117,'Data shares'!$C:$FB,7)</f>
        <v>4098.8999999999996</v>
      </c>
      <c r="C117" s="50">
        <f>VLOOKUP($A117,'Data shares'!$C:$FB,10)*100</f>
        <v>1.35</v>
      </c>
      <c r="D117" s="49">
        <f>VLOOKUP($A117,'Data shares'!$C:$FB,66)</f>
        <v>1652400</v>
      </c>
      <c r="E117" s="49">
        <f>VLOOKUP($A117,'Data shares'!$C:$FB,67)</f>
        <v>2101100</v>
      </c>
      <c r="F117" s="50">
        <f>VLOOKUP($A117,'Data shares'!$C:$FB,69)*100</f>
        <v>-21.36</v>
      </c>
      <c r="G117" s="49">
        <f>VLOOKUP($A117,'Data shares'!$C:$FB,42)</f>
        <v>418000</v>
      </c>
      <c r="H117" s="49">
        <f>VLOOKUP($A117,'Data shares'!$C:$FB,43)</f>
        <v>645200</v>
      </c>
      <c r="I117" s="50">
        <f>VLOOKUP($A117,'Data shares'!$C:$FB,45)*100</f>
        <v>-35.21</v>
      </c>
      <c r="J117" s="49">
        <f>VLOOKUP($A117,'Data shares'!$C:$FB,58)</f>
        <v>894000</v>
      </c>
      <c r="K117" s="49">
        <f>VLOOKUP($A117,'Data shares'!$C:$FB,59)</f>
        <v>963300</v>
      </c>
      <c r="L117" s="50">
        <f>VLOOKUP($A117,'Data shares'!$C:$FB,61)*100</f>
        <v>-7.19</v>
      </c>
      <c r="M117" s="49">
        <f>VLOOKUP($A117,'Data shares'!$C:$FB,62)</f>
        <v>340400</v>
      </c>
      <c r="N117" s="49">
        <f>VLOOKUP($A117,'Data shares'!$C:$FB,63)</f>
        <v>492600</v>
      </c>
      <c r="O117" s="140">
        <f>VLOOKUP($A117,'Data shares'!$C:$FB,65)*100</f>
        <v>-30.9</v>
      </c>
    </row>
    <row r="118" spans="1:15" x14ac:dyDescent="0.25">
      <c r="A118" s="101" t="str">
        <f>'Data Vlaue (Cr)'!C113</f>
        <v>KEI</v>
      </c>
      <c r="B118" s="50">
        <f>VLOOKUP($A118,'Data shares'!$C:$FB,7)</f>
        <v>5058.3</v>
      </c>
      <c r="C118" s="50">
        <f>VLOOKUP($A118,'Data shares'!$C:$FB,10)*100</f>
        <v>4.1300000000000008</v>
      </c>
      <c r="D118" s="49">
        <f>VLOOKUP($A118,'Data shares'!$C:$FB,66)</f>
        <v>3271800</v>
      </c>
      <c r="E118" s="49">
        <f>VLOOKUP($A118,'Data shares'!$C:$FB,67)</f>
        <v>1556275</v>
      </c>
      <c r="F118" s="50">
        <f>VLOOKUP($A118,'Data shares'!$C:$FB,69)*100</f>
        <v>110.23</v>
      </c>
      <c r="G118" s="49">
        <f>VLOOKUP($A118,'Data shares'!$C:$FB,42)</f>
        <v>707175</v>
      </c>
      <c r="H118" s="49">
        <f>VLOOKUP($A118,'Data shares'!$C:$FB,43)</f>
        <v>677775</v>
      </c>
      <c r="I118" s="50">
        <f>VLOOKUP($A118,'Data shares'!$C:$FB,45)*100</f>
        <v>4.34</v>
      </c>
      <c r="J118" s="49">
        <f>VLOOKUP($A118,'Data shares'!$C:$FB,58)</f>
        <v>1796725</v>
      </c>
      <c r="K118" s="49">
        <f>VLOOKUP($A118,'Data shares'!$C:$FB,59)</f>
        <v>597450</v>
      </c>
      <c r="L118" s="50">
        <f>VLOOKUP($A118,'Data shares'!$C:$FB,61)*100</f>
        <v>200.73</v>
      </c>
      <c r="M118" s="49">
        <f>VLOOKUP($A118,'Data shares'!$C:$FB,62)</f>
        <v>767900</v>
      </c>
      <c r="N118" s="49">
        <f>VLOOKUP($A118,'Data shares'!$C:$FB,63)</f>
        <v>281050</v>
      </c>
      <c r="O118" s="140">
        <f>VLOOKUP($A118,'Data shares'!$C:$FB,65)*100</f>
        <v>173.23</v>
      </c>
    </row>
    <row r="119" spans="1:15" x14ac:dyDescent="0.25">
      <c r="A119" s="101" t="str">
        <f>'Data Vlaue (Cr)'!C114</f>
        <v>KFINTECH</v>
      </c>
      <c r="B119" s="50">
        <f>VLOOKUP($A119,'Data shares'!$C:$FB,7)</f>
        <v>863.95</v>
      </c>
      <c r="C119" s="50">
        <f>VLOOKUP($A119,'Data shares'!$C:$FB,10)*100</f>
        <v>-3.54</v>
      </c>
      <c r="D119" s="49">
        <f>VLOOKUP($A119,'Data shares'!$C:$FB,66)</f>
        <v>11238500</v>
      </c>
      <c r="E119" s="49">
        <f>VLOOKUP($A119,'Data shares'!$C:$FB,67)</f>
        <v>34884000</v>
      </c>
      <c r="F119" s="50">
        <f>VLOOKUP($A119,'Data shares'!$C:$FB,69)*100</f>
        <v>-67.78</v>
      </c>
      <c r="G119" s="49">
        <f>VLOOKUP($A119,'Data shares'!$C:$FB,42)</f>
        <v>2286500</v>
      </c>
      <c r="H119" s="49">
        <f>VLOOKUP($A119,'Data shares'!$C:$FB,43)</f>
        <v>8849000</v>
      </c>
      <c r="I119" s="50">
        <f>VLOOKUP($A119,'Data shares'!$C:$FB,45)*100</f>
        <v>-74.16</v>
      </c>
      <c r="J119" s="49">
        <f>VLOOKUP($A119,'Data shares'!$C:$FB,58)</f>
        <v>6041000</v>
      </c>
      <c r="K119" s="49">
        <f>VLOOKUP($A119,'Data shares'!$C:$FB,59)</f>
        <v>14883000</v>
      </c>
      <c r="L119" s="50">
        <f>VLOOKUP($A119,'Data shares'!$C:$FB,61)*100</f>
        <v>-59.41</v>
      </c>
      <c r="M119" s="49">
        <f>VLOOKUP($A119,'Data shares'!$C:$FB,62)</f>
        <v>2911000</v>
      </c>
      <c r="N119" s="49">
        <f>VLOOKUP($A119,'Data shares'!$C:$FB,63)</f>
        <v>11152000</v>
      </c>
      <c r="O119" s="140">
        <f>VLOOKUP($A119,'Data shares'!$C:$FB,65)*100</f>
        <v>-73.900000000000006</v>
      </c>
    </row>
    <row r="120" spans="1:15" x14ac:dyDescent="0.25">
      <c r="A120" s="101" t="str">
        <f>'Data Vlaue (Cr)'!C115</f>
        <v>KOTAKBANK</v>
      </c>
      <c r="B120" s="50">
        <f>VLOOKUP($A120,'Data shares'!$C:$FB,7)</f>
        <v>371.65</v>
      </c>
      <c r="C120" s="50">
        <f>VLOOKUP($A120,'Data shares'!$C:$FB,10)*100</f>
        <v>-3.04</v>
      </c>
      <c r="D120" s="49">
        <f>VLOOKUP($A120,'Data shares'!$C:$FB,66)</f>
        <v>315304000</v>
      </c>
      <c r="E120" s="49">
        <f>VLOOKUP($A120,'Data shares'!$C:$FB,67)</f>
        <v>115304000</v>
      </c>
      <c r="F120" s="50">
        <f>VLOOKUP($A120,'Data shares'!$C:$FB,69)*100</f>
        <v>173.45</v>
      </c>
      <c r="G120" s="49">
        <f>VLOOKUP($A120,'Data shares'!$C:$FB,42)</f>
        <v>83190000</v>
      </c>
      <c r="H120" s="49">
        <f>VLOOKUP($A120,'Data shares'!$C:$FB,43)</f>
        <v>39198000</v>
      </c>
      <c r="I120" s="50">
        <f>VLOOKUP($A120,'Data shares'!$C:$FB,45)*100</f>
        <v>112.23</v>
      </c>
      <c r="J120" s="49">
        <f>VLOOKUP($A120,'Data shares'!$C:$FB,58)</f>
        <v>157218000</v>
      </c>
      <c r="K120" s="49">
        <f>VLOOKUP($A120,'Data shares'!$C:$FB,59)</f>
        <v>45624000</v>
      </c>
      <c r="L120" s="50">
        <f>VLOOKUP($A120,'Data shares'!$C:$FB,61)*100</f>
        <v>244.59</v>
      </c>
      <c r="M120" s="49">
        <f>VLOOKUP($A120,'Data shares'!$C:$FB,62)</f>
        <v>74896000</v>
      </c>
      <c r="N120" s="49">
        <f>VLOOKUP($A120,'Data shares'!$C:$FB,63)</f>
        <v>30482000</v>
      </c>
      <c r="O120" s="140">
        <f>VLOOKUP($A120,'Data shares'!$C:$FB,65)*100</f>
        <v>145.71</v>
      </c>
    </row>
    <row r="121" spans="1:15" x14ac:dyDescent="0.25">
      <c r="A121" s="101" t="str">
        <f>'Data Vlaue (Cr)'!C116</f>
        <v>KPITTECH</v>
      </c>
      <c r="B121" s="50">
        <f>VLOOKUP($A121,'Data shares'!$C:$FB,7)</f>
        <v>768.55</v>
      </c>
      <c r="C121" s="50">
        <f>VLOOKUP($A121,'Data shares'!$C:$FB,10)*100</f>
        <v>1.25</v>
      </c>
      <c r="D121" s="49">
        <f>VLOOKUP($A121,'Data shares'!$C:$FB,66)</f>
        <v>7343575</v>
      </c>
      <c r="E121" s="49">
        <f>VLOOKUP($A121,'Data shares'!$C:$FB,67)</f>
        <v>9612650</v>
      </c>
      <c r="F121" s="50">
        <f>VLOOKUP($A121,'Data shares'!$C:$FB,69)*100</f>
        <v>-23.61</v>
      </c>
      <c r="G121" s="49">
        <f>VLOOKUP($A121,'Data shares'!$C:$FB,42)</f>
        <v>1995375</v>
      </c>
      <c r="H121" s="49">
        <f>VLOOKUP($A121,'Data shares'!$C:$FB,43)</f>
        <v>2150925</v>
      </c>
      <c r="I121" s="50">
        <f>VLOOKUP($A121,'Data shares'!$C:$FB,45)*100</f>
        <v>-7.23</v>
      </c>
      <c r="J121" s="49">
        <f>VLOOKUP($A121,'Data shares'!$C:$FB,58)</f>
        <v>4263175</v>
      </c>
      <c r="K121" s="49">
        <f>VLOOKUP($A121,'Data shares'!$C:$FB,59)</f>
        <v>5682250</v>
      </c>
      <c r="L121" s="50">
        <f>VLOOKUP($A121,'Data shares'!$C:$FB,61)*100</f>
        <v>-24.97</v>
      </c>
      <c r="M121" s="49">
        <f>VLOOKUP($A121,'Data shares'!$C:$FB,62)</f>
        <v>1085025</v>
      </c>
      <c r="N121" s="49">
        <f>VLOOKUP($A121,'Data shares'!$C:$FB,63)</f>
        <v>1779475</v>
      </c>
      <c r="O121" s="140">
        <f>VLOOKUP($A121,'Data shares'!$C:$FB,65)*100</f>
        <v>-39.03</v>
      </c>
    </row>
    <row r="122" spans="1:15" x14ac:dyDescent="0.25">
      <c r="A122" s="101" t="str">
        <f>'Data Vlaue (Cr)'!C117</f>
        <v>LAURUSLABS</v>
      </c>
      <c r="B122" s="50">
        <f>VLOOKUP($A122,'Data shares'!$C:$FB,7)</f>
        <v>1166.4000000000001</v>
      </c>
      <c r="C122" s="50">
        <f>VLOOKUP($A122,'Data shares'!$C:$FB,10)*100</f>
        <v>5.94</v>
      </c>
      <c r="D122" s="49">
        <f>VLOOKUP($A122,'Data shares'!$C:$FB,66)</f>
        <v>47520950</v>
      </c>
      <c r="E122" s="49">
        <f>VLOOKUP($A122,'Data shares'!$C:$FB,67)</f>
        <v>20425500</v>
      </c>
      <c r="F122" s="50">
        <f>VLOOKUP($A122,'Data shares'!$C:$FB,69)*100</f>
        <v>132.66</v>
      </c>
      <c r="G122" s="49">
        <f>VLOOKUP($A122,'Data shares'!$C:$FB,42)</f>
        <v>9140050</v>
      </c>
      <c r="H122" s="49">
        <f>VLOOKUP($A122,'Data shares'!$C:$FB,43)</f>
        <v>4911300</v>
      </c>
      <c r="I122" s="50">
        <f>VLOOKUP($A122,'Data shares'!$C:$FB,45)*100</f>
        <v>86.1</v>
      </c>
      <c r="J122" s="49">
        <f>VLOOKUP($A122,'Data shares'!$C:$FB,58)</f>
        <v>26522550</v>
      </c>
      <c r="K122" s="49">
        <f>VLOOKUP($A122,'Data shares'!$C:$FB,59)</f>
        <v>9753750</v>
      </c>
      <c r="L122" s="50">
        <f>VLOOKUP($A122,'Data shares'!$C:$FB,61)*100</f>
        <v>171.92000000000002</v>
      </c>
      <c r="M122" s="49">
        <f>VLOOKUP($A122,'Data shares'!$C:$FB,62)</f>
        <v>11858350</v>
      </c>
      <c r="N122" s="49">
        <f>VLOOKUP($A122,'Data shares'!$C:$FB,63)</f>
        <v>5760450</v>
      </c>
      <c r="O122" s="140">
        <f>VLOOKUP($A122,'Data shares'!$C:$FB,65)*100</f>
        <v>105.86</v>
      </c>
    </row>
    <row r="123" spans="1:15" x14ac:dyDescent="0.25">
      <c r="A123" s="101" t="str">
        <f>'Data Vlaue (Cr)'!C118</f>
        <v>LICHSGFIN</v>
      </c>
      <c r="B123" s="50">
        <f>VLOOKUP($A123,'Data shares'!$C:$FB,7)</f>
        <v>557</v>
      </c>
      <c r="C123" s="50">
        <f>VLOOKUP($A123,'Data shares'!$C:$FB,10)*100</f>
        <v>0.41000000000000003</v>
      </c>
      <c r="D123" s="49">
        <f>VLOOKUP($A123,'Data shares'!$C:$FB,66)</f>
        <v>6031000</v>
      </c>
      <c r="E123" s="49">
        <f>VLOOKUP($A123,'Data shares'!$C:$FB,67)</f>
        <v>8372000</v>
      </c>
      <c r="F123" s="50">
        <f>VLOOKUP($A123,'Data shares'!$C:$FB,69)*100</f>
        <v>-27.96</v>
      </c>
      <c r="G123" s="49">
        <f>VLOOKUP($A123,'Data shares'!$C:$FB,42)</f>
        <v>1601000</v>
      </c>
      <c r="H123" s="49">
        <f>VLOOKUP($A123,'Data shares'!$C:$FB,43)</f>
        <v>2488000</v>
      </c>
      <c r="I123" s="50">
        <f>VLOOKUP($A123,'Data shares'!$C:$FB,45)*100</f>
        <v>-35.65</v>
      </c>
      <c r="J123" s="49">
        <f>VLOOKUP($A123,'Data shares'!$C:$FB,58)</f>
        <v>3141000</v>
      </c>
      <c r="K123" s="49">
        <f>VLOOKUP($A123,'Data shares'!$C:$FB,59)</f>
        <v>3362000</v>
      </c>
      <c r="L123" s="50">
        <f>VLOOKUP($A123,'Data shares'!$C:$FB,61)*100</f>
        <v>-6.5699999999999994</v>
      </c>
      <c r="M123" s="49">
        <f>VLOOKUP($A123,'Data shares'!$C:$FB,62)</f>
        <v>1289000</v>
      </c>
      <c r="N123" s="49">
        <f>VLOOKUP($A123,'Data shares'!$C:$FB,63)</f>
        <v>2522000</v>
      </c>
      <c r="O123" s="140">
        <f>VLOOKUP($A123,'Data shares'!$C:$FB,65)*100</f>
        <v>-48.89</v>
      </c>
    </row>
    <row r="124" spans="1:15" x14ac:dyDescent="0.25">
      <c r="A124" s="101" t="str">
        <f>'Data Vlaue (Cr)'!C119</f>
        <v>LICI</v>
      </c>
      <c r="B124" s="50">
        <f>VLOOKUP($A124,'Data shares'!$C:$FB,7)</f>
        <v>802</v>
      </c>
      <c r="C124" s="50">
        <f>VLOOKUP($A124,'Data shares'!$C:$FB,10)*100</f>
        <v>0.51</v>
      </c>
      <c r="D124" s="49">
        <f>VLOOKUP($A124,'Data shares'!$C:$FB,66)</f>
        <v>5765900</v>
      </c>
      <c r="E124" s="49">
        <f>VLOOKUP($A124,'Data shares'!$C:$FB,67)</f>
        <v>7324100</v>
      </c>
      <c r="F124" s="50">
        <f>VLOOKUP($A124,'Data shares'!$C:$FB,69)*100</f>
        <v>-21.27</v>
      </c>
      <c r="G124" s="49">
        <f>VLOOKUP($A124,'Data shares'!$C:$FB,42)</f>
        <v>1059100</v>
      </c>
      <c r="H124" s="49">
        <f>VLOOKUP($A124,'Data shares'!$C:$FB,43)</f>
        <v>2011100</v>
      </c>
      <c r="I124" s="50">
        <f>VLOOKUP($A124,'Data shares'!$C:$FB,45)*100</f>
        <v>-47.339999999999996</v>
      </c>
      <c r="J124" s="49">
        <f>VLOOKUP($A124,'Data shares'!$C:$FB,58)</f>
        <v>3490900</v>
      </c>
      <c r="K124" s="49">
        <f>VLOOKUP($A124,'Data shares'!$C:$FB,59)</f>
        <v>3229800</v>
      </c>
      <c r="L124" s="50">
        <f>VLOOKUP($A124,'Data shares'!$C:$FB,61)*100</f>
        <v>8.08</v>
      </c>
      <c r="M124" s="49">
        <f>VLOOKUP($A124,'Data shares'!$C:$FB,62)</f>
        <v>1215900</v>
      </c>
      <c r="N124" s="49">
        <f>VLOOKUP($A124,'Data shares'!$C:$FB,63)</f>
        <v>2083200</v>
      </c>
      <c r="O124" s="140">
        <f>VLOOKUP($A124,'Data shares'!$C:$FB,65)*100</f>
        <v>-41.63</v>
      </c>
    </row>
    <row r="125" spans="1:15" x14ac:dyDescent="0.25">
      <c r="A125" s="101" t="str">
        <f>'Data Vlaue (Cr)'!C120</f>
        <v>LODHA</v>
      </c>
      <c r="B125" s="50">
        <f>VLOOKUP($A125,'Data shares'!$C:$FB,7)</f>
        <v>923.6</v>
      </c>
      <c r="C125" s="50">
        <f>VLOOKUP($A125,'Data shares'!$C:$FB,10)*100</f>
        <v>2.86</v>
      </c>
      <c r="D125" s="49">
        <f>VLOOKUP($A125,'Data shares'!$C:$FB,66)</f>
        <v>7695000</v>
      </c>
      <c r="E125" s="49">
        <f>VLOOKUP($A125,'Data shares'!$C:$FB,67)</f>
        <v>7397550</v>
      </c>
      <c r="F125" s="50">
        <f>VLOOKUP($A125,'Data shares'!$C:$FB,69)*100</f>
        <v>4.0199999999999996</v>
      </c>
      <c r="G125" s="49">
        <f>VLOOKUP($A125,'Data shares'!$C:$FB,42)</f>
        <v>1770750</v>
      </c>
      <c r="H125" s="49">
        <f>VLOOKUP($A125,'Data shares'!$C:$FB,43)</f>
        <v>2004750</v>
      </c>
      <c r="I125" s="50">
        <f>VLOOKUP($A125,'Data shares'!$C:$FB,45)*100</f>
        <v>-11.67</v>
      </c>
      <c r="J125" s="49">
        <f>VLOOKUP($A125,'Data shares'!$C:$FB,58)</f>
        <v>4382550</v>
      </c>
      <c r="K125" s="49">
        <f>VLOOKUP($A125,'Data shares'!$C:$FB,59)</f>
        <v>3505500</v>
      </c>
      <c r="L125" s="50">
        <f>VLOOKUP($A125,'Data shares'!$C:$FB,61)*100</f>
        <v>25.019999999999996</v>
      </c>
      <c r="M125" s="49">
        <f>VLOOKUP($A125,'Data shares'!$C:$FB,62)</f>
        <v>1541700</v>
      </c>
      <c r="N125" s="49">
        <f>VLOOKUP($A125,'Data shares'!$C:$FB,63)</f>
        <v>1887300</v>
      </c>
      <c r="O125" s="140">
        <f>VLOOKUP($A125,'Data shares'!$C:$FB,65)*100</f>
        <v>-18.310000000000002</v>
      </c>
    </row>
    <row r="126" spans="1:15" x14ac:dyDescent="0.25">
      <c r="A126" s="101" t="str">
        <f>'Data Vlaue (Cr)'!C121</f>
        <v>LT</v>
      </c>
      <c r="B126" s="50">
        <f>VLOOKUP($A126,'Data shares'!$C:$FB,7)</f>
        <v>4100.8</v>
      </c>
      <c r="C126" s="50">
        <f>VLOOKUP($A126,'Data shares'!$C:$FB,10)*100</f>
        <v>2.16</v>
      </c>
      <c r="D126" s="49">
        <f>VLOOKUP($A126,'Data shares'!$C:$FB,66)</f>
        <v>15457225</v>
      </c>
      <c r="E126" s="49">
        <f>VLOOKUP($A126,'Data shares'!$C:$FB,67)</f>
        <v>10101000</v>
      </c>
      <c r="F126" s="50">
        <f>VLOOKUP($A126,'Data shares'!$C:$FB,69)*100</f>
        <v>53.03</v>
      </c>
      <c r="G126" s="49">
        <f>VLOOKUP($A126,'Data shares'!$C:$FB,42)</f>
        <v>2268700</v>
      </c>
      <c r="H126" s="49">
        <f>VLOOKUP($A126,'Data shares'!$C:$FB,43)</f>
        <v>2315075</v>
      </c>
      <c r="I126" s="50">
        <f>VLOOKUP($A126,'Data shares'!$C:$FB,45)*100</f>
        <v>-2</v>
      </c>
      <c r="J126" s="49">
        <f>VLOOKUP($A126,'Data shares'!$C:$FB,58)</f>
        <v>9639875</v>
      </c>
      <c r="K126" s="49">
        <f>VLOOKUP($A126,'Data shares'!$C:$FB,59)</f>
        <v>4732175</v>
      </c>
      <c r="L126" s="50">
        <f>VLOOKUP($A126,'Data shares'!$C:$FB,61)*100</f>
        <v>103.71</v>
      </c>
      <c r="M126" s="49">
        <f>VLOOKUP($A126,'Data shares'!$C:$FB,62)</f>
        <v>3548650</v>
      </c>
      <c r="N126" s="49">
        <f>VLOOKUP($A126,'Data shares'!$C:$FB,63)</f>
        <v>3053750</v>
      </c>
      <c r="O126" s="140">
        <f>VLOOKUP($A126,'Data shares'!$C:$FB,65)*100</f>
        <v>16.21</v>
      </c>
    </row>
    <row r="127" spans="1:15" x14ac:dyDescent="0.25">
      <c r="A127" s="101" t="str">
        <f>'Data Vlaue (Cr)'!C122</f>
        <v>LTF</v>
      </c>
      <c r="B127" s="50">
        <f>VLOOKUP($A127,'Data shares'!$C:$FB,7)</f>
        <v>285.64999999999998</v>
      </c>
      <c r="C127" s="50">
        <f>VLOOKUP($A127,'Data shares'!$C:$FB,10)*100</f>
        <v>2.12</v>
      </c>
      <c r="D127" s="49">
        <f>VLOOKUP($A127,'Data shares'!$C:$FB,66)</f>
        <v>18819000</v>
      </c>
      <c r="E127" s="49">
        <f>VLOOKUP($A127,'Data shares'!$C:$FB,67)</f>
        <v>16425000</v>
      </c>
      <c r="F127" s="50">
        <f>VLOOKUP($A127,'Data shares'!$C:$FB,69)*100</f>
        <v>14.580000000000002</v>
      </c>
      <c r="G127" s="49">
        <f>VLOOKUP($A127,'Data shares'!$C:$FB,42)</f>
        <v>7386750</v>
      </c>
      <c r="H127" s="49">
        <f>VLOOKUP($A127,'Data shares'!$C:$FB,43)</f>
        <v>6437250</v>
      </c>
      <c r="I127" s="50">
        <f>VLOOKUP($A127,'Data shares'!$C:$FB,45)*100</f>
        <v>14.75</v>
      </c>
      <c r="J127" s="49">
        <f>VLOOKUP($A127,'Data shares'!$C:$FB,58)</f>
        <v>8588250</v>
      </c>
      <c r="K127" s="49">
        <f>VLOOKUP($A127,'Data shares'!$C:$FB,59)</f>
        <v>6563250</v>
      </c>
      <c r="L127" s="50">
        <f>VLOOKUP($A127,'Data shares'!$C:$FB,61)*100</f>
        <v>30.85</v>
      </c>
      <c r="M127" s="49">
        <f>VLOOKUP($A127,'Data shares'!$C:$FB,62)</f>
        <v>2844000</v>
      </c>
      <c r="N127" s="49">
        <f>VLOOKUP($A127,'Data shares'!$C:$FB,63)</f>
        <v>3424500</v>
      </c>
      <c r="O127" s="140">
        <f>VLOOKUP($A127,'Data shares'!$C:$FB,65)*100</f>
        <v>-16.950000000000003</v>
      </c>
    </row>
    <row r="128" spans="1:15" x14ac:dyDescent="0.25">
      <c r="A128" s="101" t="str">
        <f>'Data Vlaue (Cr)'!C123</f>
        <v>LTM</v>
      </c>
      <c r="B128" s="50">
        <f>VLOOKUP($A128,'Data shares'!$C:$FB,7)</f>
        <v>4202.7</v>
      </c>
      <c r="C128" s="50">
        <f>VLOOKUP($A128,'Data shares'!$C:$FB,10)*100</f>
        <v>-1.5699999999999998</v>
      </c>
      <c r="D128" s="49">
        <f>VLOOKUP($A128,'Data shares'!$C:$FB,66)</f>
        <v>1441350</v>
      </c>
      <c r="E128" s="49">
        <f>VLOOKUP($A128,'Data shares'!$C:$FB,67)</f>
        <v>1520700</v>
      </c>
      <c r="F128" s="50">
        <f>VLOOKUP($A128,'Data shares'!$C:$FB,69)*100</f>
        <v>-5.2200000000000006</v>
      </c>
      <c r="G128" s="49">
        <f>VLOOKUP($A128,'Data shares'!$C:$FB,42)</f>
        <v>349800</v>
      </c>
      <c r="H128" s="49">
        <f>VLOOKUP($A128,'Data shares'!$C:$FB,43)</f>
        <v>526200</v>
      </c>
      <c r="I128" s="50">
        <f>VLOOKUP($A128,'Data shares'!$C:$FB,45)*100</f>
        <v>-33.520000000000003</v>
      </c>
      <c r="J128" s="49">
        <f>VLOOKUP($A128,'Data shares'!$C:$FB,58)</f>
        <v>736350</v>
      </c>
      <c r="K128" s="49">
        <f>VLOOKUP($A128,'Data shares'!$C:$FB,59)</f>
        <v>674550</v>
      </c>
      <c r="L128" s="50">
        <f>VLOOKUP($A128,'Data shares'!$C:$FB,61)*100</f>
        <v>9.16</v>
      </c>
      <c r="M128" s="49">
        <f>VLOOKUP($A128,'Data shares'!$C:$FB,62)</f>
        <v>355200</v>
      </c>
      <c r="N128" s="49">
        <f>VLOOKUP($A128,'Data shares'!$C:$FB,63)</f>
        <v>319950</v>
      </c>
      <c r="O128" s="140">
        <f>VLOOKUP($A128,'Data shares'!$C:$FB,65)*100</f>
        <v>11.020000000000001</v>
      </c>
    </row>
    <row r="129" spans="1:15" x14ac:dyDescent="0.25">
      <c r="A129" s="101" t="str">
        <f>'Data Vlaue (Cr)'!C124</f>
        <v>LUPIN</v>
      </c>
      <c r="B129" s="50">
        <f>VLOOKUP($A129,'Data shares'!$C:$FB,7)</f>
        <v>2348.8000000000002</v>
      </c>
      <c r="C129" s="50">
        <f>VLOOKUP($A129,'Data shares'!$C:$FB,10)*100</f>
        <v>1.8900000000000001</v>
      </c>
      <c r="D129" s="49">
        <f>VLOOKUP($A129,'Data shares'!$C:$FB,66)</f>
        <v>10106075</v>
      </c>
      <c r="E129" s="49">
        <f>VLOOKUP($A129,'Data shares'!$C:$FB,67)</f>
        <v>4063000</v>
      </c>
      <c r="F129" s="50">
        <f>VLOOKUP($A129,'Data shares'!$C:$FB,69)*100</f>
        <v>148.73000000000002</v>
      </c>
      <c r="G129" s="49">
        <f>VLOOKUP($A129,'Data shares'!$C:$FB,42)</f>
        <v>1595025</v>
      </c>
      <c r="H129" s="49">
        <f>VLOOKUP($A129,'Data shares'!$C:$FB,43)</f>
        <v>860200</v>
      </c>
      <c r="I129" s="50">
        <f>VLOOKUP($A129,'Data shares'!$C:$FB,45)*100</f>
        <v>85.42</v>
      </c>
      <c r="J129" s="49">
        <f>VLOOKUP($A129,'Data shares'!$C:$FB,58)</f>
        <v>6523325</v>
      </c>
      <c r="K129" s="49">
        <f>VLOOKUP($A129,'Data shares'!$C:$FB,59)</f>
        <v>1898050</v>
      </c>
      <c r="L129" s="50">
        <f>VLOOKUP($A129,'Data shares'!$C:$FB,61)*100</f>
        <v>243.69</v>
      </c>
      <c r="M129" s="49">
        <f>VLOOKUP($A129,'Data shares'!$C:$FB,62)</f>
        <v>1987725</v>
      </c>
      <c r="N129" s="49">
        <f>VLOOKUP($A129,'Data shares'!$C:$FB,63)</f>
        <v>1304750</v>
      </c>
      <c r="O129" s="140">
        <f>VLOOKUP($A129,'Data shares'!$C:$FB,65)*100</f>
        <v>52.349999999999994</v>
      </c>
    </row>
    <row r="130" spans="1:15" x14ac:dyDescent="0.25">
      <c r="A130" s="101" t="str">
        <f>'Data Vlaue (Cr)'!C125</f>
        <v>M&amp;M</v>
      </c>
      <c r="B130" s="50">
        <f>VLOOKUP($A130,'Data shares'!$C:$FB,7)</f>
        <v>3106.5</v>
      </c>
      <c r="C130" s="50">
        <f>VLOOKUP($A130,'Data shares'!$C:$FB,10)*100</f>
        <v>0.28999999999999998</v>
      </c>
      <c r="D130" s="49">
        <f>VLOOKUP($A130,'Data shares'!$C:$FB,66)</f>
        <v>15511600</v>
      </c>
      <c r="E130" s="49">
        <f>VLOOKUP($A130,'Data shares'!$C:$FB,67)</f>
        <v>10154400</v>
      </c>
      <c r="F130" s="50">
        <f>VLOOKUP($A130,'Data shares'!$C:$FB,69)*100</f>
        <v>52.76</v>
      </c>
      <c r="G130" s="49">
        <f>VLOOKUP($A130,'Data shares'!$C:$FB,42)</f>
        <v>3127800</v>
      </c>
      <c r="H130" s="49">
        <f>VLOOKUP($A130,'Data shares'!$C:$FB,43)</f>
        <v>2103800</v>
      </c>
      <c r="I130" s="50">
        <f>VLOOKUP($A130,'Data shares'!$C:$FB,45)*100</f>
        <v>48.67</v>
      </c>
      <c r="J130" s="49">
        <f>VLOOKUP($A130,'Data shares'!$C:$FB,58)</f>
        <v>9019800</v>
      </c>
      <c r="K130" s="49">
        <f>VLOOKUP($A130,'Data shares'!$C:$FB,59)</f>
        <v>4648000</v>
      </c>
      <c r="L130" s="50">
        <f>VLOOKUP($A130,'Data shares'!$C:$FB,61)*100</f>
        <v>94.06</v>
      </c>
      <c r="M130" s="49">
        <f>VLOOKUP($A130,'Data shares'!$C:$FB,62)</f>
        <v>3364000</v>
      </c>
      <c r="N130" s="49">
        <f>VLOOKUP($A130,'Data shares'!$C:$FB,63)</f>
        <v>3402600</v>
      </c>
      <c r="O130" s="140">
        <f>VLOOKUP($A130,'Data shares'!$C:$FB,65)*100</f>
        <v>-1.1299999999999999</v>
      </c>
    </row>
    <row r="131" spans="1:15" x14ac:dyDescent="0.25">
      <c r="A131" s="101" t="str">
        <f>'Data Vlaue (Cr)'!C126</f>
        <v>MANAPPURAM</v>
      </c>
      <c r="B131" s="50">
        <f>VLOOKUP($A131,'Data shares'!$C:$FB,7)</f>
        <v>305.14999999999998</v>
      </c>
      <c r="C131" s="50">
        <f>VLOOKUP($A131,'Data shares'!$C:$FB,10)*100</f>
        <v>3.6700000000000004</v>
      </c>
      <c r="D131" s="49">
        <f>VLOOKUP($A131,'Data shares'!$C:$FB,66)</f>
        <v>74253000</v>
      </c>
      <c r="E131" s="49">
        <f>VLOOKUP($A131,'Data shares'!$C:$FB,67)</f>
        <v>18120000</v>
      </c>
      <c r="F131" s="50">
        <f>VLOOKUP($A131,'Data shares'!$C:$FB,69)*100</f>
        <v>309.77999999999997</v>
      </c>
      <c r="G131" s="49">
        <f>VLOOKUP($A131,'Data shares'!$C:$FB,42)</f>
        <v>21678000</v>
      </c>
      <c r="H131" s="49">
        <f>VLOOKUP($A131,'Data shares'!$C:$FB,43)</f>
        <v>7389000</v>
      </c>
      <c r="I131" s="50">
        <f>VLOOKUP($A131,'Data shares'!$C:$FB,45)*100</f>
        <v>193.38</v>
      </c>
      <c r="J131" s="49">
        <f>VLOOKUP($A131,'Data shares'!$C:$FB,58)</f>
        <v>36525000</v>
      </c>
      <c r="K131" s="49">
        <f>VLOOKUP($A131,'Data shares'!$C:$FB,59)</f>
        <v>8067000</v>
      </c>
      <c r="L131" s="50">
        <f>VLOOKUP($A131,'Data shares'!$C:$FB,61)*100</f>
        <v>352.77</v>
      </c>
      <c r="M131" s="49">
        <f>VLOOKUP($A131,'Data shares'!$C:$FB,62)</f>
        <v>16050000</v>
      </c>
      <c r="N131" s="49">
        <f>VLOOKUP($A131,'Data shares'!$C:$FB,63)</f>
        <v>2664000</v>
      </c>
      <c r="O131" s="140">
        <f>VLOOKUP($A131,'Data shares'!$C:$FB,65)*100</f>
        <v>502.48</v>
      </c>
    </row>
    <row r="132" spans="1:15" x14ac:dyDescent="0.25">
      <c r="A132" s="101" t="str">
        <f>'Data Vlaue (Cr)'!C127</f>
        <v>MANKIND</v>
      </c>
      <c r="B132" s="50">
        <f>VLOOKUP($A132,'Data shares'!$C:$FB,7)</f>
        <v>2257.8000000000002</v>
      </c>
      <c r="C132" s="50">
        <f>VLOOKUP($A132,'Data shares'!$C:$FB,10)*100</f>
        <v>0.49</v>
      </c>
      <c r="D132" s="49">
        <f>VLOOKUP($A132,'Data shares'!$C:$FB,66)</f>
        <v>1111725</v>
      </c>
      <c r="E132" s="49">
        <f>VLOOKUP($A132,'Data shares'!$C:$FB,67)</f>
        <v>446850</v>
      </c>
      <c r="F132" s="50">
        <f>VLOOKUP($A132,'Data shares'!$C:$FB,69)*100</f>
        <v>148.79</v>
      </c>
      <c r="G132" s="49">
        <f>VLOOKUP($A132,'Data shares'!$C:$FB,42)</f>
        <v>235125</v>
      </c>
      <c r="H132" s="49">
        <f>VLOOKUP($A132,'Data shares'!$C:$FB,43)</f>
        <v>195300</v>
      </c>
      <c r="I132" s="50">
        <f>VLOOKUP($A132,'Data shares'!$C:$FB,45)*100</f>
        <v>20.39</v>
      </c>
      <c r="J132" s="49">
        <f>VLOOKUP($A132,'Data shares'!$C:$FB,58)</f>
        <v>714150</v>
      </c>
      <c r="K132" s="49">
        <f>VLOOKUP($A132,'Data shares'!$C:$FB,59)</f>
        <v>168300</v>
      </c>
      <c r="L132" s="50">
        <f>VLOOKUP($A132,'Data shares'!$C:$FB,61)*100</f>
        <v>324.33</v>
      </c>
      <c r="M132" s="49">
        <f>VLOOKUP($A132,'Data shares'!$C:$FB,62)</f>
        <v>162450</v>
      </c>
      <c r="N132" s="49">
        <f>VLOOKUP($A132,'Data shares'!$C:$FB,63)</f>
        <v>83250</v>
      </c>
      <c r="O132" s="140">
        <f>VLOOKUP($A132,'Data shares'!$C:$FB,65)*100</f>
        <v>95.14</v>
      </c>
    </row>
    <row r="133" spans="1:15" x14ac:dyDescent="0.25">
      <c r="A133" s="101" t="str">
        <f>'Data Vlaue (Cr)'!C128</f>
        <v>MARICO</v>
      </c>
      <c r="B133" s="50">
        <f>VLOOKUP($A133,'Data shares'!$C:$FB,7)</f>
        <v>784.55</v>
      </c>
      <c r="C133" s="50">
        <f>VLOOKUP($A133,'Data shares'!$C:$FB,10)*100</f>
        <v>1.23</v>
      </c>
      <c r="D133" s="49">
        <f>VLOOKUP($A133,'Data shares'!$C:$FB,66)</f>
        <v>7202400</v>
      </c>
      <c r="E133" s="49">
        <f>VLOOKUP($A133,'Data shares'!$C:$FB,67)</f>
        <v>6330000</v>
      </c>
      <c r="F133" s="50">
        <f>VLOOKUP($A133,'Data shares'!$C:$FB,69)*100</f>
        <v>13.780000000000001</v>
      </c>
      <c r="G133" s="49">
        <f>VLOOKUP($A133,'Data shares'!$C:$FB,42)</f>
        <v>1794000</v>
      </c>
      <c r="H133" s="49">
        <f>VLOOKUP($A133,'Data shares'!$C:$FB,43)</f>
        <v>2302800</v>
      </c>
      <c r="I133" s="50">
        <f>VLOOKUP($A133,'Data shares'!$C:$FB,45)*100</f>
        <v>-22.09</v>
      </c>
      <c r="J133" s="49">
        <f>VLOOKUP($A133,'Data shares'!$C:$FB,58)</f>
        <v>2966400</v>
      </c>
      <c r="K133" s="49">
        <f>VLOOKUP($A133,'Data shares'!$C:$FB,59)</f>
        <v>2511600</v>
      </c>
      <c r="L133" s="50">
        <f>VLOOKUP($A133,'Data shares'!$C:$FB,61)*100</f>
        <v>18.11</v>
      </c>
      <c r="M133" s="49">
        <f>VLOOKUP($A133,'Data shares'!$C:$FB,62)</f>
        <v>2442000</v>
      </c>
      <c r="N133" s="49">
        <f>VLOOKUP($A133,'Data shares'!$C:$FB,63)</f>
        <v>1515600</v>
      </c>
      <c r="O133" s="140">
        <f>VLOOKUP($A133,'Data shares'!$C:$FB,65)*100</f>
        <v>61.12</v>
      </c>
    </row>
    <row r="134" spans="1:15" x14ac:dyDescent="0.25">
      <c r="A134" s="101" t="str">
        <f>'Data Vlaue (Cr)'!C129</f>
        <v>MARUTI</v>
      </c>
      <c r="B134" s="50">
        <f>VLOOKUP($A134,'Data shares'!$C:$FB,7)</f>
        <v>13580</v>
      </c>
      <c r="C134" s="50">
        <f>VLOOKUP($A134,'Data shares'!$C:$FB,10)*100</f>
        <v>2</v>
      </c>
      <c r="D134" s="49">
        <f>VLOOKUP($A134,'Data shares'!$C:$FB,66)</f>
        <v>10811400</v>
      </c>
      <c r="E134" s="49">
        <f>VLOOKUP($A134,'Data shares'!$C:$FB,67)</f>
        <v>5926200</v>
      </c>
      <c r="F134" s="50">
        <f>VLOOKUP($A134,'Data shares'!$C:$FB,69)*100</f>
        <v>82.43</v>
      </c>
      <c r="G134" s="49">
        <f>VLOOKUP($A134,'Data shares'!$C:$FB,42)</f>
        <v>855150</v>
      </c>
      <c r="H134" s="49">
        <f>VLOOKUP($A134,'Data shares'!$C:$FB,43)</f>
        <v>489150</v>
      </c>
      <c r="I134" s="50">
        <f>VLOOKUP($A134,'Data shares'!$C:$FB,45)*100</f>
        <v>74.819999999999993</v>
      </c>
      <c r="J134" s="49">
        <f>VLOOKUP($A134,'Data shares'!$C:$FB,58)</f>
        <v>6613800</v>
      </c>
      <c r="K134" s="49">
        <f>VLOOKUP($A134,'Data shares'!$C:$FB,59)</f>
        <v>3580050</v>
      </c>
      <c r="L134" s="50">
        <f>VLOOKUP($A134,'Data shares'!$C:$FB,61)*100</f>
        <v>84.740000000000009</v>
      </c>
      <c r="M134" s="49">
        <f>VLOOKUP($A134,'Data shares'!$C:$FB,62)</f>
        <v>3342450</v>
      </c>
      <c r="N134" s="49">
        <f>VLOOKUP($A134,'Data shares'!$C:$FB,63)</f>
        <v>1857000</v>
      </c>
      <c r="O134" s="140">
        <f>VLOOKUP($A134,'Data shares'!$C:$FB,65)*100</f>
        <v>79.990000000000009</v>
      </c>
    </row>
    <row r="135" spans="1:15" x14ac:dyDescent="0.25">
      <c r="A135" s="101" t="str">
        <f>'Data Vlaue (Cr)'!C130</f>
        <v>MAXHEALTH</v>
      </c>
      <c r="B135" s="50">
        <f>VLOOKUP($A135,'Data shares'!$C:$FB,7)</f>
        <v>1011.55</v>
      </c>
      <c r="C135" s="50">
        <f>VLOOKUP($A135,'Data shares'!$C:$FB,10)*100</f>
        <v>1.8599999999999999</v>
      </c>
      <c r="D135" s="49">
        <f>VLOOKUP($A135,'Data shares'!$C:$FB,66)</f>
        <v>6404475</v>
      </c>
      <c r="E135" s="49">
        <f>VLOOKUP($A135,'Data shares'!$C:$FB,67)</f>
        <v>5383875</v>
      </c>
      <c r="F135" s="50">
        <f>VLOOKUP($A135,'Data shares'!$C:$FB,69)*100</f>
        <v>18.96</v>
      </c>
      <c r="G135" s="49">
        <f>VLOOKUP($A135,'Data shares'!$C:$FB,42)</f>
        <v>2005500</v>
      </c>
      <c r="H135" s="49">
        <f>VLOOKUP($A135,'Data shares'!$C:$FB,43)</f>
        <v>1599675</v>
      </c>
      <c r="I135" s="50">
        <f>VLOOKUP($A135,'Data shares'!$C:$FB,45)*100</f>
        <v>25.369999999999997</v>
      </c>
      <c r="J135" s="49">
        <f>VLOOKUP($A135,'Data shares'!$C:$FB,58)</f>
        <v>2933700</v>
      </c>
      <c r="K135" s="49">
        <f>VLOOKUP($A135,'Data shares'!$C:$FB,59)</f>
        <v>2245425</v>
      </c>
      <c r="L135" s="50">
        <f>VLOOKUP($A135,'Data shares'!$C:$FB,61)*100</f>
        <v>30.65</v>
      </c>
      <c r="M135" s="49">
        <f>VLOOKUP($A135,'Data shares'!$C:$FB,62)</f>
        <v>1465275</v>
      </c>
      <c r="N135" s="49">
        <f>VLOOKUP($A135,'Data shares'!$C:$FB,63)</f>
        <v>1538775</v>
      </c>
      <c r="O135" s="140">
        <f>VLOOKUP($A135,'Data shares'!$C:$FB,65)*100</f>
        <v>-4.78</v>
      </c>
    </row>
    <row r="136" spans="1:15" x14ac:dyDescent="0.25">
      <c r="A136" s="101" t="str">
        <f>'Data Vlaue (Cr)'!C131</f>
        <v>MAZDOCK</v>
      </c>
      <c r="B136" s="50">
        <f>VLOOKUP($A136,'Data shares'!$C:$FB,7)</f>
        <v>2611.6</v>
      </c>
      <c r="C136" s="50">
        <f>VLOOKUP($A136,'Data shares'!$C:$FB,10)*100</f>
        <v>-4.45</v>
      </c>
      <c r="D136" s="49">
        <f>VLOOKUP($A136,'Data shares'!$C:$FB,66)</f>
        <v>17192000</v>
      </c>
      <c r="E136" s="49">
        <f>VLOOKUP($A136,'Data shares'!$C:$FB,67)</f>
        <v>6613200</v>
      </c>
      <c r="F136" s="50">
        <f>VLOOKUP($A136,'Data shares'!$C:$FB,69)*100</f>
        <v>159.95999999999998</v>
      </c>
      <c r="G136" s="49">
        <f>VLOOKUP($A136,'Data shares'!$C:$FB,42)</f>
        <v>3009600</v>
      </c>
      <c r="H136" s="49">
        <f>VLOOKUP($A136,'Data shares'!$C:$FB,43)</f>
        <v>1102800</v>
      </c>
      <c r="I136" s="50">
        <f>VLOOKUP($A136,'Data shares'!$C:$FB,45)*100</f>
        <v>172.91</v>
      </c>
      <c r="J136" s="49">
        <f>VLOOKUP($A136,'Data shares'!$C:$FB,58)</f>
        <v>10216200</v>
      </c>
      <c r="K136" s="49">
        <f>VLOOKUP($A136,'Data shares'!$C:$FB,59)</f>
        <v>4049600</v>
      </c>
      <c r="L136" s="50">
        <f>VLOOKUP($A136,'Data shares'!$C:$FB,61)*100</f>
        <v>152.28</v>
      </c>
      <c r="M136" s="49">
        <f>VLOOKUP($A136,'Data shares'!$C:$FB,62)</f>
        <v>3966200</v>
      </c>
      <c r="N136" s="49">
        <f>VLOOKUP($A136,'Data shares'!$C:$FB,63)</f>
        <v>1460800</v>
      </c>
      <c r="O136" s="140">
        <f>VLOOKUP($A136,'Data shares'!$C:$FB,65)*100</f>
        <v>171.51000000000002</v>
      </c>
    </row>
    <row r="137" spans="1:15" x14ac:dyDescent="0.25">
      <c r="A137" s="101" t="str">
        <f>'Data Vlaue (Cr)'!C132</f>
        <v>MCX</v>
      </c>
      <c r="B137" s="50">
        <f>VLOOKUP($A137,'Data shares'!$C:$FB,7)</f>
        <v>2912.9</v>
      </c>
      <c r="C137" s="50">
        <f>VLOOKUP($A137,'Data shares'!$C:$FB,10)*100</f>
        <v>-1.97</v>
      </c>
      <c r="D137" s="49">
        <f>VLOOKUP($A137,'Data shares'!$C:$FB,66)</f>
        <v>22602500</v>
      </c>
      <c r="E137" s="49">
        <f>VLOOKUP($A137,'Data shares'!$C:$FB,67)</f>
        <v>17009375</v>
      </c>
      <c r="F137" s="50">
        <f>VLOOKUP($A137,'Data shares'!$C:$FB,69)*100</f>
        <v>32.879999999999995</v>
      </c>
      <c r="G137" s="49">
        <f>VLOOKUP($A137,'Data shares'!$C:$FB,42)</f>
        <v>4373750</v>
      </c>
      <c r="H137" s="49">
        <f>VLOOKUP($A137,'Data shares'!$C:$FB,43)</f>
        <v>2950000</v>
      </c>
      <c r="I137" s="50">
        <f>VLOOKUP($A137,'Data shares'!$C:$FB,45)*100</f>
        <v>48.26</v>
      </c>
      <c r="J137" s="49">
        <f>VLOOKUP($A137,'Data shares'!$C:$FB,58)</f>
        <v>10571250</v>
      </c>
      <c r="K137" s="49">
        <f>VLOOKUP($A137,'Data shares'!$C:$FB,59)</f>
        <v>8301875</v>
      </c>
      <c r="L137" s="50">
        <f>VLOOKUP($A137,'Data shares'!$C:$FB,61)*100</f>
        <v>27.339999999999996</v>
      </c>
      <c r="M137" s="49">
        <f>VLOOKUP($A137,'Data shares'!$C:$FB,62)</f>
        <v>7657500</v>
      </c>
      <c r="N137" s="49">
        <f>VLOOKUP($A137,'Data shares'!$C:$FB,63)</f>
        <v>5757500</v>
      </c>
      <c r="O137" s="140">
        <f>VLOOKUP($A137,'Data shares'!$C:$FB,65)*100</f>
        <v>33</v>
      </c>
    </row>
    <row r="138" spans="1:15" x14ac:dyDescent="0.25">
      <c r="A138" s="101" t="str">
        <f>'Data Vlaue (Cr)'!C133</f>
        <v>MFSL</v>
      </c>
      <c r="B138" s="50">
        <f>VLOOKUP($A138,'Data shares'!$C:$FB,7)</f>
        <v>1606.7</v>
      </c>
      <c r="C138" s="50">
        <f>VLOOKUP($A138,'Data shares'!$C:$FB,10)*100</f>
        <v>1.32</v>
      </c>
      <c r="D138" s="49">
        <f>VLOOKUP($A138,'Data shares'!$C:$FB,66)</f>
        <v>1053600</v>
      </c>
      <c r="E138" s="49">
        <f>VLOOKUP($A138,'Data shares'!$C:$FB,67)</f>
        <v>551200</v>
      </c>
      <c r="F138" s="50">
        <f>VLOOKUP($A138,'Data shares'!$C:$FB,69)*100</f>
        <v>91.149999999999991</v>
      </c>
      <c r="G138" s="49">
        <f>VLOOKUP($A138,'Data shares'!$C:$FB,42)</f>
        <v>352000</v>
      </c>
      <c r="H138" s="49">
        <f>VLOOKUP($A138,'Data shares'!$C:$FB,43)</f>
        <v>284800</v>
      </c>
      <c r="I138" s="50">
        <f>VLOOKUP($A138,'Data shares'!$C:$FB,45)*100</f>
        <v>23.599999999999998</v>
      </c>
      <c r="J138" s="49">
        <f>VLOOKUP($A138,'Data shares'!$C:$FB,58)</f>
        <v>530800</v>
      </c>
      <c r="K138" s="49">
        <f>VLOOKUP($A138,'Data shares'!$C:$FB,59)</f>
        <v>189200</v>
      </c>
      <c r="L138" s="50">
        <f>VLOOKUP($A138,'Data shares'!$C:$FB,61)*100</f>
        <v>180.55</v>
      </c>
      <c r="M138" s="49">
        <f>VLOOKUP($A138,'Data shares'!$C:$FB,62)</f>
        <v>170800</v>
      </c>
      <c r="N138" s="49">
        <f>VLOOKUP($A138,'Data shares'!$C:$FB,63)</f>
        <v>77200</v>
      </c>
      <c r="O138" s="140">
        <f>VLOOKUP($A138,'Data shares'!$C:$FB,65)*100</f>
        <v>121.24</v>
      </c>
    </row>
    <row r="139" spans="1:15" x14ac:dyDescent="0.25">
      <c r="A139" s="101" t="str">
        <f>'Data Vlaue (Cr)'!C134</f>
        <v>MIDCPNIFTY</v>
      </c>
      <c r="B139" s="50">
        <f>VLOOKUP($A139,'Data shares'!$C:$FB,7)</f>
        <v>13930.2</v>
      </c>
      <c r="C139" s="50">
        <f>VLOOKUP($A139,'Data shares'!$C:$FB,10)*100</f>
        <v>0.75</v>
      </c>
      <c r="D139" s="49">
        <f>VLOOKUP($A139,'Data shares'!$C:$FB,66)</f>
        <v>13769160</v>
      </c>
      <c r="E139" s="49">
        <f>VLOOKUP($A139,'Data shares'!$C:$FB,67)</f>
        <v>13611120</v>
      </c>
      <c r="F139" s="50">
        <f>VLOOKUP($A139,'Data shares'!$C:$FB,69)*100</f>
        <v>1.1599999999999999</v>
      </c>
      <c r="G139" s="49">
        <f>VLOOKUP($A139,'Data shares'!$C:$FB,42)</f>
        <v>440160</v>
      </c>
      <c r="H139" s="49">
        <f>VLOOKUP($A139,'Data shares'!$C:$FB,43)</f>
        <v>777120</v>
      </c>
      <c r="I139" s="50">
        <f>VLOOKUP($A139,'Data shares'!$C:$FB,45)*100</f>
        <v>-43.36</v>
      </c>
      <c r="J139" s="49">
        <f>VLOOKUP($A139,'Data shares'!$C:$FB,58)</f>
        <v>6658320</v>
      </c>
      <c r="K139" s="49">
        <f>VLOOKUP($A139,'Data shares'!$C:$FB,59)</f>
        <v>7156680</v>
      </c>
      <c r="L139" s="50">
        <f>VLOOKUP($A139,'Data shares'!$C:$FB,61)*100</f>
        <v>-6.9599999999999991</v>
      </c>
      <c r="M139" s="49">
        <f>VLOOKUP($A139,'Data shares'!$C:$FB,62)</f>
        <v>6670680</v>
      </c>
      <c r="N139" s="49">
        <f>VLOOKUP($A139,'Data shares'!$C:$FB,63)</f>
        <v>5677320</v>
      </c>
      <c r="O139" s="140">
        <f>VLOOKUP($A139,'Data shares'!$C:$FB,65)*100</f>
        <v>17.5</v>
      </c>
    </row>
    <row r="140" spans="1:15" x14ac:dyDescent="0.25">
      <c r="A140" s="101" t="str">
        <f>'Data Vlaue (Cr)'!C135</f>
        <v>MOTHERSON</v>
      </c>
      <c r="B140" s="50">
        <f>VLOOKUP($A140,'Data shares'!$C:$FB,7)</f>
        <v>120.21</v>
      </c>
      <c r="C140" s="50">
        <f>VLOOKUP($A140,'Data shares'!$C:$FB,10)*100</f>
        <v>-0.83</v>
      </c>
      <c r="D140" s="49">
        <f>VLOOKUP($A140,'Data shares'!$C:$FB,66)</f>
        <v>33511350</v>
      </c>
      <c r="E140" s="49">
        <f>VLOOKUP($A140,'Data shares'!$C:$FB,67)</f>
        <v>59224500</v>
      </c>
      <c r="F140" s="50">
        <f>VLOOKUP($A140,'Data shares'!$C:$FB,69)*100</f>
        <v>-43.419999999999995</v>
      </c>
      <c r="G140" s="49">
        <f>VLOOKUP($A140,'Data shares'!$C:$FB,42)</f>
        <v>13222500</v>
      </c>
      <c r="H140" s="49">
        <f>VLOOKUP($A140,'Data shares'!$C:$FB,43)</f>
        <v>19175700</v>
      </c>
      <c r="I140" s="50">
        <f>VLOOKUP($A140,'Data shares'!$C:$FB,45)*100</f>
        <v>-31.05</v>
      </c>
      <c r="J140" s="49">
        <f>VLOOKUP($A140,'Data shares'!$C:$FB,58)</f>
        <v>14052750</v>
      </c>
      <c r="K140" s="49">
        <f>VLOOKUP($A140,'Data shares'!$C:$FB,59)</f>
        <v>25584000</v>
      </c>
      <c r="L140" s="50">
        <f>VLOOKUP($A140,'Data shares'!$C:$FB,61)*100</f>
        <v>-45.07</v>
      </c>
      <c r="M140" s="49">
        <f>VLOOKUP($A140,'Data shares'!$C:$FB,62)</f>
        <v>6236100</v>
      </c>
      <c r="N140" s="49">
        <f>VLOOKUP($A140,'Data shares'!$C:$FB,63)</f>
        <v>14464800</v>
      </c>
      <c r="O140" s="140">
        <f>VLOOKUP($A140,'Data shares'!$C:$FB,65)*100</f>
        <v>-56.889999999999993</v>
      </c>
    </row>
    <row r="141" spans="1:15" x14ac:dyDescent="0.25">
      <c r="A141" s="101" t="str">
        <f>'Data Vlaue (Cr)'!C136</f>
        <v>MOTILALOFS</v>
      </c>
      <c r="B141" s="50">
        <f>VLOOKUP($A141,'Data shares'!$C:$FB,7)</f>
        <v>836.6</v>
      </c>
      <c r="C141" s="50">
        <f>VLOOKUP($A141,'Data shares'!$C:$FB,10)*100</f>
        <v>4.54</v>
      </c>
      <c r="D141" s="49">
        <f>VLOOKUP($A141,'Data shares'!$C:$FB,66)</f>
        <v>8339000</v>
      </c>
      <c r="E141" s="49">
        <f>VLOOKUP($A141,'Data shares'!$C:$FB,67)</f>
        <v>16047150</v>
      </c>
      <c r="F141" s="50">
        <f>VLOOKUP($A141,'Data shares'!$C:$FB,69)*100</f>
        <v>-48.03</v>
      </c>
      <c r="G141" s="49">
        <f>VLOOKUP($A141,'Data shares'!$C:$FB,42)</f>
        <v>1838300</v>
      </c>
      <c r="H141" s="49">
        <f>VLOOKUP($A141,'Data shares'!$C:$FB,43)</f>
        <v>3048075</v>
      </c>
      <c r="I141" s="50">
        <f>VLOOKUP($A141,'Data shares'!$C:$FB,45)*100</f>
        <v>-39.69</v>
      </c>
      <c r="J141" s="49">
        <f>VLOOKUP($A141,'Data shares'!$C:$FB,58)</f>
        <v>5223500</v>
      </c>
      <c r="K141" s="49">
        <f>VLOOKUP($A141,'Data shares'!$C:$FB,59)</f>
        <v>9200800</v>
      </c>
      <c r="L141" s="50">
        <f>VLOOKUP($A141,'Data shares'!$C:$FB,61)*100</f>
        <v>-43.230000000000004</v>
      </c>
      <c r="M141" s="49">
        <f>VLOOKUP($A141,'Data shares'!$C:$FB,62)</f>
        <v>1277200</v>
      </c>
      <c r="N141" s="49">
        <f>VLOOKUP($A141,'Data shares'!$C:$FB,63)</f>
        <v>3798275</v>
      </c>
      <c r="O141" s="140">
        <f>VLOOKUP($A141,'Data shares'!$C:$FB,65)*100</f>
        <v>-66.36999999999999</v>
      </c>
    </row>
    <row r="142" spans="1:15" x14ac:dyDescent="0.25">
      <c r="A142" s="101" t="str">
        <f>'Data Vlaue (Cr)'!C137</f>
        <v>MPHASIS</v>
      </c>
      <c r="B142" s="50">
        <f>VLOOKUP($A142,'Data shares'!$C:$FB,7)</f>
        <v>2276.6</v>
      </c>
      <c r="C142" s="50">
        <f>VLOOKUP($A142,'Data shares'!$C:$FB,10)*100</f>
        <v>0</v>
      </c>
      <c r="D142" s="49">
        <f>VLOOKUP($A142,'Data shares'!$C:$FB,66)</f>
        <v>2750825</v>
      </c>
      <c r="E142" s="49">
        <f>VLOOKUP($A142,'Data shares'!$C:$FB,67)</f>
        <v>17318400</v>
      </c>
      <c r="F142" s="50">
        <f>VLOOKUP($A142,'Data shares'!$C:$FB,69)*100</f>
        <v>-84.11999999999999</v>
      </c>
      <c r="G142" s="49">
        <f>VLOOKUP($A142,'Data shares'!$C:$FB,42)</f>
        <v>742775</v>
      </c>
      <c r="H142" s="49">
        <f>VLOOKUP($A142,'Data shares'!$C:$FB,43)</f>
        <v>3126750</v>
      </c>
      <c r="I142" s="50">
        <f>VLOOKUP($A142,'Data shares'!$C:$FB,45)*100</f>
        <v>-76.239999999999995</v>
      </c>
      <c r="J142" s="49">
        <f>VLOOKUP($A142,'Data shares'!$C:$FB,58)</f>
        <v>1350800</v>
      </c>
      <c r="K142" s="49">
        <f>VLOOKUP($A142,'Data shares'!$C:$FB,59)</f>
        <v>9769650</v>
      </c>
      <c r="L142" s="50">
        <f>VLOOKUP($A142,'Data shares'!$C:$FB,61)*100</f>
        <v>-86.17</v>
      </c>
      <c r="M142" s="49">
        <f>VLOOKUP($A142,'Data shares'!$C:$FB,62)</f>
        <v>657250</v>
      </c>
      <c r="N142" s="49">
        <f>VLOOKUP($A142,'Data shares'!$C:$FB,63)</f>
        <v>4422000</v>
      </c>
      <c r="O142" s="140">
        <f>VLOOKUP($A142,'Data shares'!$C:$FB,65)*100</f>
        <v>-85.14</v>
      </c>
    </row>
    <row r="143" spans="1:15" x14ac:dyDescent="0.25">
      <c r="A143" s="101" t="str">
        <f>'Data Vlaue (Cr)'!C138</f>
        <v>MUTHOOTFIN</v>
      </c>
      <c r="B143" s="50">
        <f>VLOOKUP($A143,'Data shares'!$C:$FB,7)</f>
        <v>3487.7</v>
      </c>
      <c r="C143" s="50">
        <f>VLOOKUP($A143,'Data shares'!$C:$FB,10)*100</f>
        <v>1.8499999999999999</v>
      </c>
      <c r="D143" s="49">
        <f>VLOOKUP($A143,'Data shares'!$C:$FB,66)</f>
        <v>2223925</v>
      </c>
      <c r="E143" s="49">
        <f>VLOOKUP($A143,'Data shares'!$C:$FB,67)</f>
        <v>1442650</v>
      </c>
      <c r="F143" s="50">
        <f>VLOOKUP($A143,'Data shares'!$C:$FB,69)*100</f>
        <v>54.16</v>
      </c>
      <c r="G143" s="49">
        <f>VLOOKUP($A143,'Data shares'!$C:$FB,42)</f>
        <v>512875</v>
      </c>
      <c r="H143" s="49">
        <f>VLOOKUP($A143,'Data shares'!$C:$FB,43)</f>
        <v>547525</v>
      </c>
      <c r="I143" s="50">
        <f>VLOOKUP($A143,'Data shares'!$C:$FB,45)*100</f>
        <v>-6.3299999999999992</v>
      </c>
      <c r="J143" s="49">
        <f>VLOOKUP($A143,'Data shares'!$C:$FB,58)</f>
        <v>1309000</v>
      </c>
      <c r="K143" s="49">
        <f>VLOOKUP($A143,'Data shares'!$C:$FB,59)</f>
        <v>514800</v>
      </c>
      <c r="L143" s="50">
        <f>VLOOKUP($A143,'Data shares'!$C:$FB,61)*100</f>
        <v>154.26999999999998</v>
      </c>
      <c r="M143" s="49">
        <f>VLOOKUP($A143,'Data shares'!$C:$FB,62)</f>
        <v>402050</v>
      </c>
      <c r="N143" s="49">
        <f>VLOOKUP($A143,'Data shares'!$C:$FB,63)</f>
        <v>380325</v>
      </c>
      <c r="O143" s="140">
        <f>VLOOKUP($A143,'Data shares'!$C:$FB,65)*100</f>
        <v>5.71</v>
      </c>
    </row>
    <row r="144" spans="1:15" x14ac:dyDescent="0.25">
      <c r="A144" s="101" t="str">
        <f>'Data Vlaue (Cr)'!C139</f>
        <v>NAM-INDIA</v>
      </c>
      <c r="B144" s="50">
        <f>VLOOKUP($A144,'Data shares'!$C:$FB,7)</f>
        <v>1019.3</v>
      </c>
      <c r="C144" s="50">
        <f>VLOOKUP($A144,'Data shares'!$C:$FB,10)*100</f>
        <v>0.92999999999999994</v>
      </c>
      <c r="D144" s="49">
        <f>VLOOKUP($A144,'Data shares'!$C:$FB,66)</f>
        <v>1692500</v>
      </c>
      <c r="E144" s="49">
        <f>VLOOKUP($A144,'Data shares'!$C:$FB,67)</f>
        <v>3342500</v>
      </c>
      <c r="F144" s="50">
        <f>VLOOKUP($A144,'Data shares'!$C:$FB,69)*100</f>
        <v>-49.36</v>
      </c>
      <c r="G144" s="49">
        <f>VLOOKUP($A144,'Data shares'!$C:$FB,42)</f>
        <v>646250</v>
      </c>
      <c r="H144" s="49">
        <f>VLOOKUP($A144,'Data shares'!$C:$FB,43)</f>
        <v>872500</v>
      </c>
      <c r="I144" s="50">
        <f>VLOOKUP($A144,'Data shares'!$C:$FB,45)*100</f>
        <v>-25.929999999999996</v>
      </c>
      <c r="J144" s="49">
        <f>VLOOKUP($A144,'Data shares'!$C:$FB,58)</f>
        <v>844375</v>
      </c>
      <c r="K144" s="49">
        <f>VLOOKUP($A144,'Data shares'!$C:$FB,59)</f>
        <v>1746875</v>
      </c>
      <c r="L144" s="50">
        <f>VLOOKUP($A144,'Data shares'!$C:$FB,61)*100</f>
        <v>-51.66</v>
      </c>
      <c r="M144" s="49">
        <f>VLOOKUP($A144,'Data shares'!$C:$FB,62)</f>
        <v>201875</v>
      </c>
      <c r="N144" s="49">
        <f>VLOOKUP($A144,'Data shares'!$C:$FB,63)</f>
        <v>723125</v>
      </c>
      <c r="O144" s="140">
        <f>VLOOKUP($A144,'Data shares'!$C:$FB,65)*100</f>
        <v>-72.08</v>
      </c>
    </row>
    <row r="145" spans="1:15" x14ac:dyDescent="0.25">
      <c r="A145" s="101" t="str">
        <f>'Data Vlaue (Cr)'!C140</f>
        <v>NATIONALUM</v>
      </c>
      <c r="B145" s="50">
        <f>VLOOKUP($A145,'Data shares'!$C:$FB,7)</f>
        <v>407.8</v>
      </c>
      <c r="C145" s="50">
        <f>VLOOKUP($A145,'Data shares'!$C:$FB,10)*100</f>
        <v>2.13</v>
      </c>
      <c r="D145" s="49">
        <f>VLOOKUP($A145,'Data shares'!$C:$FB,66)</f>
        <v>99039375</v>
      </c>
      <c r="E145" s="49">
        <f>VLOOKUP($A145,'Data shares'!$C:$FB,67)</f>
        <v>124876875</v>
      </c>
      <c r="F145" s="50">
        <f>VLOOKUP($A145,'Data shares'!$C:$FB,69)*100</f>
        <v>-20.69</v>
      </c>
      <c r="G145" s="49">
        <f>VLOOKUP($A145,'Data shares'!$C:$FB,42)</f>
        <v>21896250</v>
      </c>
      <c r="H145" s="49">
        <f>VLOOKUP($A145,'Data shares'!$C:$FB,43)</f>
        <v>30435000</v>
      </c>
      <c r="I145" s="50">
        <f>VLOOKUP($A145,'Data shares'!$C:$FB,45)*100</f>
        <v>-28.060000000000002</v>
      </c>
      <c r="J145" s="49">
        <f>VLOOKUP($A145,'Data shares'!$C:$FB,58)</f>
        <v>53182500</v>
      </c>
      <c r="K145" s="49">
        <f>VLOOKUP($A145,'Data shares'!$C:$FB,59)</f>
        <v>53885625</v>
      </c>
      <c r="L145" s="50">
        <f>VLOOKUP($A145,'Data shares'!$C:$FB,61)*100</f>
        <v>-1.3</v>
      </c>
      <c r="M145" s="49">
        <f>VLOOKUP($A145,'Data shares'!$C:$FB,62)</f>
        <v>23960625</v>
      </c>
      <c r="N145" s="49">
        <f>VLOOKUP($A145,'Data shares'!$C:$FB,63)</f>
        <v>40556250</v>
      </c>
      <c r="O145" s="140">
        <f>VLOOKUP($A145,'Data shares'!$C:$FB,65)*100</f>
        <v>-40.92</v>
      </c>
    </row>
    <row r="146" spans="1:15" x14ac:dyDescent="0.25">
      <c r="A146" s="101" t="str">
        <f>'Data Vlaue (Cr)'!C141</f>
        <v>NAUKRI</v>
      </c>
      <c r="B146" s="50">
        <f>VLOOKUP($A146,'Data shares'!$C:$FB,7)</f>
        <v>976.65</v>
      </c>
      <c r="C146" s="50">
        <f>VLOOKUP($A146,'Data shares'!$C:$FB,10)*100</f>
        <v>0.38999999999999996</v>
      </c>
      <c r="D146" s="49">
        <f>VLOOKUP($A146,'Data shares'!$C:$FB,66)</f>
        <v>2520375</v>
      </c>
      <c r="E146" s="49">
        <f>VLOOKUP($A146,'Data shares'!$C:$FB,67)</f>
        <v>4059000</v>
      </c>
      <c r="F146" s="50">
        <f>VLOOKUP($A146,'Data shares'!$C:$FB,69)*100</f>
        <v>-37.909999999999997</v>
      </c>
      <c r="G146" s="49">
        <f>VLOOKUP($A146,'Data shares'!$C:$FB,42)</f>
        <v>997500</v>
      </c>
      <c r="H146" s="49">
        <f>VLOOKUP($A146,'Data shares'!$C:$FB,43)</f>
        <v>1481250</v>
      </c>
      <c r="I146" s="50">
        <f>VLOOKUP($A146,'Data shares'!$C:$FB,45)*100</f>
        <v>-32.659999999999997</v>
      </c>
      <c r="J146" s="49">
        <f>VLOOKUP($A146,'Data shares'!$C:$FB,58)</f>
        <v>1220625</v>
      </c>
      <c r="K146" s="49">
        <f>VLOOKUP($A146,'Data shares'!$C:$FB,59)</f>
        <v>1680000</v>
      </c>
      <c r="L146" s="50">
        <f>VLOOKUP($A146,'Data shares'!$C:$FB,61)*100</f>
        <v>-27.339999999999996</v>
      </c>
      <c r="M146" s="49">
        <f>VLOOKUP($A146,'Data shares'!$C:$FB,62)</f>
        <v>302250</v>
      </c>
      <c r="N146" s="49">
        <f>VLOOKUP($A146,'Data shares'!$C:$FB,63)</f>
        <v>897750</v>
      </c>
      <c r="O146" s="140">
        <f>VLOOKUP($A146,'Data shares'!$C:$FB,65)*100</f>
        <v>-66.33</v>
      </c>
    </row>
    <row r="147" spans="1:15" x14ac:dyDescent="0.25">
      <c r="A147" s="101" t="str">
        <f>'Data Vlaue (Cr)'!C142</f>
        <v>NBCC</v>
      </c>
      <c r="B147" s="50">
        <f>VLOOKUP($A147,'Data shares'!$C:$FB,7)</f>
        <v>92.52</v>
      </c>
      <c r="C147" s="50">
        <f>VLOOKUP($A147,'Data shares'!$C:$FB,10)*100</f>
        <v>0.95</v>
      </c>
      <c r="D147" s="49">
        <f>VLOOKUP($A147,'Data shares'!$C:$FB,66)</f>
        <v>20065500</v>
      </c>
      <c r="E147" s="49">
        <f>VLOOKUP($A147,'Data shares'!$C:$FB,67)</f>
        <v>26182000</v>
      </c>
      <c r="F147" s="50">
        <f>VLOOKUP($A147,'Data shares'!$C:$FB,69)*100</f>
        <v>-23.36</v>
      </c>
      <c r="G147" s="49">
        <f>VLOOKUP($A147,'Data shares'!$C:$FB,42)</f>
        <v>6233500</v>
      </c>
      <c r="H147" s="49">
        <f>VLOOKUP($A147,'Data shares'!$C:$FB,43)</f>
        <v>9392500</v>
      </c>
      <c r="I147" s="50">
        <f>VLOOKUP($A147,'Data shares'!$C:$FB,45)*100</f>
        <v>-33.629999999999995</v>
      </c>
      <c r="J147" s="49">
        <f>VLOOKUP($A147,'Data shares'!$C:$FB,58)</f>
        <v>8775000</v>
      </c>
      <c r="K147" s="49">
        <f>VLOOKUP($A147,'Data shares'!$C:$FB,59)</f>
        <v>10400000</v>
      </c>
      <c r="L147" s="50">
        <f>VLOOKUP($A147,'Data shares'!$C:$FB,61)*100</f>
        <v>-15.629999999999999</v>
      </c>
      <c r="M147" s="49">
        <f>VLOOKUP($A147,'Data shares'!$C:$FB,62)</f>
        <v>5057000</v>
      </c>
      <c r="N147" s="49">
        <f>VLOOKUP($A147,'Data shares'!$C:$FB,63)</f>
        <v>6389500</v>
      </c>
      <c r="O147" s="140">
        <f>VLOOKUP($A147,'Data shares'!$C:$FB,65)*100</f>
        <v>-20.849999999999998</v>
      </c>
    </row>
    <row r="148" spans="1:15" x14ac:dyDescent="0.25">
      <c r="A148" s="101" t="str">
        <f>'Data Vlaue (Cr)'!C143</f>
        <v>NESTLEIND</v>
      </c>
      <c r="B148" s="50">
        <f>VLOOKUP($A148,'Data shares'!$C:$FB,7)</f>
        <v>1457.1</v>
      </c>
      <c r="C148" s="50">
        <f>VLOOKUP($A148,'Data shares'!$C:$FB,10)*100</f>
        <v>-0.1</v>
      </c>
      <c r="D148" s="49">
        <f>VLOOKUP($A148,'Data shares'!$C:$FB,66)</f>
        <v>7324500</v>
      </c>
      <c r="E148" s="49">
        <f>VLOOKUP($A148,'Data shares'!$C:$FB,67)</f>
        <v>10733500</v>
      </c>
      <c r="F148" s="50">
        <f>VLOOKUP($A148,'Data shares'!$C:$FB,69)*100</f>
        <v>-31.759999999999998</v>
      </c>
      <c r="G148" s="49">
        <f>VLOOKUP($A148,'Data shares'!$C:$FB,42)</f>
        <v>1570500</v>
      </c>
      <c r="H148" s="49">
        <f>VLOOKUP($A148,'Data shares'!$C:$FB,43)</f>
        <v>1935500</v>
      </c>
      <c r="I148" s="50">
        <f>VLOOKUP($A148,'Data shares'!$C:$FB,45)*100</f>
        <v>-18.86</v>
      </c>
      <c r="J148" s="49">
        <f>VLOOKUP($A148,'Data shares'!$C:$FB,58)</f>
        <v>3599500</v>
      </c>
      <c r="K148" s="49">
        <f>VLOOKUP($A148,'Data shares'!$C:$FB,59)</f>
        <v>4818000</v>
      </c>
      <c r="L148" s="50">
        <f>VLOOKUP($A148,'Data shares'!$C:$FB,61)*100</f>
        <v>-25.290000000000003</v>
      </c>
      <c r="M148" s="49">
        <f>VLOOKUP($A148,'Data shares'!$C:$FB,62)</f>
        <v>2154500</v>
      </c>
      <c r="N148" s="49">
        <f>VLOOKUP($A148,'Data shares'!$C:$FB,63)</f>
        <v>3980000</v>
      </c>
      <c r="O148" s="140">
        <f>VLOOKUP($A148,'Data shares'!$C:$FB,65)*100</f>
        <v>-45.87</v>
      </c>
    </row>
    <row r="149" spans="1:15" x14ac:dyDescent="0.25">
      <c r="A149" s="101" t="str">
        <f>'Data Vlaue (Cr)'!C144</f>
        <v>NHPC</v>
      </c>
      <c r="B149" s="50">
        <f>VLOOKUP($A149,'Data shares'!$C:$FB,7)</f>
        <v>83.28</v>
      </c>
      <c r="C149" s="50">
        <f>VLOOKUP($A149,'Data shares'!$C:$FB,10)*100</f>
        <v>0.1</v>
      </c>
      <c r="D149" s="49">
        <f>VLOOKUP($A149,'Data shares'!$C:$FB,66)</f>
        <v>53606400</v>
      </c>
      <c r="E149" s="49">
        <f>VLOOKUP($A149,'Data shares'!$C:$FB,67)</f>
        <v>58912000</v>
      </c>
      <c r="F149" s="50">
        <f>VLOOKUP($A149,'Data shares'!$C:$FB,69)*100</f>
        <v>-9.01</v>
      </c>
      <c r="G149" s="49">
        <f>VLOOKUP($A149,'Data shares'!$C:$FB,42)</f>
        <v>12403200</v>
      </c>
      <c r="H149" s="49">
        <f>VLOOKUP($A149,'Data shares'!$C:$FB,43)</f>
        <v>12857600</v>
      </c>
      <c r="I149" s="50">
        <f>VLOOKUP($A149,'Data shares'!$C:$FB,45)*100</f>
        <v>-3.53</v>
      </c>
      <c r="J149" s="49">
        <f>VLOOKUP($A149,'Data shares'!$C:$FB,58)</f>
        <v>30060800</v>
      </c>
      <c r="K149" s="49">
        <f>VLOOKUP($A149,'Data shares'!$C:$FB,59)</f>
        <v>32460800</v>
      </c>
      <c r="L149" s="50">
        <f>VLOOKUP($A149,'Data shares'!$C:$FB,61)*100</f>
        <v>-7.39</v>
      </c>
      <c r="M149" s="49">
        <f>VLOOKUP($A149,'Data shares'!$C:$FB,62)</f>
        <v>11142400</v>
      </c>
      <c r="N149" s="49">
        <f>VLOOKUP($A149,'Data shares'!$C:$FB,63)</f>
        <v>13593600</v>
      </c>
      <c r="O149" s="140">
        <f>VLOOKUP($A149,'Data shares'!$C:$FB,65)*100</f>
        <v>-18.029999999999998</v>
      </c>
    </row>
    <row r="150" spans="1:15" x14ac:dyDescent="0.25">
      <c r="A150" s="101" t="str">
        <f>'Data Vlaue (Cr)'!C145</f>
        <v>NIFTY</v>
      </c>
      <c r="B150" s="50">
        <f>VLOOKUP($A150,'Data shares'!$C:$FB,7)</f>
        <v>24119.3</v>
      </c>
      <c r="C150" s="50">
        <f>VLOOKUP($A150,'Data shares'!$C:$FB,10)*100</f>
        <v>0.51</v>
      </c>
      <c r="D150" s="49">
        <f>VLOOKUP($A150,'Data shares'!$C:$FB,66)</f>
        <v>11303527690</v>
      </c>
      <c r="E150" s="49">
        <f>VLOOKUP($A150,'Data shares'!$C:$FB,67)</f>
        <v>3273439455</v>
      </c>
      <c r="F150" s="50">
        <f>VLOOKUP($A150,'Data shares'!$C:$FB,69)*100</f>
        <v>245.31</v>
      </c>
      <c r="G150" s="49">
        <f>VLOOKUP($A150,'Data shares'!$C:$FB,42)</f>
        <v>5312580</v>
      </c>
      <c r="H150" s="49">
        <f>VLOOKUP($A150,'Data shares'!$C:$FB,43)</f>
        <v>6882070</v>
      </c>
      <c r="I150" s="50">
        <f>VLOOKUP($A150,'Data shares'!$C:$FB,45)*100</f>
        <v>-22.81</v>
      </c>
      <c r="J150" s="49">
        <f>VLOOKUP($A150,'Data shares'!$C:$FB,58)</f>
        <v>5386809415</v>
      </c>
      <c r="K150" s="49">
        <f>VLOOKUP($A150,'Data shares'!$C:$FB,59)</f>
        <v>1703982605</v>
      </c>
      <c r="L150" s="50">
        <f>VLOOKUP($A150,'Data shares'!$C:$FB,61)*100</f>
        <v>216.13000000000002</v>
      </c>
      <c r="M150" s="49">
        <f>VLOOKUP($A150,'Data shares'!$C:$FB,62)</f>
        <v>5911405695</v>
      </c>
      <c r="N150" s="49">
        <f>VLOOKUP($A150,'Data shares'!$C:$FB,63)</f>
        <v>1562574780</v>
      </c>
      <c r="O150" s="140">
        <f>VLOOKUP($A150,'Data shares'!$C:$FB,65)*100</f>
        <v>278.31</v>
      </c>
    </row>
    <row r="151" spans="1:15" x14ac:dyDescent="0.25">
      <c r="A151" s="101" t="str">
        <f>'Data Vlaue (Cr)'!C146</f>
        <v>NIFTYNXT50</v>
      </c>
      <c r="B151" s="50">
        <f>VLOOKUP($A151,'Data shares'!$C:$FB,7)</f>
        <v>70283.850000000006</v>
      </c>
      <c r="C151" s="50">
        <f>VLOOKUP($A151,'Data shares'!$C:$FB,10)*100</f>
        <v>0.91999999999999993</v>
      </c>
      <c r="D151" s="49">
        <f>VLOOKUP($A151,'Data shares'!$C:$FB,66)</f>
        <v>8850</v>
      </c>
      <c r="E151" s="49">
        <f>VLOOKUP($A151,'Data shares'!$C:$FB,67)</f>
        <v>6600</v>
      </c>
      <c r="F151" s="50">
        <f>VLOOKUP($A151,'Data shares'!$C:$FB,69)*100</f>
        <v>34.089999999999996</v>
      </c>
      <c r="G151" s="49">
        <f>VLOOKUP($A151,'Data shares'!$C:$FB,42)</f>
        <v>5150</v>
      </c>
      <c r="H151" s="49">
        <f>VLOOKUP($A151,'Data shares'!$C:$FB,43)</f>
        <v>5975</v>
      </c>
      <c r="I151" s="50">
        <f>VLOOKUP($A151,'Data shares'!$C:$FB,45)*100</f>
        <v>-13.81</v>
      </c>
      <c r="J151" s="49">
        <f>VLOOKUP($A151,'Data shares'!$C:$FB,58)</f>
        <v>3550</v>
      </c>
      <c r="K151" s="49">
        <f>VLOOKUP($A151,'Data shares'!$C:$FB,59)</f>
        <v>425</v>
      </c>
      <c r="L151" s="50">
        <f>VLOOKUP($A151,'Data shares'!$C:$FB,61)*100</f>
        <v>735.29</v>
      </c>
      <c r="M151" s="49">
        <f>VLOOKUP($A151,'Data shares'!$C:$FB,62)</f>
        <v>150</v>
      </c>
      <c r="N151" s="49">
        <f>VLOOKUP($A151,'Data shares'!$C:$FB,63)</f>
        <v>200</v>
      </c>
      <c r="O151" s="140">
        <f>VLOOKUP($A151,'Data shares'!$C:$FB,65)*100</f>
        <v>-25</v>
      </c>
    </row>
    <row r="152" spans="1:15" x14ac:dyDescent="0.25">
      <c r="A152" s="101" t="str">
        <f>'Data Vlaue (Cr)'!C147</f>
        <v>NMDC</v>
      </c>
      <c r="B152" s="50">
        <f>VLOOKUP($A152,'Data shares'!$C:$FB,7)</f>
        <v>89.09</v>
      </c>
      <c r="C152" s="50">
        <f>VLOOKUP($A152,'Data shares'!$C:$FB,10)*100</f>
        <v>-1.4200000000000002</v>
      </c>
      <c r="D152" s="49">
        <f>VLOOKUP($A152,'Data shares'!$C:$FB,66)</f>
        <v>92913750</v>
      </c>
      <c r="E152" s="49">
        <f>VLOOKUP($A152,'Data shares'!$C:$FB,67)</f>
        <v>83760750</v>
      </c>
      <c r="F152" s="50">
        <f>VLOOKUP($A152,'Data shares'!$C:$FB,69)*100</f>
        <v>10.93</v>
      </c>
      <c r="G152" s="49">
        <f>VLOOKUP($A152,'Data shares'!$C:$FB,42)</f>
        <v>23206500</v>
      </c>
      <c r="H152" s="49">
        <f>VLOOKUP($A152,'Data shares'!$C:$FB,43)</f>
        <v>20007000</v>
      </c>
      <c r="I152" s="50">
        <f>VLOOKUP($A152,'Data shares'!$C:$FB,45)*100</f>
        <v>15.989999999999998</v>
      </c>
      <c r="J152" s="49">
        <f>VLOOKUP($A152,'Data shares'!$C:$FB,58)</f>
        <v>50496750</v>
      </c>
      <c r="K152" s="49">
        <f>VLOOKUP($A152,'Data shares'!$C:$FB,59)</f>
        <v>44219250</v>
      </c>
      <c r="L152" s="50">
        <f>VLOOKUP($A152,'Data shares'!$C:$FB,61)*100</f>
        <v>14.2</v>
      </c>
      <c r="M152" s="49">
        <f>VLOOKUP($A152,'Data shares'!$C:$FB,62)</f>
        <v>19210500</v>
      </c>
      <c r="N152" s="49">
        <f>VLOOKUP($A152,'Data shares'!$C:$FB,63)</f>
        <v>19534500</v>
      </c>
      <c r="O152" s="140">
        <f>VLOOKUP($A152,'Data shares'!$C:$FB,65)*100</f>
        <v>-1.66</v>
      </c>
    </row>
    <row r="153" spans="1:15" x14ac:dyDescent="0.25">
      <c r="A153" s="101" t="str">
        <f>'Data Vlaue (Cr)'!C148</f>
        <v>NTPC</v>
      </c>
      <c r="B153" s="50">
        <f>VLOOKUP($A153,'Data shares'!$C:$FB,7)</f>
        <v>400.05</v>
      </c>
      <c r="C153" s="50">
        <f>VLOOKUP($A153,'Data shares'!$C:$FB,10)*100</f>
        <v>0.22999999999999998</v>
      </c>
      <c r="D153" s="49">
        <f>VLOOKUP($A153,'Data shares'!$C:$FB,66)</f>
        <v>41892000</v>
      </c>
      <c r="E153" s="49">
        <f>VLOOKUP($A153,'Data shares'!$C:$FB,67)</f>
        <v>61567500</v>
      </c>
      <c r="F153" s="50">
        <f>VLOOKUP($A153,'Data shares'!$C:$FB,69)*100</f>
        <v>-31.96</v>
      </c>
      <c r="G153" s="49">
        <f>VLOOKUP($A153,'Data shares'!$C:$FB,42)</f>
        <v>6999000</v>
      </c>
      <c r="H153" s="49">
        <f>VLOOKUP($A153,'Data shares'!$C:$FB,43)</f>
        <v>7290000</v>
      </c>
      <c r="I153" s="50">
        <f>VLOOKUP($A153,'Data shares'!$C:$FB,45)*100</f>
        <v>-3.9899999999999998</v>
      </c>
      <c r="J153" s="49">
        <f>VLOOKUP($A153,'Data shares'!$C:$FB,58)</f>
        <v>25140000</v>
      </c>
      <c r="K153" s="49">
        <f>VLOOKUP($A153,'Data shares'!$C:$FB,59)</f>
        <v>42181500</v>
      </c>
      <c r="L153" s="50">
        <f>VLOOKUP($A153,'Data shares'!$C:$FB,61)*100</f>
        <v>-40.400000000000006</v>
      </c>
      <c r="M153" s="49">
        <f>VLOOKUP($A153,'Data shares'!$C:$FB,62)</f>
        <v>9753000</v>
      </c>
      <c r="N153" s="49">
        <f>VLOOKUP($A153,'Data shares'!$C:$FB,63)</f>
        <v>12096000</v>
      </c>
      <c r="O153" s="140">
        <f>VLOOKUP($A153,'Data shares'!$C:$FB,65)*100</f>
        <v>-19.37</v>
      </c>
    </row>
    <row r="154" spans="1:15" x14ac:dyDescent="0.25">
      <c r="A154" s="101" t="str">
        <f>'Data Vlaue (Cr)'!C149</f>
        <v>NUVAMA</v>
      </c>
      <c r="B154" s="50">
        <f>VLOOKUP($A154,'Data shares'!$C:$FB,7)</f>
        <v>1329.3</v>
      </c>
      <c r="C154" s="50">
        <f>VLOOKUP($A154,'Data shares'!$C:$FB,10)*100</f>
        <v>0.21</v>
      </c>
      <c r="D154" s="49">
        <f>VLOOKUP($A154,'Data shares'!$C:$FB,66)</f>
        <v>1267000</v>
      </c>
      <c r="E154" s="49">
        <f>VLOOKUP($A154,'Data shares'!$C:$FB,67)</f>
        <v>1046500</v>
      </c>
      <c r="F154" s="50">
        <f>VLOOKUP($A154,'Data shares'!$C:$FB,69)*100</f>
        <v>21.07</v>
      </c>
      <c r="G154" s="49">
        <f>VLOOKUP($A154,'Data shares'!$C:$FB,42)</f>
        <v>619500</v>
      </c>
      <c r="H154" s="49">
        <f>VLOOKUP($A154,'Data shares'!$C:$FB,43)</f>
        <v>587500</v>
      </c>
      <c r="I154" s="50">
        <f>VLOOKUP($A154,'Data shares'!$C:$FB,45)*100</f>
        <v>5.45</v>
      </c>
      <c r="J154" s="49">
        <f>VLOOKUP($A154,'Data shares'!$C:$FB,58)</f>
        <v>525000</v>
      </c>
      <c r="K154" s="49">
        <f>VLOOKUP($A154,'Data shares'!$C:$FB,59)</f>
        <v>269500</v>
      </c>
      <c r="L154" s="50">
        <f>VLOOKUP($A154,'Data shares'!$C:$FB,61)*100</f>
        <v>94.81</v>
      </c>
      <c r="M154" s="49">
        <f>VLOOKUP($A154,'Data shares'!$C:$FB,62)</f>
        <v>122500</v>
      </c>
      <c r="N154" s="49">
        <f>VLOOKUP($A154,'Data shares'!$C:$FB,63)</f>
        <v>189500</v>
      </c>
      <c r="O154" s="140">
        <f>VLOOKUP($A154,'Data shares'!$C:$FB,65)*100</f>
        <v>-35.36</v>
      </c>
    </row>
    <row r="155" spans="1:15" x14ac:dyDescent="0.25">
      <c r="A155" s="101" t="str">
        <f>'Data Vlaue (Cr)'!C150</f>
        <v>NYKAA</v>
      </c>
      <c r="B155" s="50">
        <f>VLOOKUP($A155,'Data shares'!$C:$FB,7)</f>
        <v>264.85000000000002</v>
      </c>
      <c r="C155" s="50">
        <f>VLOOKUP($A155,'Data shares'!$C:$FB,10)*100</f>
        <v>0.03</v>
      </c>
      <c r="D155" s="49">
        <f>VLOOKUP($A155,'Data shares'!$C:$FB,66)</f>
        <v>7487500</v>
      </c>
      <c r="E155" s="49">
        <f>VLOOKUP($A155,'Data shares'!$C:$FB,67)</f>
        <v>7446875</v>
      </c>
      <c r="F155" s="50">
        <f>VLOOKUP($A155,'Data shares'!$C:$FB,69)*100</f>
        <v>0.54999999999999993</v>
      </c>
      <c r="G155" s="49">
        <f>VLOOKUP($A155,'Data shares'!$C:$FB,42)</f>
        <v>2934375</v>
      </c>
      <c r="H155" s="49">
        <f>VLOOKUP($A155,'Data shares'!$C:$FB,43)</f>
        <v>3209375</v>
      </c>
      <c r="I155" s="50">
        <f>VLOOKUP($A155,'Data shares'!$C:$FB,45)*100</f>
        <v>-8.57</v>
      </c>
      <c r="J155" s="49">
        <f>VLOOKUP($A155,'Data shares'!$C:$FB,58)</f>
        <v>3465625</v>
      </c>
      <c r="K155" s="49">
        <f>VLOOKUP($A155,'Data shares'!$C:$FB,59)</f>
        <v>2012500</v>
      </c>
      <c r="L155" s="50">
        <f>VLOOKUP($A155,'Data shares'!$C:$FB,61)*100</f>
        <v>72.2</v>
      </c>
      <c r="M155" s="49">
        <f>VLOOKUP($A155,'Data shares'!$C:$FB,62)</f>
        <v>1087500</v>
      </c>
      <c r="N155" s="49">
        <f>VLOOKUP($A155,'Data shares'!$C:$FB,63)</f>
        <v>2225000</v>
      </c>
      <c r="O155" s="140">
        <f>VLOOKUP($A155,'Data shares'!$C:$FB,65)*100</f>
        <v>-51.12</v>
      </c>
    </row>
    <row r="156" spans="1:15" x14ac:dyDescent="0.25">
      <c r="A156" s="101" t="str">
        <f>'Data Vlaue (Cr)'!C151</f>
        <v>OBEROIRLTY</v>
      </c>
      <c r="B156" s="50">
        <f>VLOOKUP($A156,'Data shares'!$C:$FB,7)</f>
        <v>1693.7</v>
      </c>
      <c r="C156" s="50">
        <f>VLOOKUP($A156,'Data shares'!$C:$FB,10)*100</f>
        <v>1.44</v>
      </c>
      <c r="D156" s="49">
        <f>VLOOKUP($A156,'Data shares'!$C:$FB,66)</f>
        <v>1207850</v>
      </c>
      <c r="E156" s="49">
        <f>VLOOKUP($A156,'Data shares'!$C:$FB,67)</f>
        <v>1269100</v>
      </c>
      <c r="F156" s="50">
        <f>VLOOKUP($A156,'Data shares'!$C:$FB,69)*100</f>
        <v>-4.83</v>
      </c>
      <c r="G156" s="49">
        <f>VLOOKUP($A156,'Data shares'!$C:$FB,42)</f>
        <v>493500</v>
      </c>
      <c r="H156" s="49">
        <f>VLOOKUP($A156,'Data shares'!$C:$FB,43)</f>
        <v>704550</v>
      </c>
      <c r="I156" s="50">
        <f>VLOOKUP($A156,'Data shares'!$C:$FB,45)*100</f>
        <v>-29.959999999999997</v>
      </c>
      <c r="J156" s="49">
        <f>VLOOKUP($A156,'Data shares'!$C:$FB,58)</f>
        <v>547750</v>
      </c>
      <c r="K156" s="49">
        <f>VLOOKUP($A156,'Data shares'!$C:$FB,59)</f>
        <v>383600</v>
      </c>
      <c r="L156" s="50">
        <f>VLOOKUP($A156,'Data shares'!$C:$FB,61)*100</f>
        <v>42.79</v>
      </c>
      <c r="M156" s="49">
        <f>VLOOKUP($A156,'Data shares'!$C:$FB,62)</f>
        <v>166600</v>
      </c>
      <c r="N156" s="49">
        <f>VLOOKUP($A156,'Data shares'!$C:$FB,63)</f>
        <v>180950</v>
      </c>
      <c r="O156" s="140">
        <f>VLOOKUP($A156,'Data shares'!$C:$FB,65)*100</f>
        <v>-7.93</v>
      </c>
    </row>
    <row r="157" spans="1:15" x14ac:dyDescent="0.25">
      <c r="A157" s="101" t="str">
        <f>'Data Vlaue (Cr)'!C152</f>
        <v>OFSS</v>
      </c>
      <c r="B157" s="50">
        <f>VLOOKUP($A157,'Data shares'!$C:$FB,7)</f>
        <v>9730</v>
      </c>
      <c r="C157" s="50">
        <f>VLOOKUP($A157,'Data shares'!$C:$FB,10)*100</f>
        <v>0.04</v>
      </c>
      <c r="D157" s="49">
        <f>VLOOKUP($A157,'Data shares'!$C:$FB,66)</f>
        <v>1861875</v>
      </c>
      <c r="E157" s="49">
        <f>VLOOKUP($A157,'Data shares'!$C:$FB,67)</f>
        <v>2247975</v>
      </c>
      <c r="F157" s="50">
        <f>VLOOKUP($A157,'Data shares'!$C:$FB,69)*100</f>
        <v>-17.18</v>
      </c>
      <c r="G157" s="49">
        <f>VLOOKUP($A157,'Data shares'!$C:$FB,42)</f>
        <v>239625</v>
      </c>
      <c r="H157" s="49">
        <f>VLOOKUP($A157,'Data shares'!$C:$FB,43)</f>
        <v>280200</v>
      </c>
      <c r="I157" s="50">
        <f>VLOOKUP($A157,'Data shares'!$C:$FB,45)*100</f>
        <v>-14.48</v>
      </c>
      <c r="J157" s="49">
        <f>VLOOKUP($A157,'Data shares'!$C:$FB,58)</f>
        <v>1014975</v>
      </c>
      <c r="K157" s="49">
        <f>VLOOKUP($A157,'Data shares'!$C:$FB,59)</f>
        <v>1329525</v>
      </c>
      <c r="L157" s="50">
        <f>VLOOKUP($A157,'Data shares'!$C:$FB,61)*100</f>
        <v>-23.66</v>
      </c>
      <c r="M157" s="49">
        <f>VLOOKUP($A157,'Data shares'!$C:$FB,62)</f>
        <v>607275</v>
      </c>
      <c r="N157" s="49">
        <f>VLOOKUP($A157,'Data shares'!$C:$FB,63)</f>
        <v>638250</v>
      </c>
      <c r="O157" s="140">
        <f>VLOOKUP($A157,'Data shares'!$C:$FB,65)*100</f>
        <v>-4.8500000000000005</v>
      </c>
    </row>
    <row r="158" spans="1:15" x14ac:dyDescent="0.25">
      <c r="A158" s="101" t="str">
        <f>'Data Vlaue (Cr)'!C153</f>
        <v>OIL</v>
      </c>
      <c r="B158" s="50">
        <f>VLOOKUP($A158,'Data shares'!$C:$FB,7)</f>
        <v>475.1</v>
      </c>
      <c r="C158" s="50">
        <f>VLOOKUP($A158,'Data shares'!$C:$FB,10)*100</f>
        <v>-3.2</v>
      </c>
      <c r="D158" s="49">
        <f>VLOOKUP($A158,'Data shares'!$C:$FB,66)</f>
        <v>19989200</v>
      </c>
      <c r="E158" s="49">
        <f>VLOOKUP($A158,'Data shares'!$C:$FB,67)</f>
        <v>17973200</v>
      </c>
      <c r="F158" s="50">
        <f>VLOOKUP($A158,'Data shares'!$C:$FB,69)*100</f>
        <v>11.219999999999999</v>
      </c>
      <c r="G158" s="49">
        <f>VLOOKUP($A158,'Data shares'!$C:$FB,42)</f>
        <v>3890600</v>
      </c>
      <c r="H158" s="49">
        <f>VLOOKUP($A158,'Data shares'!$C:$FB,43)</f>
        <v>3525200</v>
      </c>
      <c r="I158" s="50">
        <f>VLOOKUP($A158,'Data shares'!$C:$FB,45)*100</f>
        <v>10.37</v>
      </c>
      <c r="J158" s="49">
        <f>VLOOKUP($A158,'Data shares'!$C:$FB,58)</f>
        <v>11151000</v>
      </c>
      <c r="K158" s="49">
        <f>VLOOKUP($A158,'Data shares'!$C:$FB,59)</f>
        <v>10819200</v>
      </c>
      <c r="L158" s="50">
        <f>VLOOKUP($A158,'Data shares'!$C:$FB,61)*100</f>
        <v>3.0700000000000003</v>
      </c>
      <c r="M158" s="49">
        <f>VLOOKUP($A158,'Data shares'!$C:$FB,62)</f>
        <v>4947600</v>
      </c>
      <c r="N158" s="49">
        <f>VLOOKUP($A158,'Data shares'!$C:$FB,63)</f>
        <v>3628800</v>
      </c>
      <c r="O158" s="140">
        <f>VLOOKUP($A158,'Data shares'!$C:$FB,65)*100</f>
        <v>36.340000000000003</v>
      </c>
    </row>
    <row r="159" spans="1:15" x14ac:dyDescent="0.25">
      <c r="A159" s="101" t="str">
        <f>'Data Vlaue (Cr)'!C154</f>
        <v>ONGC</v>
      </c>
      <c r="B159" s="50">
        <f>VLOOKUP($A159,'Data shares'!$C:$FB,7)</f>
        <v>292.89999999999998</v>
      </c>
      <c r="C159" s="50">
        <f>VLOOKUP($A159,'Data shares'!$C:$FB,10)*100</f>
        <v>-2.2200000000000002</v>
      </c>
      <c r="D159" s="49">
        <f>VLOOKUP($A159,'Data shares'!$C:$FB,66)</f>
        <v>80471250</v>
      </c>
      <c r="E159" s="49">
        <f>VLOOKUP($A159,'Data shares'!$C:$FB,67)</f>
        <v>130430250</v>
      </c>
      <c r="F159" s="50">
        <f>VLOOKUP($A159,'Data shares'!$C:$FB,69)*100</f>
        <v>-38.299999999999997</v>
      </c>
      <c r="G159" s="49">
        <f>VLOOKUP($A159,'Data shares'!$C:$FB,42)</f>
        <v>9987750</v>
      </c>
      <c r="H159" s="49">
        <f>VLOOKUP($A159,'Data shares'!$C:$FB,43)</f>
        <v>13614750</v>
      </c>
      <c r="I159" s="50">
        <f>VLOOKUP($A159,'Data shares'!$C:$FB,45)*100</f>
        <v>-26.640000000000004</v>
      </c>
      <c r="J159" s="49">
        <f>VLOOKUP($A159,'Data shares'!$C:$FB,58)</f>
        <v>52598250</v>
      </c>
      <c r="K159" s="49">
        <f>VLOOKUP($A159,'Data shares'!$C:$FB,59)</f>
        <v>89338500</v>
      </c>
      <c r="L159" s="50">
        <f>VLOOKUP($A159,'Data shares'!$C:$FB,61)*100</f>
        <v>-41.120000000000005</v>
      </c>
      <c r="M159" s="49">
        <f>VLOOKUP($A159,'Data shares'!$C:$FB,62)</f>
        <v>17885250</v>
      </c>
      <c r="N159" s="49">
        <f>VLOOKUP($A159,'Data shares'!$C:$FB,63)</f>
        <v>27477000</v>
      </c>
      <c r="O159" s="140">
        <f>VLOOKUP($A159,'Data shares'!$C:$FB,65)*100</f>
        <v>-34.910000000000004</v>
      </c>
    </row>
    <row r="160" spans="1:15" x14ac:dyDescent="0.25">
      <c r="A160" s="101" t="str">
        <f>'Data Vlaue (Cr)'!C155</f>
        <v>PAGEIND</v>
      </c>
      <c r="B160" s="50">
        <f>VLOOKUP($A160,'Data shares'!$C:$FB,7)</f>
        <v>36955</v>
      </c>
      <c r="C160" s="50">
        <f>VLOOKUP($A160,'Data shares'!$C:$FB,10)*100</f>
        <v>0.45999999999999996</v>
      </c>
      <c r="D160" s="49">
        <f>VLOOKUP($A160,'Data shares'!$C:$FB,66)</f>
        <v>40020</v>
      </c>
      <c r="E160" s="49">
        <f>VLOOKUP($A160,'Data shares'!$C:$FB,67)</f>
        <v>56295</v>
      </c>
      <c r="F160" s="50">
        <f>VLOOKUP($A160,'Data shares'!$C:$FB,69)*100</f>
        <v>-28.910000000000004</v>
      </c>
      <c r="G160" s="49">
        <f>VLOOKUP($A160,'Data shares'!$C:$FB,42)</f>
        <v>20430</v>
      </c>
      <c r="H160" s="49">
        <f>VLOOKUP($A160,'Data shares'!$C:$FB,43)</f>
        <v>22500</v>
      </c>
      <c r="I160" s="50">
        <f>VLOOKUP($A160,'Data shares'!$C:$FB,45)*100</f>
        <v>-9.1999999999999993</v>
      </c>
      <c r="J160" s="49">
        <f>VLOOKUP($A160,'Data shares'!$C:$FB,58)</f>
        <v>13275</v>
      </c>
      <c r="K160" s="49">
        <f>VLOOKUP($A160,'Data shares'!$C:$FB,59)</f>
        <v>26085</v>
      </c>
      <c r="L160" s="50">
        <f>VLOOKUP($A160,'Data shares'!$C:$FB,61)*100</f>
        <v>-49.11</v>
      </c>
      <c r="M160" s="49">
        <f>VLOOKUP($A160,'Data shares'!$C:$FB,62)</f>
        <v>6315</v>
      </c>
      <c r="N160" s="49">
        <f>VLOOKUP($A160,'Data shares'!$C:$FB,63)</f>
        <v>7710</v>
      </c>
      <c r="O160" s="140">
        <f>VLOOKUP($A160,'Data shares'!$C:$FB,65)*100</f>
        <v>-18.09</v>
      </c>
    </row>
    <row r="161" spans="1:15" x14ac:dyDescent="0.25">
      <c r="A161" s="101" t="str">
        <f>'Data Vlaue (Cr)'!C156</f>
        <v>PATANJALI</v>
      </c>
      <c r="B161" s="50">
        <f>VLOOKUP($A161,'Data shares'!$C:$FB,7)</f>
        <v>456.25</v>
      </c>
      <c r="C161" s="50">
        <f>VLOOKUP($A161,'Data shares'!$C:$FB,10)*100</f>
        <v>-0.70000000000000007</v>
      </c>
      <c r="D161" s="49">
        <f>VLOOKUP($A161,'Data shares'!$C:$FB,66)</f>
        <v>8748000</v>
      </c>
      <c r="E161" s="49">
        <f>VLOOKUP($A161,'Data shares'!$C:$FB,67)</f>
        <v>5510700</v>
      </c>
      <c r="F161" s="50">
        <f>VLOOKUP($A161,'Data shares'!$C:$FB,69)*100</f>
        <v>58.75</v>
      </c>
      <c r="G161" s="49">
        <f>VLOOKUP($A161,'Data shares'!$C:$FB,42)</f>
        <v>3112200</v>
      </c>
      <c r="H161" s="49">
        <f>VLOOKUP($A161,'Data shares'!$C:$FB,43)</f>
        <v>2643300</v>
      </c>
      <c r="I161" s="50">
        <f>VLOOKUP($A161,'Data shares'!$C:$FB,45)*100</f>
        <v>17.740000000000002</v>
      </c>
      <c r="J161" s="49">
        <f>VLOOKUP($A161,'Data shares'!$C:$FB,58)</f>
        <v>4812300</v>
      </c>
      <c r="K161" s="49">
        <f>VLOOKUP($A161,'Data shares'!$C:$FB,59)</f>
        <v>2164500</v>
      </c>
      <c r="L161" s="50">
        <f>VLOOKUP($A161,'Data shares'!$C:$FB,61)*100</f>
        <v>122.33000000000001</v>
      </c>
      <c r="M161" s="49">
        <f>VLOOKUP($A161,'Data shares'!$C:$FB,62)</f>
        <v>823500</v>
      </c>
      <c r="N161" s="49">
        <f>VLOOKUP($A161,'Data shares'!$C:$FB,63)</f>
        <v>702900</v>
      </c>
      <c r="O161" s="140">
        <f>VLOOKUP($A161,'Data shares'!$C:$FB,65)*100</f>
        <v>17.16</v>
      </c>
    </row>
    <row r="162" spans="1:15" x14ac:dyDescent="0.25">
      <c r="A162" s="101" t="str">
        <f>'Data Vlaue (Cr)'!C157</f>
        <v>PAYTM</v>
      </c>
      <c r="B162" s="50">
        <f>VLOOKUP($A162,'Data shares'!$C:$FB,7)</f>
        <v>1115.8</v>
      </c>
      <c r="C162" s="50">
        <f>VLOOKUP($A162,'Data shares'!$C:$FB,10)*100</f>
        <v>1.83</v>
      </c>
      <c r="D162" s="49">
        <f>VLOOKUP($A162,'Data shares'!$C:$FB,66)</f>
        <v>8866025</v>
      </c>
      <c r="E162" s="49">
        <f>VLOOKUP($A162,'Data shares'!$C:$FB,67)</f>
        <v>10789450</v>
      </c>
      <c r="F162" s="50">
        <f>VLOOKUP($A162,'Data shares'!$C:$FB,69)*100</f>
        <v>-17.829999999999998</v>
      </c>
      <c r="G162" s="49">
        <f>VLOOKUP($A162,'Data shares'!$C:$FB,42)</f>
        <v>1544975</v>
      </c>
      <c r="H162" s="49">
        <f>VLOOKUP($A162,'Data shares'!$C:$FB,43)</f>
        <v>1894425</v>
      </c>
      <c r="I162" s="50">
        <f>VLOOKUP($A162,'Data shares'!$C:$FB,45)*100</f>
        <v>-18.45</v>
      </c>
      <c r="J162" s="49">
        <f>VLOOKUP($A162,'Data shares'!$C:$FB,58)</f>
        <v>3937475</v>
      </c>
      <c r="K162" s="49">
        <f>VLOOKUP($A162,'Data shares'!$C:$FB,59)</f>
        <v>4199925</v>
      </c>
      <c r="L162" s="50">
        <f>VLOOKUP($A162,'Data shares'!$C:$FB,61)*100</f>
        <v>-6.25</v>
      </c>
      <c r="M162" s="49">
        <f>VLOOKUP($A162,'Data shares'!$C:$FB,62)</f>
        <v>3383575</v>
      </c>
      <c r="N162" s="49">
        <f>VLOOKUP($A162,'Data shares'!$C:$FB,63)</f>
        <v>4695100</v>
      </c>
      <c r="O162" s="140">
        <f>VLOOKUP($A162,'Data shares'!$C:$FB,65)*100</f>
        <v>-27.93</v>
      </c>
    </row>
    <row r="163" spans="1:15" x14ac:dyDescent="0.25">
      <c r="A163" s="101" t="str">
        <f>'Data Vlaue (Cr)'!C158</f>
        <v>PERSISTENT</v>
      </c>
      <c r="B163" s="50">
        <f>VLOOKUP($A163,'Data shares'!$C:$FB,7)</f>
        <v>4788.1000000000004</v>
      </c>
      <c r="C163" s="50">
        <f>VLOOKUP($A163,'Data shares'!$C:$FB,10)*100</f>
        <v>-0.25</v>
      </c>
      <c r="D163" s="49">
        <f>VLOOKUP($A163,'Data shares'!$C:$FB,66)</f>
        <v>2082400</v>
      </c>
      <c r="E163" s="49">
        <f>VLOOKUP($A163,'Data shares'!$C:$FB,67)</f>
        <v>1853900</v>
      </c>
      <c r="F163" s="50">
        <f>VLOOKUP($A163,'Data shares'!$C:$FB,69)*100</f>
        <v>12.33</v>
      </c>
      <c r="G163" s="49">
        <f>VLOOKUP($A163,'Data shares'!$C:$FB,42)</f>
        <v>409200</v>
      </c>
      <c r="H163" s="49">
        <f>VLOOKUP($A163,'Data shares'!$C:$FB,43)</f>
        <v>437100</v>
      </c>
      <c r="I163" s="50">
        <f>VLOOKUP($A163,'Data shares'!$C:$FB,45)*100</f>
        <v>-6.38</v>
      </c>
      <c r="J163" s="49">
        <f>VLOOKUP($A163,'Data shares'!$C:$FB,58)</f>
        <v>1120800</v>
      </c>
      <c r="K163" s="49">
        <f>VLOOKUP($A163,'Data shares'!$C:$FB,59)</f>
        <v>946500</v>
      </c>
      <c r="L163" s="50">
        <f>VLOOKUP($A163,'Data shares'!$C:$FB,61)*100</f>
        <v>18.420000000000002</v>
      </c>
      <c r="M163" s="49">
        <f>VLOOKUP($A163,'Data shares'!$C:$FB,62)</f>
        <v>552400</v>
      </c>
      <c r="N163" s="49">
        <f>VLOOKUP($A163,'Data shares'!$C:$FB,63)</f>
        <v>470300</v>
      </c>
      <c r="O163" s="140">
        <f>VLOOKUP($A163,'Data shares'!$C:$FB,65)*100</f>
        <v>17.46</v>
      </c>
    </row>
    <row r="164" spans="1:15" x14ac:dyDescent="0.25">
      <c r="A164" s="101" t="str">
        <f>'Data Vlaue (Cr)'!C159</f>
        <v>PETRONET</v>
      </c>
      <c r="B164" s="50">
        <f>VLOOKUP($A164,'Data shares'!$C:$FB,7)</f>
        <v>276.7</v>
      </c>
      <c r="C164" s="50">
        <f>VLOOKUP($A164,'Data shares'!$C:$FB,10)*100</f>
        <v>-0.02</v>
      </c>
      <c r="D164" s="49">
        <f>VLOOKUP($A164,'Data shares'!$C:$FB,66)</f>
        <v>20630200</v>
      </c>
      <c r="E164" s="49">
        <f>VLOOKUP($A164,'Data shares'!$C:$FB,67)</f>
        <v>10353100</v>
      </c>
      <c r="F164" s="50">
        <f>VLOOKUP($A164,'Data shares'!$C:$FB,69)*100</f>
        <v>99.27</v>
      </c>
      <c r="G164" s="49">
        <f>VLOOKUP($A164,'Data shares'!$C:$FB,42)</f>
        <v>3357300</v>
      </c>
      <c r="H164" s="49">
        <f>VLOOKUP($A164,'Data shares'!$C:$FB,43)</f>
        <v>3275600</v>
      </c>
      <c r="I164" s="50">
        <f>VLOOKUP($A164,'Data shares'!$C:$FB,45)*100</f>
        <v>2.4899999999999998</v>
      </c>
      <c r="J164" s="49">
        <f>VLOOKUP($A164,'Data shares'!$C:$FB,58)</f>
        <v>9367000</v>
      </c>
      <c r="K164" s="49">
        <f>VLOOKUP($A164,'Data shares'!$C:$FB,59)</f>
        <v>4265500</v>
      </c>
      <c r="L164" s="50">
        <f>VLOOKUP($A164,'Data shares'!$C:$FB,61)*100</f>
        <v>119.6</v>
      </c>
      <c r="M164" s="49">
        <f>VLOOKUP($A164,'Data shares'!$C:$FB,62)</f>
        <v>7905900</v>
      </c>
      <c r="N164" s="49">
        <f>VLOOKUP($A164,'Data shares'!$C:$FB,63)</f>
        <v>2812000</v>
      </c>
      <c r="O164" s="140">
        <f>VLOOKUP($A164,'Data shares'!$C:$FB,65)*100</f>
        <v>181.15</v>
      </c>
    </row>
    <row r="165" spans="1:15" x14ac:dyDescent="0.25">
      <c r="A165" s="101" t="str">
        <f>'Data Vlaue (Cr)'!C160</f>
        <v>PFC</v>
      </c>
      <c r="B165" s="50">
        <f>VLOOKUP($A165,'Data shares'!$C:$FB,7)</f>
        <v>448.25</v>
      </c>
      <c r="C165" s="50">
        <f>VLOOKUP($A165,'Data shares'!$C:$FB,10)*100</f>
        <v>-0.03</v>
      </c>
      <c r="D165" s="49">
        <f>VLOOKUP($A165,'Data shares'!$C:$FB,66)</f>
        <v>27391000</v>
      </c>
      <c r="E165" s="49">
        <f>VLOOKUP($A165,'Data shares'!$C:$FB,67)</f>
        <v>54341300</v>
      </c>
      <c r="F165" s="50">
        <f>VLOOKUP($A165,'Data shares'!$C:$FB,69)*100</f>
        <v>-49.59</v>
      </c>
      <c r="G165" s="49">
        <f>VLOOKUP($A165,'Data shares'!$C:$FB,42)</f>
        <v>6580600</v>
      </c>
      <c r="H165" s="49">
        <f>VLOOKUP($A165,'Data shares'!$C:$FB,43)</f>
        <v>10290800</v>
      </c>
      <c r="I165" s="50">
        <f>VLOOKUP($A165,'Data shares'!$C:$FB,45)*100</f>
        <v>-36.049999999999997</v>
      </c>
      <c r="J165" s="49">
        <f>VLOOKUP($A165,'Data shares'!$C:$FB,58)</f>
        <v>14197300</v>
      </c>
      <c r="K165" s="49">
        <f>VLOOKUP($A165,'Data shares'!$C:$FB,59)</f>
        <v>27249300</v>
      </c>
      <c r="L165" s="50">
        <f>VLOOKUP($A165,'Data shares'!$C:$FB,61)*100</f>
        <v>-47.9</v>
      </c>
      <c r="M165" s="49">
        <f>VLOOKUP($A165,'Data shares'!$C:$FB,62)</f>
        <v>6613100</v>
      </c>
      <c r="N165" s="49">
        <f>VLOOKUP($A165,'Data shares'!$C:$FB,63)</f>
        <v>16801200</v>
      </c>
      <c r="O165" s="140">
        <f>VLOOKUP($A165,'Data shares'!$C:$FB,65)*100</f>
        <v>-60.640000000000008</v>
      </c>
    </row>
    <row r="166" spans="1:15" x14ac:dyDescent="0.25">
      <c r="A166" s="101" t="str">
        <f>'Data Vlaue (Cr)'!C161</f>
        <v>PGEL</v>
      </c>
      <c r="B166" s="50">
        <f>VLOOKUP($A166,'Data shares'!$C:$FB,7)</f>
        <v>534.5</v>
      </c>
      <c r="C166" s="50">
        <f>VLOOKUP($A166,'Data shares'!$C:$FB,10)*100</f>
        <v>0.09</v>
      </c>
      <c r="D166" s="49">
        <f>VLOOKUP($A166,'Data shares'!$C:$FB,66)</f>
        <v>6200650</v>
      </c>
      <c r="E166" s="49">
        <f>VLOOKUP($A166,'Data shares'!$C:$FB,67)</f>
        <v>13841500</v>
      </c>
      <c r="F166" s="50">
        <f>VLOOKUP($A166,'Data shares'!$C:$FB,69)*100</f>
        <v>-55.2</v>
      </c>
      <c r="G166" s="49">
        <f>VLOOKUP($A166,'Data shares'!$C:$FB,42)</f>
        <v>1575100</v>
      </c>
      <c r="H166" s="49">
        <f>VLOOKUP($A166,'Data shares'!$C:$FB,43)</f>
        <v>3995700</v>
      </c>
      <c r="I166" s="50">
        <f>VLOOKUP($A166,'Data shares'!$C:$FB,45)*100</f>
        <v>-60.58</v>
      </c>
      <c r="J166" s="49">
        <f>VLOOKUP($A166,'Data shares'!$C:$FB,58)</f>
        <v>3112200</v>
      </c>
      <c r="K166" s="49">
        <f>VLOOKUP($A166,'Data shares'!$C:$FB,59)</f>
        <v>5269650</v>
      </c>
      <c r="L166" s="50">
        <f>VLOOKUP($A166,'Data shares'!$C:$FB,61)*100</f>
        <v>-40.94</v>
      </c>
      <c r="M166" s="49">
        <f>VLOOKUP($A166,'Data shares'!$C:$FB,62)</f>
        <v>1513350</v>
      </c>
      <c r="N166" s="49">
        <f>VLOOKUP($A166,'Data shares'!$C:$FB,63)</f>
        <v>4576150</v>
      </c>
      <c r="O166" s="140">
        <f>VLOOKUP($A166,'Data shares'!$C:$FB,65)*100</f>
        <v>-66.930000000000007</v>
      </c>
    </row>
    <row r="167" spans="1:15" x14ac:dyDescent="0.25">
      <c r="A167" s="101" t="str">
        <f>'Data Vlaue (Cr)'!C162</f>
        <v>PHOENIXLTD</v>
      </c>
      <c r="B167" s="50">
        <f>VLOOKUP($A167,'Data shares'!$C:$FB,7)</f>
        <v>1787.4</v>
      </c>
      <c r="C167" s="50">
        <f>VLOOKUP($A167,'Data shares'!$C:$FB,10)*100</f>
        <v>1.27</v>
      </c>
      <c r="D167" s="49">
        <f>VLOOKUP($A167,'Data shares'!$C:$FB,66)</f>
        <v>1804600</v>
      </c>
      <c r="E167" s="49">
        <f>VLOOKUP($A167,'Data shares'!$C:$FB,67)</f>
        <v>3698100</v>
      </c>
      <c r="F167" s="50">
        <f>VLOOKUP($A167,'Data shares'!$C:$FB,69)*100</f>
        <v>-51.2</v>
      </c>
      <c r="G167" s="49">
        <f>VLOOKUP($A167,'Data shares'!$C:$FB,42)</f>
        <v>400050</v>
      </c>
      <c r="H167" s="49">
        <f>VLOOKUP($A167,'Data shares'!$C:$FB,43)</f>
        <v>741650</v>
      </c>
      <c r="I167" s="50">
        <f>VLOOKUP($A167,'Data shares'!$C:$FB,45)*100</f>
        <v>-46.06</v>
      </c>
      <c r="J167" s="49">
        <f>VLOOKUP($A167,'Data shares'!$C:$FB,58)</f>
        <v>980350</v>
      </c>
      <c r="K167" s="49">
        <f>VLOOKUP($A167,'Data shares'!$C:$FB,59)</f>
        <v>1411200</v>
      </c>
      <c r="L167" s="50">
        <f>VLOOKUP($A167,'Data shares'!$C:$FB,61)*100</f>
        <v>-30.53</v>
      </c>
      <c r="M167" s="49">
        <f>VLOOKUP($A167,'Data shares'!$C:$FB,62)</f>
        <v>424200</v>
      </c>
      <c r="N167" s="49">
        <f>VLOOKUP($A167,'Data shares'!$C:$FB,63)</f>
        <v>1545250</v>
      </c>
      <c r="O167" s="140">
        <f>VLOOKUP($A167,'Data shares'!$C:$FB,65)*100</f>
        <v>-72.55</v>
      </c>
    </row>
    <row r="168" spans="1:15" x14ac:dyDescent="0.25">
      <c r="A168" s="101" t="str">
        <f>'Data Vlaue (Cr)'!C163</f>
        <v>PIDILITIND</v>
      </c>
      <c r="B168" s="50">
        <f>VLOOKUP($A168,'Data shares'!$C:$FB,7)</f>
        <v>1364.6</v>
      </c>
      <c r="C168" s="50">
        <f>VLOOKUP($A168,'Data shares'!$C:$FB,10)*100</f>
        <v>-0.80999999999999994</v>
      </c>
      <c r="D168" s="49">
        <f>VLOOKUP($A168,'Data shares'!$C:$FB,66)</f>
        <v>2674500</v>
      </c>
      <c r="E168" s="49">
        <f>VLOOKUP($A168,'Data shares'!$C:$FB,67)</f>
        <v>2471000</v>
      </c>
      <c r="F168" s="50">
        <f>VLOOKUP($A168,'Data shares'!$C:$FB,69)*100</f>
        <v>8.24</v>
      </c>
      <c r="G168" s="49">
        <f>VLOOKUP($A168,'Data shares'!$C:$FB,42)</f>
        <v>1050000</v>
      </c>
      <c r="H168" s="49">
        <f>VLOOKUP($A168,'Data shares'!$C:$FB,43)</f>
        <v>1280000</v>
      </c>
      <c r="I168" s="50">
        <f>VLOOKUP($A168,'Data shares'!$C:$FB,45)*100</f>
        <v>-17.97</v>
      </c>
      <c r="J168" s="49">
        <f>VLOOKUP($A168,'Data shares'!$C:$FB,58)</f>
        <v>1078000</v>
      </c>
      <c r="K168" s="49">
        <f>VLOOKUP($A168,'Data shares'!$C:$FB,59)</f>
        <v>712000</v>
      </c>
      <c r="L168" s="50">
        <f>VLOOKUP($A168,'Data shares'!$C:$FB,61)*100</f>
        <v>51.4</v>
      </c>
      <c r="M168" s="49">
        <f>VLOOKUP($A168,'Data shares'!$C:$FB,62)</f>
        <v>546500</v>
      </c>
      <c r="N168" s="49">
        <f>VLOOKUP($A168,'Data shares'!$C:$FB,63)</f>
        <v>479000</v>
      </c>
      <c r="O168" s="140">
        <f>VLOOKUP($A168,'Data shares'!$C:$FB,65)*100</f>
        <v>14.09</v>
      </c>
    </row>
    <row r="169" spans="1:15" x14ac:dyDescent="0.25">
      <c r="A169" s="101" t="str">
        <f>'Data Vlaue (Cr)'!C164</f>
        <v>PIIND</v>
      </c>
      <c r="B169" s="50">
        <f>VLOOKUP($A169,'Data shares'!$C:$FB,7)</f>
        <v>3047.5</v>
      </c>
      <c r="C169" s="50">
        <f>VLOOKUP($A169,'Data shares'!$C:$FB,10)*100</f>
        <v>-0.24</v>
      </c>
      <c r="D169" s="49">
        <f>VLOOKUP($A169,'Data shares'!$C:$FB,66)</f>
        <v>1220625</v>
      </c>
      <c r="E169" s="49">
        <f>VLOOKUP($A169,'Data shares'!$C:$FB,67)</f>
        <v>1502200</v>
      </c>
      <c r="F169" s="50">
        <f>VLOOKUP($A169,'Data shares'!$C:$FB,69)*100</f>
        <v>-18.740000000000002</v>
      </c>
      <c r="G169" s="49">
        <f>VLOOKUP($A169,'Data shares'!$C:$FB,42)</f>
        <v>303800</v>
      </c>
      <c r="H169" s="49">
        <f>VLOOKUP($A169,'Data shares'!$C:$FB,43)</f>
        <v>251650</v>
      </c>
      <c r="I169" s="50">
        <f>VLOOKUP($A169,'Data shares'!$C:$FB,45)*100</f>
        <v>20.72</v>
      </c>
      <c r="J169" s="49">
        <f>VLOOKUP($A169,'Data shares'!$C:$FB,58)</f>
        <v>738675</v>
      </c>
      <c r="K169" s="49">
        <f>VLOOKUP($A169,'Data shares'!$C:$FB,59)</f>
        <v>1026375</v>
      </c>
      <c r="L169" s="50">
        <f>VLOOKUP($A169,'Data shares'!$C:$FB,61)*100</f>
        <v>-28.03</v>
      </c>
      <c r="M169" s="49">
        <f>VLOOKUP($A169,'Data shares'!$C:$FB,62)</f>
        <v>178150</v>
      </c>
      <c r="N169" s="49">
        <f>VLOOKUP($A169,'Data shares'!$C:$FB,63)</f>
        <v>224175</v>
      </c>
      <c r="O169" s="140">
        <f>VLOOKUP($A169,'Data shares'!$C:$FB,65)*100</f>
        <v>-20.53</v>
      </c>
    </row>
    <row r="170" spans="1:15" x14ac:dyDescent="0.25">
      <c r="A170" s="101" t="str">
        <f>'Data Vlaue (Cr)'!C165</f>
        <v>PNB</v>
      </c>
      <c r="B170" s="50">
        <f>VLOOKUP($A170,'Data shares'!$C:$FB,7)</f>
        <v>108.68</v>
      </c>
      <c r="C170" s="50">
        <f>VLOOKUP($A170,'Data shares'!$C:$FB,10)*100</f>
        <v>-0.62</v>
      </c>
      <c r="D170" s="49">
        <f>VLOOKUP($A170,'Data shares'!$C:$FB,66)</f>
        <v>138048000</v>
      </c>
      <c r="E170" s="49">
        <f>VLOOKUP($A170,'Data shares'!$C:$FB,67)</f>
        <v>161392000</v>
      </c>
      <c r="F170" s="50">
        <f>VLOOKUP($A170,'Data shares'!$C:$FB,69)*100</f>
        <v>-14.46</v>
      </c>
      <c r="G170" s="49">
        <f>VLOOKUP($A170,'Data shares'!$C:$FB,42)</f>
        <v>38416000</v>
      </c>
      <c r="H170" s="49">
        <f>VLOOKUP($A170,'Data shares'!$C:$FB,43)</f>
        <v>38976000</v>
      </c>
      <c r="I170" s="50">
        <f>VLOOKUP($A170,'Data shares'!$C:$FB,45)*100</f>
        <v>-1.44</v>
      </c>
      <c r="J170" s="49">
        <f>VLOOKUP($A170,'Data shares'!$C:$FB,58)</f>
        <v>60936000</v>
      </c>
      <c r="K170" s="49">
        <f>VLOOKUP($A170,'Data shares'!$C:$FB,59)</f>
        <v>74816000</v>
      </c>
      <c r="L170" s="50">
        <f>VLOOKUP($A170,'Data shares'!$C:$FB,61)*100</f>
        <v>-18.55</v>
      </c>
      <c r="M170" s="49">
        <f>VLOOKUP($A170,'Data shares'!$C:$FB,62)</f>
        <v>38696000</v>
      </c>
      <c r="N170" s="49">
        <f>VLOOKUP($A170,'Data shares'!$C:$FB,63)</f>
        <v>47600000</v>
      </c>
      <c r="O170" s="140">
        <f>VLOOKUP($A170,'Data shares'!$C:$FB,65)*100</f>
        <v>-18.709999999999997</v>
      </c>
    </row>
    <row r="171" spans="1:15" x14ac:dyDescent="0.25">
      <c r="A171" s="101" t="str">
        <f>'Data Vlaue (Cr)'!C166</f>
        <v>PNBHOUSING</v>
      </c>
      <c r="B171" s="50">
        <f>VLOOKUP($A171,'Data shares'!$C:$FB,7)</f>
        <v>1042.2</v>
      </c>
      <c r="C171" s="50">
        <f>VLOOKUP($A171,'Data shares'!$C:$FB,10)*100</f>
        <v>-0.33</v>
      </c>
      <c r="D171" s="49">
        <f>VLOOKUP($A171,'Data shares'!$C:$FB,66)</f>
        <v>2548000</v>
      </c>
      <c r="E171" s="49">
        <f>VLOOKUP($A171,'Data shares'!$C:$FB,67)</f>
        <v>4163900</v>
      </c>
      <c r="F171" s="50">
        <f>VLOOKUP($A171,'Data shares'!$C:$FB,69)*100</f>
        <v>-38.81</v>
      </c>
      <c r="G171" s="49">
        <f>VLOOKUP($A171,'Data shares'!$C:$FB,42)</f>
        <v>858650</v>
      </c>
      <c r="H171" s="49">
        <f>VLOOKUP($A171,'Data shares'!$C:$FB,43)</f>
        <v>1710800</v>
      </c>
      <c r="I171" s="50">
        <f>VLOOKUP($A171,'Data shares'!$C:$FB,45)*100</f>
        <v>-49.81</v>
      </c>
      <c r="J171" s="49">
        <f>VLOOKUP($A171,'Data shares'!$C:$FB,58)</f>
        <v>1088100</v>
      </c>
      <c r="K171" s="49">
        <f>VLOOKUP($A171,'Data shares'!$C:$FB,59)</f>
        <v>1353300</v>
      </c>
      <c r="L171" s="50">
        <f>VLOOKUP($A171,'Data shares'!$C:$FB,61)*100</f>
        <v>-19.600000000000001</v>
      </c>
      <c r="M171" s="49">
        <f>VLOOKUP($A171,'Data shares'!$C:$FB,62)</f>
        <v>601250</v>
      </c>
      <c r="N171" s="49">
        <f>VLOOKUP($A171,'Data shares'!$C:$FB,63)</f>
        <v>1099800</v>
      </c>
      <c r="O171" s="140">
        <f>VLOOKUP($A171,'Data shares'!$C:$FB,65)*100</f>
        <v>-45.33</v>
      </c>
    </row>
    <row r="172" spans="1:15" x14ac:dyDescent="0.25">
      <c r="A172" s="101" t="str">
        <f>'Data Vlaue (Cr)'!C167</f>
        <v>POLICYBZR</v>
      </c>
      <c r="B172" s="50">
        <f>VLOOKUP($A172,'Data shares'!$C:$FB,7)</f>
        <v>1670.8</v>
      </c>
      <c r="C172" s="50">
        <f>VLOOKUP($A172,'Data shares'!$C:$FB,10)*100</f>
        <v>0.27999999999999997</v>
      </c>
      <c r="D172" s="49">
        <f>VLOOKUP($A172,'Data shares'!$C:$FB,66)</f>
        <v>2034550</v>
      </c>
      <c r="E172" s="49">
        <f>VLOOKUP($A172,'Data shares'!$C:$FB,67)</f>
        <v>1896300</v>
      </c>
      <c r="F172" s="50">
        <f>VLOOKUP($A172,'Data shares'!$C:$FB,69)*100</f>
        <v>7.2900000000000009</v>
      </c>
      <c r="G172" s="49">
        <f>VLOOKUP($A172,'Data shares'!$C:$FB,42)</f>
        <v>620550</v>
      </c>
      <c r="H172" s="49">
        <f>VLOOKUP($A172,'Data shares'!$C:$FB,43)</f>
        <v>643650</v>
      </c>
      <c r="I172" s="50">
        <f>VLOOKUP($A172,'Data shares'!$C:$FB,45)*100</f>
        <v>-3.5900000000000003</v>
      </c>
      <c r="J172" s="49">
        <f>VLOOKUP($A172,'Data shares'!$C:$FB,58)</f>
        <v>1002750</v>
      </c>
      <c r="K172" s="49">
        <f>VLOOKUP($A172,'Data shares'!$C:$FB,59)</f>
        <v>733250</v>
      </c>
      <c r="L172" s="50">
        <f>VLOOKUP($A172,'Data shares'!$C:$FB,61)*100</f>
        <v>36.75</v>
      </c>
      <c r="M172" s="49">
        <f>VLOOKUP($A172,'Data shares'!$C:$FB,62)</f>
        <v>411250</v>
      </c>
      <c r="N172" s="49">
        <f>VLOOKUP($A172,'Data shares'!$C:$FB,63)</f>
        <v>519400</v>
      </c>
      <c r="O172" s="140">
        <f>VLOOKUP($A172,'Data shares'!$C:$FB,65)*100</f>
        <v>-20.82</v>
      </c>
    </row>
    <row r="173" spans="1:15" x14ac:dyDescent="0.25">
      <c r="A173" s="101" t="str">
        <f>'Data Vlaue (Cr)'!C168</f>
        <v>POLYCAB</v>
      </c>
      <c r="B173" s="50">
        <f>VLOOKUP($A173,'Data shares'!$C:$FB,7)</f>
        <v>8344.5</v>
      </c>
      <c r="C173" s="50">
        <f>VLOOKUP($A173,'Data shares'!$C:$FB,10)*100</f>
        <v>2.8899999999999997</v>
      </c>
      <c r="D173" s="49">
        <f>VLOOKUP($A173,'Data shares'!$C:$FB,66)</f>
        <v>4027500</v>
      </c>
      <c r="E173" s="49">
        <f>VLOOKUP($A173,'Data shares'!$C:$FB,67)</f>
        <v>1620750</v>
      </c>
      <c r="F173" s="50">
        <f>VLOOKUP($A173,'Data shares'!$C:$FB,69)*100</f>
        <v>148.5</v>
      </c>
      <c r="G173" s="49">
        <f>VLOOKUP($A173,'Data shares'!$C:$FB,42)</f>
        <v>615375</v>
      </c>
      <c r="H173" s="49">
        <f>VLOOKUP($A173,'Data shares'!$C:$FB,43)</f>
        <v>553625</v>
      </c>
      <c r="I173" s="50">
        <f>VLOOKUP($A173,'Data shares'!$C:$FB,45)*100</f>
        <v>11.15</v>
      </c>
      <c r="J173" s="49">
        <f>VLOOKUP($A173,'Data shares'!$C:$FB,58)</f>
        <v>1541000</v>
      </c>
      <c r="K173" s="49">
        <f>VLOOKUP($A173,'Data shares'!$C:$FB,59)</f>
        <v>592375</v>
      </c>
      <c r="L173" s="50">
        <f>VLOOKUP($A173,'Data shares'!$C:$FB,61)*100</f>
        <v>160.13999999999999</v>
      </c>
      <c r="M173" s="49">
        <f>VLOOKUP($A173,'Data shares'!$C:$FB,62)</f>
        <v>1871125</v>
      </c>
      <c r="N173" s="49">
        <f>VLOOKUP($A173,'Data shares'!$C:$FB,63)</f>
        <v>474750</v>
      </c>
      <c r="O173" s="140">
        <f>VLOOKUP($A173,'Data shares'!$C:$FB,65)*100</f>
        <v>294.13</v>
      </c>
    </row>
    <row r="174" spans="1:15" x14ac:dyDescent="0.25">
      <c r="A174" s="101" t="str">
        <f>'Data Vlaue (Cr)'!C169</f>
        <v>POWERGRID</v>
      </c>
      <c r="B174" s="50">
        <f>VLOOKUP($A174,'Data shares'!$C:$FB,7)</f>
        <v>319.05</v>
      </c>
      <c r="C174" s="50">
        <f>VLOOKUP($A174,'Data shares'!$C:$FB,10)*100</f>
        <v>0.22</v>
      </c>
      <c r="D174" s="49">
        <f>VLOOKUP($A174,'Data shares'!$C:$FB,66)</f>
        <v>39217900</v>
      </c>
      <c r="E174" s="49">
        <f>VLOOKUP($A174,'Data shares'!$C:$FB,67)</f>
        <v>39366100</v>
      </c>
      <c r="F174" s="50">
        <f>VLOOKUP($A174,'Data shares'!$C:$FB,69)*100</f>
        <v>-0.38</v>
      </c>
      <c r="G174" s="49">
        <f>VLOOKUP($A174,'Data shares'!$C:$FB,42)</f>
        <v>7100300</v>
      </c>
      <c r="H174" s="49">
        <f>VLOOKUP($A174,'Data shares'!$C:$FB,43)</f>
        <v>8703900</v>
      </c>
      <c r="I174" s="50">
        <f>VLOOKUP($A174,'Data shares'!$C:$FB,45)*100</f>
        <v>-18.420000000000002</v>
      </c>
      <c r="J174" s="49">
        <f>VLOOKUP($A174,'Data shares'!$C:$FB,58)</f>
        <v>21732200</v>
      </c>
      <c r="K174" s="49">
        <f>VLOOKUP($A174,'Data shares'!$C:$FB,59)</f>
        <v>20573200</v>
      </c>
      <c r="L174" s="50">
        <f>VLOOKUP($A174,'Data shares'!$C:$FB,61)*100</f>
        <v>5.63</v>
      </c>
      <c r="M174" s="49">
        <f>VLOOKUP($A174,'Data shares'!$C:$FB,62)</f>
        <v>10385400</v>
      </c>
      <c r="N174" s="49">
        <f>VLOOKUP($A174,'Data shares'!$C:$FB,63)</f>
        <v>10089000</v>
      </c>
      <c r="O174" s="140">
        <f>VLOOKUP($A174,'Data shares'!$C:$FB,65)*100</f>
        <v>2.94</v>
      </c>
    </row>
    <row r="175" spans="1:15" x14ac:dyDescent="0.25">
      <c r="A175" s="101" t="str">
        <f>'Data Vlaue (Cr)'!C170</f>
        <v>POWERINDIA</v>
      </c>
      <c r="B175" s="50">
        <f>VLOOKUP($A175,'Data shares'!$C:$FB,7)</f>
        <v>33730</v>
      </c>
      <c r="C175" s="50">
        <f>VLOOKUP($A175,'Data shares'!$C:$FB,10)*100</f>
        <v>0.54</v>
      </c>
      <c r="D175" s="49">
        <f>VLOOKUP($A175,'Data shares'!$C:$FB,66)</f>
        <v>537900</v>
      </c>
      <c r="E175" s="49">
        <f>VLOOKUP($A175,'Data shares'!$C:$FB,67)</f>
        <v>565575</v>
      </c>
      <c r="F175" s="50">
        <f>VLOOKUP($A175,'Data shares'!$C:$FB,69)*100</f>
        <v>-4.8899999999999997</v>
      </c>
      <c r="G175" s="49">
        <f>VLOOKUP($A175,'Data shares'!$C:$FB,42)</f>
        <v>98275</v>
      </c>
      <c r="H175" s="49">
        <f>VLOOKUP($A175,'Data shares'!$C:$FB,43)</f>
        <v>101750</v>
      </c>
      <c r="I175" s="50">
        <f>VLOOKUP($A175,'Data shares'!$C:$FB,45)*100</f>
        <v>-3.42</v>
      </c>
      <c r="J175" s="49">
        <f>VLOOKUP($A175,'Data shares'!$C:$FB,58)</f>
        <v>271875</v>
      </c>
      <c r="K175" s="49">
        <f>VLOOKUP($A175,'Data shares'!$C:$FB,59)</f>
        <v>252750</v>
      </c>
      <c r="L175" s="50">
        <f>VLOOKUP($A175,'Data shares'!$C:$FB,61)*100</f>
        <v>7.57</v>
      </c>
      <c r="M175" s="49">
        <f>VLOOKUP($A175,'Data shares'!$C:$FB,62)</f>
        <v>167750</v>
      </c>
      <c r="N175" s="49">
        <f>VLOOKUP($A175,'Data shares'!$C:$FB,63)</f>
        <v>211075</v>
      </c>
      <c r="O175" s="140">
        <f>VLOOKUP($A175,'Data shares'!$C:$FB,65)*100</f>
        <v>-20.53</v>
      </c>
    </row>
    <row r="176" spans="1:15" x14ac:dyDescent="0.25">
      <c r="A176" s="101" t="str">
        <f>'Data Vlaue (Cr)'!C171</f>
        <v>PREMIERENE</v>
      </c>
      <c r="B176" s="50">
        <f>VLOOKUP($A176,'Data shares'!$C:$FB,7)</f>
        <v>1035.0999999999999</v>
      </c>
      <c r="C176" s="50">
        <f>VLOOKUP($A176,'Data shares'!$C:$FB,10)*100</f>
        <v>1.66</v>
      </c>
      <c r="D176" s="49">
        <f>VLOOKUP($A176,'Data shares'!$C:$FB,66)</f>
        <v>4417150</v>
      </c>
      <c r="E176" s="49">
        <f>VLOOKUP($A176,'Data shares'!$C:$FB,67)</f>
        <v>6991425</v>
      </c>
      <c r="F176" s="50">
        <f>VLOOKUP($A176,'Data shares'!$C:$FB,69)*100</f>
        <v>-36.82</v>
      </c>
      <c r="G176" s="49">
        <f>VLOOKUP($A176,'Data shares'!$C:$FB,42)</f>
        <v>1072375</v>
      </c>
      <c r="H176" s="49">
        <f>VLOOKUP($A176,'Data shares'!$C:$FB,43)</f>
        <v>2680650</v>
      </c>
      <c r="I176" s="50">
        <f>VLOOKUP($A176,'Data shares'!$C:$FB,45)*100</f>
        <v>-60</v>
      </c>
      <c r="J176" s="49">
        <f>VLOOKUP($A176,'Data shares'!$C:$FB,58)</f>
        <v>2195350</v>
      </c>
      <c r="K176" s="49">
        <f>VLOOKUP($A176,'Data shares'!$C:$FB,59)</f>
        <v>2456400</v>
      </c>
      <c r="L176" s="50">
        <f>VLOOKUP($A176,'Data shares'!$C:$FB,61)*100</f>
        <v>-10.63</v>
      </c>
      <c r="M176" s="49">
        <f>VLOOKUP($A176,'Data shares'!$C:$FB,62)</f>
        <v>1149425</v>
      </c>
      <c r="N176" s="49">
        <f>VLOOKUP($A176,'Data shares'!$C:$FB,63)</f>
        <v>1854375</v>
      </c>
      <c r="O176" s="140">
        <f>VLOOKUP($A176,'Data shares'!$C:$FB,65)*100</f>
        <v>-38.019999999999996</v>
      </c>
    </row>
    <row r="177" spans="1:15" x14ac:dyDescent="0.25">
      <c r="A177" s="101" t="str">
        <f>'Data Vlaue (Cr)'!C172</f>
        <v>PRESTIGE</v>
      </c>
      <c r="B177" s="50">
        <f>VLOOKUP($A177,'Data shares'!$C:$FB,7)</f>
        <v>1454.4</v>
      </c>
      <c r="C177" s="50">
        <f>VLOOKUP($A177,'Data shares'!$C:$FB,10)*100</f>
        <v>2.83</v>
      </c>
      <c r="D177" s="49">
        <f>VLOOKUP($A177,'Data shares'!$C:$FB,66)</f>
        <v>2019150</v>
      </c>
      <c r="E177" s="49">
        <f>VLOOKUP($A177,'Data shares'!$C:$FB,67)</f>
        <v>1568700</v>
      </c>
      <c r="F177" s="50">
        <f>VLOOKUP($A177,'Data shares'!$C:$FB,69)*100</f>
        <v>28.71</v>
      </c>
      <c r="G177" s="49">
        <f>VLOOKUP($A177,'Data shares'!$C:$FB,42)</f>
        <v>794250</v>
      </c>
      <c r="H177" s="49">
        <f>VLOOKUP($A177,'Data shares'!$C:$FB,43)</f>
        <v>558900</v>
      </c>
      <c r="I177" s="50">
        <f>VLOOKUP($A177,'Data shares'!$C:$FB,45)*100</f>
        <v>42.11</v>
      </c>
      <c r="J177" s="49">
        <f>VLOOKUP($A177,'Data shares'!$C:$FB,58)</f>
        <v>963450</v>
      </c>
      <c r="K177" s="49">
        <f>VLOOKUP($A177,'Data shares'!$C:$FB,59)</f>
        <v>505800</v>
      </c>
      <c r="L177" s="50">
        <f>VLOOKUP($A177,'Data shares'!$C:$FB,61)*100</f>
        <v>90.48</v>
      </c>
      <c r="M177" s="49">
        <f>VLOOKUP($A177,'Data shares'!$C:$FB,62)</f>
        <v>261450</v>
      </c>
      <c r="N177" s="49">
        <f>VLOOKUP($A177,'Data shares'!$C:$FB,63)</f>
        <v>504000</v>
      </c>
      <c r="O177" s="140">
        <f>VLOOKUP($A177,'Data shares'!$C:$FB,65)*100</f>
        <v>-48.13</v>
      </c>
    </row>
    <row r="178" spans="1:15" x14ac:dyDescent="0.25">
      <c r="A178" s="101" t="str">
        <f>'Data Vlaue (Cr)'!C173</f>
        <v>RBLBANK</v>
      </c>
      <c r="B178" s="50">
        <f>VLOOKUP($A178,'Data shares'!$C:$FB,7)</f>
        <v>330.2</v>
      </c>
      <c r="C178" s="50">
        <f>VLOOKUP($A178,'Data shares'!$C:$FB,10)*100</f>
        <v>-1.8900000000000001</v>
      </c>
      <c r="D178" s="49">
        <f>VLOOKUP($A178,'Data shares'!$C:$FB,66)</f>
        <v>69583300</v>
      </c>
      <c r="E178" s="49">
        <f>VLOOKUP($A178,'Data shares'!$C:$FB,67)</f>
        <v>67322700</v>
      </c>
      <c r="F178" s="50">
        <f>VLOOKUP($A178,'Data shares'!$C:$FB,69)*100</f>
        <v>3.36</v>
      </c>
      <c r="G178" s="49">
        <f>VLOOKUP($A178,'Data shares'!$C:$FB,42)</f>
        <v>15046325</v>
      </c>
      <c r="H178" s="49">
        <f>VLOOKUP($A178,'Data shares'!$C:$FB,43)</f>
        <v>14309725</v>
      </c>
      <c r="I178" s="50">
        <f>VLOOKUP($A178,'Data shares'!$C:$FB,45)*100</f>
        <v>5.1499999999999995</v>
      </c>
      <c r="J178" s="49">
        <f>VLOOKUP($A178,'Data shares'!$C:$FB,58)</f>
        <v>33877250</v>
      </c>
      <c r="K178" s="49">
        <f>VLOOKUP($A178,'Data shares'!$C:$FB,59)</f>
        <v>31118175</v>
      </c>
      <c r="L178" s="50">
        <f>VLOOKUP($A178,'Data shares'!$C:$FB,61)*100</f>
        <v>8.870000000000001</v>
      </c>
      <c r="M178" s="49">
        <f>VLOOKUP($A178,'Data shares'!$C:$FB,62)</f>
        <v>20659725</v>
      </c>
      <c r="N178" s="49">
        <f>VLOOKUP($A178,'Data shares'!$C:$FB,63)</f>
        <v>21894800</v>
      </c>
      <c r="O178" s="140">
        <f>VLOOKUP($A178,'Data shares'!$C:$FB,65)*100</f>
        <v>-5.64</v>
      </c>
    </row>
    <row r="179" spans="1:15" x14ac:dyDescent="0.25">
      <c r="A179" s="101" t="str">
        <f>'Data Vlaue (Cr)'!C174</f>
        <v>RECLTD</v>
      </c>
      <c r="B179" s="50">
        <f>VLOOKUP($A179,'Data shares'!$C:$FB,7)</f>
        <v>353.5</v>
      </c>
      <c r="C179" s="50">
        <f>VLOOKUP($A179,'Data shares'!$C:$FB,10)*100</f>
        <v>-0.22999999999999998</v>
      </c>
      <c r="D179" s="49">
        <f>VLOOKUP($A179,'Data shares'!$C:$FB,66)</f>
        <v>32894400</v>
      </c>
      <c r="E179" s="49">
        <f>VLOOKUP($A179,'Data shares'!$C:$FB,67)</f>
        <v>65878400</v>
      </c>
      <c r="F179" s="50">
        <f>VLOOKUP($A179,'Data shares'!$C:$FB,69)*100</f>
        <v>-50.07</v>
      </c>
      <c r="G179" s="49">
        <f>VLOOKUP($A179,'Data shares'!$C:$FB,42)</f>
        <v>4950400</v>
      </c>
      <c r="H179" s="49">
        <f>VLOOKUP($A179,'Data shares'!$C:$FB,43)</f>
        <v>9119600</v>
      </c>
      <c r="I179" s="50">
        <f>VLOOKUP($A179,'Data shares'!$C:$FB,45)*100</f>
        <v>-45.72</v>
      </c>
      <c r="J179" s="49">
        <f>VLOOKUP($A179,'Data shares'!$C:$FB,58)</f>
        <v>19349400</v>
      </c>
      <c r="K179" s="49">
        <f>VLOOKUP($A179,'Data shares'!$C:$FB,59)</f>
        <v>36397200</v>
      </c>
      <c r="L179" s="50">
        <f>VLOOKUP($A179,'Data shares'!$C:$FB,61)*100</f>
        <v>-46.839999999999996</v>
      </c>
      <c r="M179" s="49">
        <f>VLOOKUP($A179,'Data shares'!$C:$FB,62)</f>
        <v>8594600</v>
      </c>
      <c r="N179" s="49">
        <f>VLOOKUP($A179,'Data shares'!$C:$FB,63)</f>
        <v>20361600</v>
      </c>
      <c r="O179" s="140">
        <f>VLOOKUP($A179,'Data shares'!$C:$FB,65)*100</f>
        <v>-57.79</v>
      </c>
    </row>
    <row r="180" spans="1:15" x14ac:dyDescent="0.25">
      <c r="A180" s="101" t="str">
        <f>'Data Vlaue (Cr)'!C175</f>
        <v>RELIANCE</v>
      </c>
      <c r="B180" s="50">
        <f>VLOOKUP($A180,'Data shares'!$C:$FB,7)</f>
        <v>1463.1</v>
      </c>
      <c r="C180" s="50">
        <f>VLOOKUP($A180,'Data shares'!$C:$FB,10)*100</f>
        <v>2.2599999999999998</v>
      </c>
      <c r="D180" s="49">
        <f>VLOOKUP($A180,'Data shares'!$C:$FB,66)</f>
        <v>175452000</v>
      </c>
      <c r="E180" s="49">
        <f>VLOOKUP($A180,'Data shares'!$C:$FB,67)</f>
        <v>155304000</v>
      </c>
      <c r="F180" s="50">
        <f>VLOOKUP($A180,'Data shares'!$C:$FB,69)*100</f>
        <v>12.97</v>
      </c>
      <c r="G180" s="49">
        <f>VLOOKUP($A180,'Data shares'!$C:$FB,42)</f>
        <v>18166000</v>
      </c>
      <c r="H180" s="49">
        <f>VLOOKUP($A180,'Data shares'!$C:$FB,43)</f>
        <v>17235000</v>
      </c>
      <c r="I180" s="50">
        <f>VLOOKUP($A180,'Data shares'!$C:$FB,45)*100</f>
        <v>5.4</v>
      </c>
      <c r="J180" s="49">
        <f>VLOOKUP($A180,'Data shares'!$C:$FB,58)</f>
        <v>94791500</v>
      </c>
      <c r="K180" s="49">
        <f>VLOOKUP($A180,'Data shares'!$C:$FB,59)</f>
        <v>82327500</v>
      </c>
      <c r="L180" s="50">
        <f>VLOOKUP($A180,'Data shares'!$C:$FB,61)*100</f>
        <v>15.14</v>
      </c>
      <c r="M180" s="49">
        <f>VLOOKUP($A180,'Data shares'!$C:$FB,62)</f>
        <v>62494500</v>
      </c>
      <c r="N180" s="49">
        <f>VLOOKUP($A180,'Data shares'!$C:$FB,63)</f>
        <v>55741500</v>
      </c>
      <c r="O180" s="140">
        <f>VLOOKUP($A180,'Data shares'!$C:$FB,65)*100</f>
        <v>12.11</v>
      </c>
    </row>
    <row r="181" spans="1:15" x14ac:dyDescent="0.25">
      <c r="A181" s="101" t="str">
        <f>'Data Vlaue (Cr)'!C176</f>
        <v>RVNL</v>
      </c>
      <c r="B181" s="50">
        <f>VLOOKUP($A181,'Data shares'!$C:$FB,7)</f>
        <v>296.64999999999998</v>
      </c>
      <c r="C181" s="50">
        <f>VLOOKUP($A181,'Data shares'!$C:$FB,10)*100</f>
        <v>-0.33999999999999997</v>
      </c>
      <c r="D181" s="49">
        <f>VLOOKUP($A181,'Data shares'!$C:$FB,66)</f>
        <v>30019625</v>
      </c>
      <c r="E181" s="49">
        <f>VLOOKUP($A181,'Data shares'!$C:$FB,67)</f>
        <v>17316375</v>
      </c>
      <c r="F181" s="50">
        <f>VLOOKUP($A181,'Data shares'!$C:$FB,69)*100</f>
        <v>73.36</v>
      </c>
      <c r="G181" s="49">
        <f>VLOOKUP($A181,'Data shares'!$C:$FB,42)</f>
        <v>11152325</v>
      </c>
      <c r="H181" s="49">
        <f>VLOOKUP($A181,'Data shares'!$C:$FB,43)</f>
        <v>6299775</v>
      </c>
      <c r="I181" s="50">
        <f>VLOOKUP($A181,'Data shares'!$C:$FB,45)*100</f>
        <v>77.03</v>
      </c>
      <c r="J181" s="49">
        <f>VLOOKUP($A181,'Data shares'!$C:$FB,58)</f>
        <v>13734150</v>
      </c>
      <c r="K181" s="49">
        <f>VLOOKUP($A181,'Data shares'!$C:$FB,59)</f>
        <v>7451150</v>
      </c>
      <c r="L181" s="50">
        <f>VLOOKUP($A181,'Data shares'!$C:$FB,61)*100</f>
        <v>84.32</v>
      </c>
      <c r="M181" s="49">
        <f>VLOOKUP($A181,'Data shares'!$C:$FB,62)</f>
        <v>5133150</v>
      </c>
      <c r="N181" s="49">
        <f>VLOOKUP($A181,'Data shares'!$C:$FB,63)</f>
        <v>3565450</v>
      </c>
      <c r="O181" s="140">
        <f>VLOOKUP($A181,'Data shares'!$C:$FB,65)*100</f>
        <v>43.97</v>
      </c>
    </row>
    <row r="182" spans="1:15" x14ac:dyDescent="0.25">
      <c r="A182" s="101" t="str">
        <f>'Data Vlaue (Cr)'!C177</f>
        <v>SAIL</v>
      </c>
      <c r="B182" s="50">
        <f>VLOOKUP($A182,'Data shares'!$C:$FB,7)</f>
        <v>186.15</v>
      </c>
      <c r="C182" s="50">
        <f>VLOOKUP($A182,'Data shares'!$C:$FB,10)*100</f>
        <v>0.83</v>
      </c>
      <c r="D182" s="49">
        <f>VLOOKUP($A182,'Data shares'!$C:$FB,66)</f>
        <v>31179800</v>
      </c>
      <c r="E182" s="49">
        <f>VLOOKUP($A182,'Data shares'!$C:$FB,67)</f>
        <v>56794800</v>
      </c>
      <c r="F182" s="50">
        <f>VLOOKUP($A182,'Data shares'!$C:$FB,69)*100</f>
        <v>-45.1</v>
      </c>
      <c r="G182" s="49">
        <f>VLOOKUP($A182,'Data shares'!$C:$FB,42)</f>
        <v>15918900</v>
      </c>
      <c r="H182" s="49">
        <f>VLOOKUP($A182,'Data shares'!$C:$FB,43)</f>
        <v>35532000</v>
      </c>
      <c r="I182" s="50">
        <f>VLOOKUP($A182,'Data shares'!$C:$FB,45)*100</f>
        <v>-55.2</v>
      </c>
      <c r="J182" s="49">
        <f>VLOOKUP($A182,'Data shares'!$C:$FB,58)</f>
        <v>8934700</v>
      </c>
      <c r="K182" s="49">
        <f>VLOOKUP($A182,'Data shares'!$C:$FB,59)</f>
        <v>14001300</v>
      </c>
      <c r="L182" s="50">
        <f>VLOOKUP($A182,'Data shares'!$C:$FB,61)*100</f>
        <v>-36.19</v>
      </c>
      <c r="M182" s="49">
        <f>VLOOKUP($A182,'Data shares'!$C:$FB,62)</f>
        <v>6326200</v>
      </c>
      <c r="N182" s="49">
        <f>VLOOKUP($A182,'Data shares'!$C:$FB,63)</f>
        <v>7261500</v>
      </c>
      <c r="O182" s="140">
        <f>VLOOKUP($A182,'Data shares'!$C:$FB,65)*100</f>
        <v>-12.879999999999999</v>
      </c>
    </row>
    <row r="183" spans="1:15" x14ac:dyDescent="0.25">
      <c r="A183" s="101" t="str">
        <f>'Data Vlaue (Cr)'!C178</f>
        <v>SAMMAANCAP</v>
      </c>
      <c r="B183" s="50">
        <f>VLOOKUP($A183,'Data shares'!$C:$FB,7)</f>
        <v>146.88999999999999</v>
      </c>
      <c r="C183" s="50">
        <f>VLOOKUP($A183,'Data shares'!$C:$FB,10)*100</f>
        <v>1.58</v>
      </c>
      <c r="D183" s="49">
        <f>VLOOKUP($A183,'Data shares'!$C:$FB,66)</f>
        <v>48572800</v>
      </c>
      <c r="E183" s="49">
        <f>VLOOKUP($A183,'Data shares'!$C:$FB,67)</f>
        <v>110217600</v>
      </c>
      <c r="F183" s="50">
        <f>VLOOKUP($A183,'Data shares'!$C:$FB,69)*100</f>
        <v>-55.93</v>
      </c>
      <c r="G183" s="49">
        <f>VLOOKUP($A183,'Data shares'!$C:$FB,42)</f>
        <v>19754200</v>
      </c>
      <c r="H183" s="49">
        <f>VLOOKUP($A183,'Data shares'!$C:$FB,43)</f>
        <v>50112200</v>
      </c>
      <c r="I183" s="50">
        <f>VLOOKUP($A183,'Data shares'!$C:$FB,45)*100</f>
        <v>-60.58</v>
      </c>
      <c r="J183" s="49">
        <f>VLOOKUP($A183,'Data shares'!$C:$FB,58)</f>
        <v>20863600</v>
      </c>
      <c r="K183" s="49">
        <f>VLOOKUP($A183,'Data shares'!$C:$FB,59)</f>
        <v>45025300</v>
      </c>
      <c r="L183" s="50">
        <f>VLOOKUP($A183,'Data shares'!$C:$FB,61)*100</f>
        <v>-53.66</v>
      </c>
      <c r="M183" s="49">
        <f>VLOOKUP($A183,'Data shares'!$C:$FB,62)</f>
        <v>7955000</v>
      </c>
      <c r="N183" s="49">
        <f>VLOOKUP($A183,'Data shares'!$C:$FB,63)</f>
        <v>15080100</v>
      </c>
      <c r="O183" s="140">
        <f>VLOOKUP($A183,'Data shares'!$C:$FB,65)*100</f>
        <v>-47.25</v>
      </c>
    </row>
    <row r="184" spans="1:15" x14ac:dyDescent="0.25">
      <c r="A184" s="101" t="str">
        <f>'Data Vlaue (Cr)'!C179</f>
        <v>SBICARD</v>
      </c>
      <c r="B184" s="50">
        <f>VLOOKUP($A184,'Data shares'!$C:$FB,7)</f>
        <v>644.79999999999995</v>
      </c>
      <c r="C184" s="50">
        <f>VLOOKUP($A184,'Data shares'!$C:$FB,10)*100</f>
        <v>0.13999999999999999</v>
      </c>
      <c r="D184" s="49">
        <f>VLOOKUP($A184,'Data shares'!$C:$FB,66)</f>
        <v>10723200</v>
      </c>
      <c r="E184" s="49">
        <f>VLOOKUP($A184,'Data shares'!$C:$FB,67)</f>
        <v>16426400</v>
      </c>
      <c r="F184" s="50">
        <f>VLOOKUP($A184,'Data shares'!$C:$FB,69)*100</f>
        <v>-34.72</v>
      </c>
      <c r="G184" s="49">
        <f>VLOOKUP($A184,'Data shares'!$C:$FB,42)</f>
        <v>2286400</v>
      </c>
      <c r="H184" s="49">
        <f>VLOOKUP($A184,'Data shares'!$C:$FB,43)</f>
        <v>3284800</v>
      </c>
      <c r="I184" s="50">
        <f>VLOOKUP($A184,'Data shares'!$C:$FB,45)*100</f>
        <v>-30.39</v>
      </c>
      <c r="J184" s="49">
        <f>VLOOKUP($A184,'Data shares'!$C:$FB,58)</f>
        <v>5613600</v>
      </c>
      <c r="K184" s="49">
        <f>VLOOKUP($A184,'Data shares'!$C:$FB,59)</f>
        <v>7839200</v>
      </c>
      <c r="L184" s="50">
        <f>VLOOKUP($A184,'Data shares'!$C:$FB,61)*100</f>
        <v>-28.389999999999997</v>
      </c>
      <c r="M184" s="49">
        <f>VLOOKUP($A184,'Data shares'!$C:$FB,62)</f>
        <v>2823200</v>
      </c>
      <c r="N184" s="49">
        <f>VLOOKUP($A184,'Data shares'!$C:$FB,63)</f>
        <v>5302400</v>
      </c>
      <c r="O184" s="140">
        <f>VLOOKUP($A184,'Data shares'!$C:$FB,65)*100</f>
        <v>-46.760000000000005</v>
      </c>
    </row>
    <row r="185" spans="1:15" x14ac:dyDescent="0.25">
      <c r="A185" s="101" t="str">
        <f>'Data Vlaue (Cr)'!C180</f>
        <v>SBILIFE</v>
      </c>
      <c r="B185" s="50">
        <f>VLOOKUP($A185,'Data shares'!$C:$FB,7)</f>
        <v>1820.1</v>
      </c>
      <c r="C185" s="50">
        <f>VLOOKUP($A185,'Data shares'!$C:$FB,10)*100</f>
        <v>0.06</v>
      </c>
      <c r="D185" s="49">
        <f>VLOOKUP($A185,'Data shares'!$C:$FB,66)</f>
        <v>5196375</v>
      </c>
      <c r="E185" s="49">
        <f>VLOOKUP($A185,'Data shares'!$C:$FB,67)</f>
        <v>3672750</v>
      </c>
      <c r="F185" s="50">
        <f>VLOOKUP($A185,'Data shares'!$C:$FB,69)*100</f>
        <v>41.48</v>
      </c>
      <c r="G185" s="49">
        <f>VLOOKUP($A185,'Data shares'!$C:$FB,42)</f>
        <v>1058625</v>
      </c>
      <c r="H185" s="49">
        <f>VLOOKUP($A185,'Data shares'!$C:$FB,43)</f>
        <v>962250</v>
      </c>
      <c r="I185" s="50">
        <f>VLOOKUP($A185,'Data shares'!$C:$FB,45)*100</f>
        <v>10.02</v>
      </c>
      <c r="J185" s="49">
        <f>VLOOKUP($A185,'Data shares'!$C:$FB,58)</f>
        <v>2954250</v>
      </c>
      <c r="K185" s="49">
        <f>VLOOKUP($A185,'Data shares'!$C:$FB,59)</f>
        <v>1755375</v>
      </c>
      <c r="L185" s="50">
        <f>VLOOKUP($A185,'Data shares'!$C:$FB,61)*100</f>
        <v>68.300000000000011</v>
      </c>
      <c r="M185" s="49">
        <f>VLOOKUP($A185,'Data shares'!$C:$FB,62)</f>
        <v>1183500</v>
      </c>
      <c r="N185" s="49">
        <f>VLOOKUP($A185,'Data shares'!$C:$FB,63)</f>
        <v>955125</v>
      </c>
      <c r="O185" s="140">
        <f>VLOOKUP($A185,'Data shares'!$C:$FB,65)*100</f>
        <v>23.91</v>
      </c>
    </row>
    <row r="186" spans="1:15" x14ac:dyDescent="0.25">
      <c r="A186" s="101" t="str">
        <f>'Data Vlaue (Cr)'!C181</f>
        <v>SBIN</v>
      </c>
      <c r="B186" s="50">
        <f>VLOOKUP($A186,'Data shares'!$C:$FB,7)</f>
        <v>1068.4000000000001</v>
      </c>
      <c r="C186" s="50">
        <f>VLOOKUP($A186,'Data shares'!$C:$FB,10)*100</f>
        <v>0</v>
      </c>
      <c r="D186" s="49">
        <f>VLOOKUP($A186,'Data shares'!$C:$FB,66)</f>
        <v>72697500</v>
      </c>
      <c r="E186" s="49">
        <f>VLOOKUP($A186,'Data shares'!$C:$FB,67)</f>
        <v>75183000</v>
      </c>
      <c r="F186" s="50">
        <f>VLOOKUP($A186,'Data shares'!$C:$FB,69)*100</f>
        <v>-3.3099999999999996</v>
      </c>
      <c r="G186" s="49">
        <f>VLOOKUP($A186,'Data shares'!$C:$FB,42)</f>
        <v>12159750</v>
      </c>
      <c r="H186" s="49">
        <f>VLOOKUP($A186,'Data shares'!$C:$FB,43)</f>
        <v>13386750</v>
      </c>
      <c r="I186" s="50">
        <f>VLOOKUP($A186,'Data shares'!$C:$FB,45)*100</f>
        <v>-9.17</v>
      </c>
      <c r="J186" s="49">
        <f>VLOOKUP($A186,'Data shares'!$C:$FB,58)</f>
        <v>38614500</v>
      </c>
      <c r="K186" s="49">
        <f>VLOOKUP($A186,'Data shares'!$C:$FB,59)</f>
        <v>36181500</v>
      </c>
      <c r="L186" s="50">
        <f>VLOOKUP($A186,'Data shares'!$C:$FB,61)*100</f>
        <v>6.72</v>
      </c>
      <c r="M186" s="49">
        <f>VLOOKUP($A186,'Data shares'!$C:$FB,62)</f>
        <v>21923250</v>
      </c>
      <c r="N186" s="49">
        <f>VLOOKUP($A186,'Data shares'!$C:$FB,63)</f>
        <v>25614750</v>
      </c>
      <c r="O186" s="140">
        <f>VLOOKUP($A186,'Data shares'!$C:$FB,65)*100</f>
        <v>-14.41</v>
      </c>
    </row>
    <row r="187" spans="1:15" x14ac:dyDescent="0.25">
      <c r="A187" s="101" t="str">
        <f>'Data Vlaue (Cr)'!C182</f>
        <v>SHREECEM</v>
      </c>
      <c r="B187" s="50">
        <f>VLOOKUP($A187,'Data shares'!$C:$FB,7)</f>
        <v>24740</v>
      </c>
      <c r="C187" s="50">
        <f>VLOOKUP($A187,'Data shares'!$C:$FB,10)*100</f>
        <v>2.25</v>
      </c>
      <c r="D187" s="49">
        <f>VLOOKUP($A187,'Data shares'!$C:$FB,66)</f>
        <v>130350</v>
      </c>
      <c r="E187" s="49">
        <f>VLOOKUP($A187,'Data shares'!$C:$FB,67)</f>
        <v>139975</v>
      </c>
      <c r="F187" s="50">
        <f>VLOOKUP($A187,'Data shares'!$C:$FB,69)*100</f>
        <v>-6.88</v>
      </c>
      <c r="G187" s="49">
        <f>VLOOKUP($A187,'Data shares'!$C:$FB,42)</f>
        <v>55575</v>
      </c>
      <c r="H187" s="49">
        <f>VLOOKUP($A187,'Data shares'!$C:$FB,43)</f>
        <v>44325</v>
      </c>
      <c r="I187" s="50">
        <f>VLOOKUP($A187,'Data shares'!$C:$FB,45)*100</f>
        <v>25.380000000000003</v>
      </c>
      <c r="J187" s="49">
        <f>VLOOKUP($A187,'Data shares'!$C:$FB,58)</f>
        <v>53425</v>
      </c>
      <c r="K187" s="49">
        <f>VLOOKUP($A187,'Data shares'!$C:$FB,59)</f>
        <v>60675</v>
      </c>
      <c r="L187" s="50">
        <f>VLOOKUP($A187,'Data shares'!$C:$FB,61)*100</f>
        <v>-11.95</v>
      </c>
      <c r="M187" s="49">
        <f>VLOOKUP($A187,'Data shares'!$C:$FB,62)</f>
        <v>21350</v>
      </c>
      <c r="N187" s="49">
        <f>VLOOKUP($A187,'Data shares'!$C:$FB,63)</f>
        <v>34975</v>
      </c>
      <c r="O187" s="140">
        <f>VLOOKUP($A187,'Data shares'!$C:$FB,65)*100</f>
        <v>-38.96</v>
      </c>
    </row>
    <row r="188" spans="1:15" x14ac:dyDescent="0.25">
      <c r="A188" s="101" t="str">
        <f>'Data Vlaue (Cr)'!C183</f>
        <v>SHRIRAMFIN</v>
      </c>
      <c r="B188" s="50">
        <f>VLOOKUP($A188,'Data shares'!$C:$FB,7)</f>
        <v>960.45</v>
      </c>
      <c r="C188" s="50">
        <f>VLOOKUP($A188,'Data shares'!$C:$FB,10)*100</f>
        <v>2.46</v>
      </c>
      <c r="D188" s="49">
        <f>VLOOKUP($A188,'Data shares'!$C:$FB,66)</f>
        <v>29073000</v>
      </c>
      <c r="E188" s="49">
        <f>VLOOKUP($A188,'Data shares'!$C:$FB,67)</f>
        <v>35607000</v>
      </c>
      <c r="F188" s="50">
        <f>VLOOKUP($A188,'Data shares'!$C:$FB,69)*100</f>
        <v>-18.350000000000001</v>
      </c>
      <c r="G188" s="49">
        <f>VLOOKUP($A188,'Data shares'!$C:$FB,42)</f>
        <v>6241950</v>
      </c>
      <c r="H188" s="49">
        <f>VLOOKUP($A188,'Data shares'!$C:$FB,43)</f>
        <v>6582675</v>
      </c>
      <c r="I188" s="50">
        <f>VLOOKUP($A188,'Data shares'!$C:$FB,45)*100</f>
        <v>-5.18</v>
      </c>
      <c r="J188" s="49">
        <f>VLOOKUP($A188,'Data shares'!$C:$FB,58)</f>
        <v>16603950</v>
      </c>
      <c r="K188" s="49">
        <f>VLOOKUP($A188,'Data shares'!$C:$FB,59)</f>
        <v>18872700</v>
      </c>
      <c r="L188" s="50">
        <f>VLOOKUP($A188,'Data shares'!$C:$FB,61)*100</f>
        <v>-12.02</v>
      </c>
      <c r="M188" s="49">
        <f>VLOOKUP($A188,'Data shares'!$C:$FB,62)</f>
        <v>6227100</v>
      </c>
      <c r="N188" s="49">
        <f>VLOOKUP($A188,'Data shares'!$C:$FB,63)</f>
        <v>10151625</v>
      </c>
      <c r="O188" s="140">
        <f>VLOOKUP($A188,'Data shares'!$C:$FB,65)*100</f>
        <v>-38.659999999999997</v>
      </c>
    </row>
    <row r="189" spans="1:15" x14ac:dyDescent="0.25">
      <c r="A189" s="101" t="str">
        <f>'Data Vlaue (Cr)'!C184</f>
        <v>SIEMENS</v>
      </c>
      <c r="B189" s="50">
        <f>VLOOKUP($A189,'Data shares'!$C:$FB,7)</f>
        <v>3834.1</v>
      </c>
      <c r="C189" s="50">
        <f>VLOOKUP($A189,'Data shares'!$C:$FB,10)*100</f>
        <v>0.67999999999999994</v>
      </c>
      <c r="D189" s="49">
        <f>VLOOKUP($A189,'Data shares'!$C:$FB,66)</f>
        <v>5385275</v>
      </c>
      <c r="E189" s="49">
        <f>VLOOKUP($A189,'Data shares'!$C:$FB,67)</f>
        <v>2658075</v>
      </c>
      <c r="F189" s="50">
        <f>VLOOKUP($A189,'Data shares'!$C:$FB,69)*100</f>
        <v>102.60000000000001</v>
      </c>
      <c r="G189" s="49">
        <f>VLOOKUP($A189,'Data shares'!$C:$FB,42)</f>
        <v>877625</v>
      </c>
      <c r="H189" s="49">
        <f>VLOOKUP($A189,'Data shares'!$C:$FB,43)</f>
        <v>589225</v>
      </c>
      <c r="I189" s="50">
        <f>VLOOKUP($A189,'Data shares'!$C:$FB,45)*100</f>
        <v>48.949999999999996</v>
      </c>
      <c r="J189" s="49">
        <f>VLOOKUP($A189,'Data shares'!$C:$FB,58)</f>
        <v>3536225</v>
      </c>
      <c r="K189" s="49">
        <f>VLOOKUP($A189,'Data shares'!$C:$FB,59)</f>
        <v>1501500</v>
      </c>
      <c r="L189" s="50">
        <f>VLOOKUP($A189,'Data shares'!$C:$FB,61)*100</f>
        <v>135.51</v>
      </c>
      <c r="M189" s="49">
        <f>VLOOKUP($A189,'Data shares'!$C:$FB,62)</f>
        <v>971425</v>
      </c>
      <c r="N189" s="49">
        <f>VLOOKUP($A189,'Data shares'!$C:$FB,63)</f>
        <v>567350</v>
      </c>
      <c r="O189" s="140">
        <f>VLOOKUP($A189,'Data shares'!$C:$FB,65)*100</f>
        <v>71.22</v>
      </c>
    </row>
    <row r="190" spans="1:15" x14ac:dyDescent="0.25">
      <c r="A190" s="101" t="str">
        <f>'Data Vlaue (Cr)'!C185</f>
        <v>SOLARINDS</v>
      </c>
      <c r="B190" s="50">
        <f>VLOOKUP($A190,'Data shares'!$C:$FB,7)</f>
        <v>15459</v>
      </c>
      <c r="C190" s="50">
        <f>VLOOKUP($A190,'Data shares'!$C:$FB,10)*100</f>
        <v>0.13</v>
      </c>
      <c r="D190" s="49">
        <f>VLOOKUP($A190,'Data shares'!$C:$FB,66)</f>
        <v>202250</v>
      </c>
      <c r="E190" s="49">
        <f>VLOOKUP($A190,'Data shares'!$C:$FB,67)</f>
        <v>286800</v>
      </c>
      <c r="F190" s="50">
        <f>VLOOKUP($A190,'Data shares'!$C:$FB,69)*100</f>
        <v>-29.48</v>
      </c>
      <c r="G190" s="49">
        <f>VLOOKUP($A190,'Data shares'!$C:$FB,42)</f>
        <v>54400</v>
      </c>
      <c r="H190" s="49">
        <f>VLOOKUP($A190,'Data shares'!$C:$FB,43)</f>
        <v>84450</v>
      </c>
      <c r="I190" s="50">
        <f>VLOOKUP($A190,'Data shares'!$C:$FB,45)*100</f>
        <v>-35.58</v>
      </c>
      <c r="J190" s="49">
        <f>VLOOKUP($A190,'Data shares'!$C:$FB,58)</f>
        <v>91300</v>
      </c>
      <c r="K190" s="49">
        <f>VLOOKUP($A190,'Data shares'!$C:$FB,59)</f>
        <v>143550</v>
      </c>
      <c r="L190" s="50">
        <f>VLOOKUP($A190,'Data shares'!$C:$FB,61)*100</f>
        <v>-36.4</v>
      </c>
      <c r="M190" s="49">
        <f>VLOOKUP($A190,'Data shares'!$C:$FB,62)</f>
        <v>56550</v>
      </c>
      <c r="N190" s="49">
        <f>VLOOKUP($A190,'Data shares'!$C:$FB,63)</f>
        <v>58800</v>
      </c>
      <c r="O190" s="140">
        <f>VLOOKUP($A190,'Data shares'!$C:$FB,65)*100</f>
        <v>-3.83</v>
      </c>
    </row>
    <row r="191" spans="1:15" x14ac:dyDescent="0.25">
      <c r="A191" s="101" t="str">
        <f>'Data Vlaue (Cr)'!C186</f>
        <v>SONACOMS</v>
      </c>
      <c r="B191" s="50">
        <f>VLOOKUP($A191,'Data shares'!$C:$FB,7)</f>
        <v>575.45000000000005</v>
      </c>
      <c r="C191" s="50">
        <f>VLOOKUP($A191,'Data shares'!$C:$FB,10)*100</f>
        <v>-5.24</v>
      </c>
      <c r="D191" s="49">
        <f>VLOOKUP($A191,'Data shares'!$C:$FB,66)</f>
        <v>32610725</v>
      </c>
      <c r="E191" s="49">
        <f>VLOOKUP($A191,'Data shares'!$C:$FB,67)</f>
        <v>14119350</v>
      </c>
      <c r="F191" s="50">
        <f>VLOOKUP($A191,'Data shares'!$C:$FB,69)*100</f>
        <v>130.96</v>
      </c>
      <c r="G191" s="49">
        <f>VLOOKUP($A191,'Data shares'!$C:$FB,42)</f>
        <v>11027450</v>
      </c>
      <c r="H191" s="49">
        <f>VLOOKUP($A191,'Data shares'!$C:$FB,43)</f>
        <v>3857525</v>
      </c>
      <c r="I191" s="50">
        <f>VLOOKUP($A191,'Data shares'!$C:$FB,45)*100</f>
        <v>185.87</v>
      </c>
      <c r="J191" s="49">
        <f>VLOOKUP($A191,'Data shares'!$C:$FB,58)</f>
        <v>13521550</v>
      </c>
      <c r="K191" s="49">
        <f>VLOOKUP($A191,'Data shares'!$C:$FB,59)</f>
        <v>6811000</v>
      </c>
      <c r="L191" s="50">
        <f>VLOOKUP($A191,'Data shares'!$C:$FB,61)*100</f>
        <v>98.53</v>
      </c>
      <c r="M191" s="49">
        <f>VLOOKUP($A191,'Data shares'!$C:$FB,62)</f>
        <v>8061725</v>
      </c>
      <c r="N191" s="49">
        <f>VLOOKUP($A191,'Data shares'!$C:$FB,63)</f>
        <v>3450825</v>
      </c>
      <c r="O191" s="140">
        <f>VLOOKUP($A191,'Data shares'!$C:$FB,65)*100</f>
        <v>133.62</v>
      </c>
    </row>
    <row r="192" spans="1:15" x14ac:dyDescent="0.25">
      <c r="A192" s="101" t="str">
        <f>'Data Vlaue (Cr)'!C187</f>
        <v>SRF</v>
      </c>
      <c r="B192" s="50">
        <f>VLOOKUP($A192,'Data shares'!$C:$FB,7)</f>
        <v>2551.4</v>
      </c>
      <c r="C192" s="50">
        <f>VLOOKUP($A192,'Data shares'!$C:$FB,10)*100</f>
        <v>1.3</v>
      </c>
      <c r="D192" s="49">
        <f>VLOOKUP($A192,'Data shares'!$C:$FB,66)</f>
        <v>2217400</v>
      </c>
      <c r="E192" s="49">
        <f>VLOOKUP($A192,'Data shares'!$C:$FB,67)</f>
        <v>1643200</v>
      </c>
      <c r="F192" s="50">
        <f>VLOOKUP($A192,'Data shares'!$C:$FB,69)*100</f>
        <v>34.94</v>
      </c>
      <c r="G192" s="49">
        <f>VLOOKUP($A192,'Data shares'!$C:$FB,42)</f>
        <v>637800</v>
      </c>
      <c r="H192" s="49">
        <f>VLOOKUP($A192,'Data shares'!$C:$FB,43)</f>
        <v>604600</v>
      </c>
      <c r="I192" s="50">
        <f>VLOOKUP($A192,'Data shares'!$C:$FB,45)*100</f>
        <v>5.4899999999999993</v>
      </c>
      <c r="J192" s="49">
        <f>VLOOKUP($A192,'Data shares'!$C:$FB,58)</f>
        <v>1132400</v>
      </c>
      <c r="K192" s="49">
        <f>VLOOKUP($A192,'Data shares'!$C:$FB,59)</f>
        <v>723400</v>
      </c>
      <c r="L192" s="50">
        <f>VLOOKUP($A192,'Data shares'!$C:$FB,61)*100</f>
        <v>56.54</v>
      </c>
      <c r="M192" s="49">
        <f>VLOOKUP($A192,'Data shares'!$C:$FB,62)</f>
        <v>447200</v>
      </c>
      <c r="N192" s="49">
        <f>VLOOKUP($A192,'Data shares'!$C:$FB,63)</f>
        <v>315200</v>
      </c>
      <c r="O192" s="140">
        <f>VLOOKUP($A192,'Data shares'!$C:$FB,65)*100</f>
        <v>41.88</v>
      </c>
    </row>
    <row r="193" spans="1:15" x14ac:dyDescent="0.25">
      <c r="A193" s="101" t="str">
        <f>'Data Vlaue (Cr)'!C188</f>
        <v>SUNPHARMA</v>
      </c>
      <c r="B193" s="50">
        <f>VLOOKUP($A193,'Data shares'!$C:$FB,7)</f>
        <v>1823.5</v>
      </c>
      <c r="C193" s="50">
        <f>VLOOKUP($A193,'Data shares'!$C:$FB,10)*100</f>
        <v>0.84</v>
      </c>
      <c r="D193" s="49">
        <f>VLOOKUP($A193,'Data shares'!$C:$FB,66)</f>
        <v>22885800</v>
      </c>
      <c r="E193" s="49">
        <f>VLOOKUP($A193,'Data shares'!$C:$FB,67)</f>
        <v>33560100</v>
      </c>
      <c r="F193" s="50">
        <f>VLOOKUP($A193,'Data shares'!$C:$FB,69)*100</f>
        <v>-31.81</v>
      </c>
      <c r="G193" s="49">
        <f>VLOOKUP($A193,'Data shares'!$C:$FB,42)</f>
        <v>3120250</v>
      </c>
      <c r="H193" s="49">
        <f>VLOOKUP($A193,'Data shares'!$C:$FB,43)</f>
        <v>4093950</v>
      </c>
      <c r="I193" s="50">
        <f>VLOOKUP($A193,'Data shares'!$C:$FB,45)*100</f>
        <v>-23.78</v>
      </c>
      <c r="J193" s="49">
        <f>VLOOKUP($A193,'Data shares'!$C:$FB,58)</f>
        <v>12939150</v>
      </c>
      <c r="K193" s="49">
        <f>VLOOKUP($A193,'Data shares'!$C:$FB,59)</f>
        <v>19880000</v>
      </c>
      <c r="L193" s="50">
        <f>VLOOKUP($A193,'Data shares'!$C:$FB,61)*100</f>
        <v>-34.910000000000004</v>
      </c>
      <c r="M193" s="49">
        <f>VLOOKUP($A193,'Data shares'!$C:$FB,62)</f>
        <v>6826400</v>
      </c>
      <c r="N193" s="49">
        <f>VLOOKUP($A193,'Data shares'!$C:$FB,63)</f>
        <v>9586150</v>
      </c>
      <c r="O193" s="140">
        <f>VLOOKUP($A193,'Data shares'!$C:$FB,65)*100</f>
        <v>-28.79</v>
      </c>
    </row>
    <row r="194" spans="1:15" x14ac:dyDescent="0.25">
      <c r="A194" s="101" t="str">
        <f>'Data Vlaue (Cr)'!C189</f>
        <v>SUPREMEIND</v>
      </c>
      <c r="B194" s="50">
        <f>VLOOKUP($A194,'Data shares'!$C:$FB,7)</f>
        <v>3620.1</v>
      </c>
      <c r="C194" s="50">
        <f>VLOOKUP($A194,'Data shares'!$C:$FB,10)*100</f>
        <v>-6.9999999999999993E-2</v>
      </c>
      <c r="D194" s="49">
        <f>VLOOKUP($A194,'Data shares'!$C:$FB,66)</f>
        <v>1359575</v>
      </c>
      <c r="E194" s="49">
        <f>VLOOKUP($A194,'Data shares'!$C:$FB,67)</f>
        <v>1607550</v>
      </c>
      <c r="F194" s="50">
        <f>VLOOKUP($A194,'Data shares'!$C:$FB,69)*100</f>
        <v>-15.43</v>
      </c>
      <c r="G194" s="49">
        <f>VLOOKUP($A194,'Data shares'!$C:$FB,42)</f>
        <v>247975</v>
      </c>
      <c r="H194" s="49">
        <f>VLOOKUP($A194,'Data shares'!$C:$FB,43)</f>
        <v>320075</v>
      </c>
      <c r="I194" s="50">
        <f>VLOOKUP($A194,'Data shares'!$C:$FB,45)*100</f>
        <v>-22.53</v>
      </c>
      <c r="J194" s="49">
        <f>VLOOKUP($A194,'Data shares'!$C:$FB,58)</f>
        <v>788725</v>
      </c>
      <c r="K194" s="49">
        <f>VLOOKUP($A194,'Data shares'!$C:$FB,59)</f>
        <v>792400</v>
      </c>
      <c r="L194" s="50">
        <f>VLOOKUP($A194,'Data shares'!$C:$FB,61)*100</f>
        <v>-0.45999999999999996</v>
      </c>
      <c r="M194" s="49">
        <f>VLOOKUP($A194,'Data shares'!$C:$FB,62)</f>
        <v>322875</v>
      </c>
      <c r="N194" s="49">
        <f>VLOOKUP($A194,'Data shares'!$C:$FB,63)</f>
        <v>495075</v>
      </c>
      <c r="O194" s="140">
        <f>VLOOKUP($A194,'Data shares'!$C:$FB,65)*100</f>
        <v>-34.78</v>
      </c>
    </row>
    <row r="195" spans="1:15" x14ac:dyDescent="0.25">
      <c r="A195" s="101" t="str">
        <f>'Data Vlaue (Cr)'!C190</f>
        <v>SUZLON</v>
      </c>
      <c r="B195" s="50">
        <f>VLOOKUP($A195,'Data shares'!$C:$FB,7)</f>
        <v>54.96</v>
      </c>
      <c r="C195" s="50">
        <f>VLOOKUP($A195,'Data shares'!$C:$FB,10)*100</f>
        <v>-1.1199999999999999</v>
      </c>
      <c r="D195" s="49">
        <f>VLOOKUP($A195,'Data shares'!$C:$FB,66)</f>
        <v>245732700</v>
      </c>
      <c r="E195" s="49">
        <f>VLOOKUP($A195,'Data shares'!$C:$FB,67)</f>
        <v>204587725</v>
      </c>
      <c r="F195" s="50">
        <f>VLOOKUP($A195,'Data shares'!$C:$FB,69)*100</f>
        <v>20.11</v>
      </c>
      <c r="G195" s="49">
        <f>VLOOKUP($A195,'Data shares'!$C:$FB,42)</f>
        <v>66649625</v>
      </c>
      <c r="H195" s="49">
        <f>VLOOKUP($A195,'Data shares'!$C:$FB,43)</f>
        <v>60765325</v>
      </c>
      <c r="I195" s="50">
        <f>VLOOKUP($A195,'Data shares'!$C:$FB,45)*100</f>
        <v>9.68</v>
      </c>
      <c r="J195" s="49">
        <f>VLOOKUP($A195,'Data shares'!$C:$FB,58)</f>
        <v>123082950</v>
      </c>
      <c r="K195" s="49">
        <f>VLOOKUP($A195,'Data shares'!$C:$FB,59)</f>
        <v>88084000</v>
      </c>
      <c r="L195" s="50">
        <f>VLOOKUP($A195,'Data shares'!$C:$FB,61)*100</f>
        <v>39.729999999999997</v>
      </c>
      <c r="M195" s="49">
        <f>VLOOKUP($A195,'Data shares'!$C:$FB,62)</f>
        <v>56000125</v>
      </c>
      <c r="N195" s="49">
        <f>VLOOKUP($A195,'Data shares'!$C:$FB,63)</f>
        <v>55738400</v>
      </c>
      <c r="O195" s="140">
        <f>VLOOKUP($A195,'Data shares'!$C:$FB,65)*100</f>
        <v>0.47000000000000003</v>
      </c>
    </row>
    <row r="196" spans="1:15" x14ac:dyDescent="0.25">
      <c r="A196" s="101" t="str">
        <f>'Data Vlaue (Cr)'!C191</f>
        <v>SWIGGY</v>
      </c>
      <c r="B196" s="50">
        <f>VLOOKUP($A196,'Data shares'!$C:$FB,7)</f>
        <v>278.8</v>
      </c>
      <c r="C196" s="50">
        <f>VLOOKUP($A196,'Data shares'!$C:$FB,10)*100</f>
        <v>3.1399999999999997</v>
      </c>
      <c r="D196" s="49">
        <f>VLOOKUP($A196,'Data shares'!$C:$FB,66)</f>
        <v>17615000</v>
      </c>
      <c r="E196" s="49">
        <f>VLOOKUP($A196,'Data shares'!$C:$FB,67)</f>
        <v>17378400</v>
      </c>
      <c r="F196" s="50">
        <f>VLOOKUP($A196,'Data shares'!$C:$FB,69)*100</f>
        <v>1.3599999999999999</v>
      </c>
      <c r="G196" s="49">
        <f>VLOOKUP($A196,'Data shares'!$C:$FB,42)</f>
        <v>5010200</v>
      </c>
      <c r="H196" s="49">
        <f>VLOOKUP($A196,'Data shares'!$C:$FB,43)</f>
        <v>6644300</v>
      </c>
      <c r="I196" s="50">
        <f>VLOOKUP($A196,'Data shares'!$C:$FB,45)*100</f>
        <v>-24.59</v>
      </c>
      <c r="J196" s="49">
        <f>VLOOKUP($A196,'Data shares'!$C:$FB,58)</f>
        <v>8957000</v>
      </c>
      <c r="K196" s="49">
        <f>VLOOKUP($A196,'Data shares'!$C:$FB,59)</f>
        <v>6464900</v>
      </c>
      <c r="L196" s="50">
        <f>VLOOKUP($A196,'Data shares'!$C:$FB,61)*100</f>
        <v>38.550000000000004</v>
      </c>
      <c r="M196" s="49">
        <f>VLOOKUP($A196,'Data shares'!$C:$FB,62)</f>
        <v>3647800</v>
      </c>
      <c r="N196" s="49">
        <f>VLOOKUP($A196,'Data shares'!$C:$FB,63)</f>
        <v>4269200</v>
      </c>
      <c r="O196" s="140">
        <f>VLOOKUP($A196,'Data shares'!$C:$FB,65)*100</f>
        <v>-14.56</v>
      </c>
    </row>
    <row r="197" spans="1:15" x14ac:dyDescent="0.25">
      <c r="A197" s="101" t="str">
        <f>'Data Vlaue (Cr)'!C192</f>
        <v>TATACONSUM</v>
      </c>
      <c r="B197" s="50">
        <f>VLOOKUP($A197,'Data shares'!$C:$FB,7)</f>
        <v>1160.4000000000001</v>
      </c>
      <c r="C197" s="50">
        <f>VLOOKUP($A197,'Data shares'!$C:$FB,10)*100</f>
        <v>1.38</v>
      </c>
      <c r="D197" s="49">
        <f>VLOOKUP($A197,'Data shares'!$C:$FB,66)</f>
        <v>5360300</v>
      </c>
      <c r="E197" s="49">
        <f>VLOOKUP($A197,'Data shares'!$C:$FB,67)</f>
        <v>4222350</v>
      </c>
      <c r="F197" s="50">
        <f>VLOOKUP($A197,'Data shares'!$C:$FB,69)*100</f>
        <v>26.950000000000003</v>
      </c>
      <c r="G197" s="49">
        <f>VLOOKUP($A197,'Data shares'!$C:$FB,42)</f>
        <v>1150050</v>
      </c>
      <c r="H197" s="49">
        <f>VLOOKUP($A197,'Data shares'!$C:$FB,43)</f>
        <v>1628550</v>
      </c>
      <c r="I197" s="50">
        <f>VLOOKUP($A197,'Data shares'!$C:$FB,45)*100</f>
        <v>-29.38</v>
      </c>
      <c r="J197" s="49">
        <f>VLOOKUP($A197,'Data shares'!$C:$FB,58)</f>
        <v>3349500</v>
      </c>
      <c r="K197" s="49">
        <f>VLOOKUP($A197,'Data shares'!$C:$FB,59)</f>
        <v>1822150</v>
      </c>
      <c r="L197" s="50">
        <f>VLOOKUP($A197,'Data shares'!$C:$FB,61)*100</f>
        <v>83.82</v>
      </c>
      <c r="M197" s="49">
        <f>VLOOKUP($A197,'Data shares'!$C:$FB,62)</f>
        <v>860750</v>
      </c>
      <c r="N197" s="49">
        <f>VLOOKUP($A197,'Data shares'!$C:$FB,63)</f>
        <v>771650</v>
      </c>
      <c r="O197" s="140">
        <f>VLOOKUP($A197,'Data shares'!$C:$FB,65)*100</f>
        <v>11.55</v>
      </c>
    </row>
    <row r="198" spans="1:15" x14ac:dyDescent="0.25">
      <c r="A198" s="101" t="str">
        <f>'Data Vlaue (Cr)'!C193</f>
        <v>TATAELXSI</v>
      </c>
      <c r="B198" s="50">
        <f>VLOOKUP($A198,'Data shares'!$C:$FB,7)</f>
        <v>4178.7</v>
      </c>
      <c r="C198" s="50">
        <f>VLOOKUP($A198,'Data shares'!$C:$FB,10)*100</f>
        <v>1.18</v>
      </c>
      <c r="D198" s="49">
        <f>VLOOKUP($A198,'Data shares'!$C:$FB,66)</f>
        <v>1332800</v>
      </c>
      <c r="E198" s="49">
        <f>VLOOKUP($A198,'Data shares'!$C:$FB,67)</f>
        <v>1539400</v>
      </c>
      <c r="F198" s="50">
        <f>VLOOKUP($A198,'Data shares'!$C:$FB,69)*100</f>
        <v>-13.420000000000002</v>
      </c>
      <c r="G198" s="49">
        <f>VLOOKUP($A198,'Data shares'!$C:$FB,42)</f>
        <v>278400</v>
      </c>
      <c r="H198" s="49">
        <f>VLOOKUP($A198,'Data shares'!$C:$FB,43)</f>
        <v>329600</v>
      </c>
      <c r="I198" s="50">
        <f>VLOOKUP($A198,'Data shares'!$C:$FB,45)*100</f>
        <v>-15.53</v>
      </c>
      <c r="J198" s="49">
        <f>VLOOKUP($A198,'Data shares'!$C:$FB,58)</f>
        <v>794100</v>
      </c>
      <c r="K198" s="49">
        <f>VLOOKUP($A198,'Data shares'!$C:$FB,59)</f>
        <v>827600</v>
      </c>
      <c r="L198" s="50">
        <f>VLOOKUP($A198,'Data shares'!$C:$FB,61)*100</f>
        <v>-4.05</v>
      </c>
      <c r="M198" s="49">
        <f>VLOOKUP($A198,'Data shares'!$C:$FB,62)</f>
        <v>260300</v>
      </c>
      <c r="N198" s="49">
        <f>VLOOKUP($A198,'Data shares'!$C:$FB,63)</f>
        <v>382200</v>
      </c>
      <c r="O198" s="140">
        <f>VLOOKUP($A198,'Data shares'!$C:$FB,65)*100</f>
        <v>-31.89</v>
      </c>
    </row>
    <row r="199" spans="1:15" x14ac:dyDescent="0.25">
      <c r="A199" s="101" t="str">
        <f>'Data Vlaue (Cr)'!C194</f>
        <v>TATAPOWER</v>
      </c>
      <c r="B199" s="50">
        <f>VLOOKUP($A199,'Data shares'!$C:$FB,7)</f>
        <v>441.4</v>
      </c>
      <c r="C199" s="50">
        <f>VLOOKUP($A199,'Data shares'!$C:$FB,10)*100</f>
        <v>-0.71000000000000008</v>
      </c>
      <c r="D199" s="49">
        <f>VLOOKUP($A199,'Data shares'!$C:$FB,66)</f>
        <v>37428850</v>
      </c>
      <c r="E199" s="49">
        <f>VLOOKUP($A199,'Data shares'!$C:$FB,67)</f>
        <v>46049100</v>
      </c>
      <c r="F199" s="50">
        <f>VLOOKUP($A199,'Data shares'!$C:$FB,69)*100</f>
        <v>-18.72</v>
      </c>
      <c r="G199" s="49">
        <f>VLOOKUP($A199,'Data shares'!$C:$FB,42)</f>
        <v>6964350</v>
      </c>
      <c r="H199" s="49">
        <f>VLOOKUP($A199,'Data shares'!$C:$FB,43)</f>
        <v>7893800</v>
      </c>
      <c r="I199" s="50">
        <f>VLOOKUP($A199,'Data shares'!$C:$FB,45)*100</f>
        <v>-11.77</v>
      </c>
      <c r="J199" s="49">
        <f>VLOOKUP($A199,'Data shares'!$C:$FB,58)</f>
        <v>23078200</v>
      </c>
      <c r="K199" s="49">
        <f>VLOOKUP($A199,'Data shares'!$C:$FB,59)</f>
        <v>24141050</v>
      </c>
      <c r="L199" s="50">
        <f>VLOOKUP($A199,'Data shares'!$C:$FB,61)*100</f>
        <v>-4.3999999999999995</v>
      </c>
      <c r="M199" s="49">
        <f>VLOOKUP($A199,'Data shares'!$C:$FB,62)</f>
        <v>7386300</v>
      </c>
      <c r="N199" s="49">
        <f>VLOOKUP($A199,'Data shares'!$C:$FB,63)</f>
        <v>14014250</v>
      </c>
      <c r="O199" s="140">
        <f>VLOOKUP($A199,'Data shares'!$C:$FB,65)*100</f>
        <v>-47.29</v>
      </c>
    </row>
    <row r="200" spans="1:15" x14ac:dyDescent="0.25">
      <c r="A200" s="101" t="str">
        <f>'Data Vlaue (Cr)'!C195</f>
        <v>TATASTEEL</v>
      </c>
      <c r="B200" s="50">
        <f>VLOOKUP($A200,'Data shares'!$C:$FB,7)</f>
        <v>212.24</v>
      </c>
      <c r="C200" s="50">
        <f>VLOOKUP($A200,'Data shares'!$C:$FB,10)*100</f>
        <v>0.42</v>
      </c>
      <c r="D200" s="49">
        <f>VLOOKUP($A200,'Data shares'!$C:$FB,66)</f>
        <v>110844250</v>
      </c>
      <c r="E200" s="49">
        <f>VLOOKUP($A200,'Data shares'!$C:$FB,67)</f>
        <v>165665500</v>
      </c>
      <c r="F200" s="50">
        <f>VLOOKUP($A200,'Data shares'!$C:$FB,69)*100</f>
        <v>-33.090000000000003</v>
      </c>
      <c r="G200" s="49">
        <f>VLOOKUP($A200,'Data shares'!$C:$FB,42)</f>
        <v>18073000</v>
      </c>
      <c r="H200" s="49">
        <f>VLOOKUP($A200,'Data shares'!$C:$FB,43)</f>
        <v>28545000</v>
      </c>
      <c r="I200" s="50">
        <f>VLOOKUP($A200,'Data shares'!$C:$FB,45)*100</f>
        <v>-36.69</v>
      </c>
      <c r="J200" s="49">
        <f>VLOOKUP($A200,'Data shares'!$C:$FB,58)</f>
        <v>59708000</v>
      </c>
      <c r="K200" s="49">
        <f>VLOOKUP($A200,'Data shares'!$C:$FB,59)</f>
        <v>78372250</v>
      </c>
      <c r="L200" s="50">
        <f>VLOOKUP($A200,'Data shares'!$C:$FB,61)*100</f>
        <v>-23.810000000000002</v>
      </c>
      <c r="M200" s="49">
        <f>VLOOKUP($A200,'Data shares'!$C:$FB,62)</f>
        <v>33063250</v>
      </c>
      <c r="N200" s="49">
        <f>VLOOKUP($A200,'Data shares'!$C:$FB,63)</f>
        <v>58748250</v>
      </c>
      <c r="O200" s="140">
        <f>VLOOKUP($A200,'Data shares'!$C:$FB,65)*100</f>
        <v>-43.72</v>
      </c>
    </row>
    <row r="201" spans="1:15" x14ac:dyDescent="0.25">
      <c r="A201" s="101" t="str">
        <f>'Data Vlaue (Cr)'!C196</f>
        <v>TCS</v>
      </c>
      <c r="B201" s="50">
        <f>VLOOKUP($A201,'Data shares'!$C:$FB,7)</f>
        <v>2431.3000000000002</v>
      </c>
      <c r="C201" s="50">
        <f>VLOOKUP($A201,'Data shares'!$C:$FB,10)*100</f>
        <v>-1.72</v>
      </c>
      <c r="D201" s="49">
        <f>VLOOKUP($A201,'Data shares'!$C:$FB,66)</f>
        <v>16647750</v>
      </c>
      <c r="E201" s="49">
        <f>VLOOKUP($A201,'Data shares'!$C:$FB,67)</f>
        <v>18147150</v>
      </c>
      <c r="F201" s="50">
        <f>VLOOKUP($A201,'Data shares'!$C:$FB,69)*100</f>
        <v>-8.2600000000000016</v>
      </c>
      <c r="G201" s="49">
        <f>VLOOKUP($A201,'Data shares'!$C:$FB,42)</f>
        <v>2380175</v>
      </c>
      <c r="H201" s="49">
        <f>VLOOKUP($A201,'Data shares'!$C:$FB,43)</f>
        <v>3527825</v>
      </c>
      <c r="I201" s="50">
        <f>VLOOKUP($A201,'Data shares'!$C:$FB,45)*100</f>
        <v>-32.53</v>
      </c>
      <c r="J201" s="49">
        <f>VLOOKUP($A201,'Data shares'!$C:$FB,58)</f>
        <v>9385600</v>
      </c>
      <c r="K201" s="49">
        <f>VLOOKUP($A201,'Data shares'!$C:$FB,59)</f>
        <v>9888550</v>
      </c>
      <c r="L201" s="50">
        <f>VLOOKUP($A201,'Data shares'!$C:$FB,61)*100</f>
        <v>-5.09</v>
      </c>
      <c r="M201" s="49">
        <f>VLOOKUP($A201,'Data shares'!$C:$FB,62)</f>
        <v>4881975</v>
      </c>
      <c r="N201" s="49">
        <f>VLOOKUP($A201,'Data shares'!$C:$FB,63)</f>
        <v>4730775</v>
      </c>
      <c r="O201" s="140">
        <f>VLOOKUP($A201,'Data shares'!$C:$FB,65)*100</f>
        <v>3.2</v>
      </c>
    </row>
    <row r="202" spans="1:15" x14ac:dyDescent="0.25">
      <c r="A202" s="101" t="str">
        <f>'Data Vlaue (Cr)'!C197</f>
        <v>TECHM</v>
      </c>
      <c r="B202" s="50">
        <f>VLOOKUP($A202,'Data shares'!$C:$FB,7)</f>
        <v>1471.6</v>
      </c>
      <c r="C202" s="50">
        <f>VLOOKUP($A202,'Data shares'!$C:$FB,10)*100</f>
        <v>-0.13</v>
      </c>
      <c r="D202" s="49">
        <f>VLOOKUP($A202,'Data shares'!$C:$FB,66)</f>
        <v>9411600</v>
      </c>
      <c r="E202" s="49">
        <f>VLOOKUP($A202,'Data shares'!$C:$FB,67)</f>
        <v>19930800</v>
      </c>
      <c r="F202" s="50">
        <f>VLOOKUP($A202,'Data shares'!$C:$FB,69)*100</f>
        <v>-52.78</v>
      </c>
      <c r="G202" s="49">
        <f>VLOOKUP($A202,'Data shares'!$C:$FB,42)</f>
        <v>2328600</v>
      </c>
      <c r="H202" s="49">
        <f>VLOOKUP($A202,'Data shares'!$C:$FB,43)</f>
        <v>3789000</v>
      </c>
      <c r="I202" s="50">
        <f>VLOOKUP($A202,'Data shares'!$C:$FB,45)*100</f>
        <v>-38.54</v>
      </c>
      <c r="J202" s="49">
        <f>VLOOKUP($A202,'Data shares'!$C:$FB,58)</f>
        <v>4337400</v>
      </c>
      <c r="K202" s="49">
        <f>VLOOKUP($A202,'Data shares'!$C:$FB,59)</f>
        <v>11163000</v>
      </c>
      <c r="L202" s="50">
        <f>VLOOKUP($A202,'Data shares'!$C:$FB,61)*100</f>
        <v>-61.140000000000008</v>
      </c>
      <c r="M202" s="49">
        <f>VLOOKUP($A202,'Data shares'!$C:$FB,62)</f>
        <v>2745600</v>
      </c>
      <c r="N202" s="49">
        <f>VLOOKUP($A202,'Data shares'!$C:$FB,63)</f>
        <v>4978800</v>
      </c>
      <c r="O202" s="140">
        <f>VLOOKUP($A202,'Data shares'!$C:$FB,65)*100</f>
        <v>-44.85</v>
      </c>
    </row>
    <row r="203" spans="1:15" x14ac:dyDescent="0.25">
      <c r="A203" s="101" t="str">
        <f>'Data Vlaue (Cr)'!C198</f>
        <v>TIINDIA</v>
      </c>
      <c r="B203" s="50">
        <f>VLOOKUP($A203,'Data shares'!$C:$FB,7)</f>
        <v>2906</v>
      </c>
      <c r="C203" s="50">
        <f>VLOOKUP($A203,'Data shares'!$C:$FB,10)*100</f>
        <v>-1.4200000000000002</v>
      </c>
      <c r="D203" s="49">
        <f>VLOOKUP($A203,'Data shares'!$C:$FB,66)</f>
        <v>499200</v>
      </c>
      <c r="E203" s="49">
        <f>VLOOKUP($A203,'Data shares'!$C:$FB,67)</f>
        <v>395000</v>
      </c>
      <c r="F203" s="50">
        <f>VLOOKUP($A203,'Data shares'!$C:$FB,69)*100</f>
        <v>26.38</v>
      </c>
      <c r="G203" s="49">
        <f>VLOOKUP($A203,'Data shares'!$C:$FB,42)</f>
        <v>198800</v>
      </c>
      <c r="H203" s="49">
        <f>VLOOKUP($A203,'Data shares'!$C:$FB,43)</f>
        <v>201000</v>
      </c>
      <c r="I203" s="50">
        <f>VLOOKUP($A203,'Data shares'!$C:$FB,45)*100</f>
        <v>-1.0900000000000001</v>
      </c>
      <c r="J203" s="49">
        <f>VLOOKUP($A203,'Data shares'!$C:$FB,58)</f>
        <v>229000</v>
      </c>
      <c r="K203" s="49">
        <f>VLOOKUP($A203,'Data shares'!$C:$FB,59)</f>
        <v>114600</v>
      </c>
      <c r="L203" s="50">
        <f>VLOOKUP($A203,'Data shares'!$C:$FB,61)*100</f>
        <v>99.83</v>
      </c>
      <c r="M203" s="49">
        <f>VLOOKUP($A203,'Data shares'!$C:$FB,62)</f>
        <v>71400</v>
      </c>
      <c r="N203" s="49">
        <f>VLOOKUP($A203,'Data shares'!$C:$FB,63)</f>
        <v>79400</v>
      </c>
      <c r="O203" s="140">
        <f>VLOOKUP($A203,'Data shares'!$C:$FB,65)*100</f>
        <v>-10.08</v>
      </c>
    </row>
    <row r="204" spans="1:15" x14ac:dyDescent="0.25">
      <c r="A204" s="101" t="str">
        <f>'Data Vlaue (Cr)'!C199</f>
        <v>TITAN</v>
      </c>
      <c r="B204" s="50">
        <f>VLOOKUP($A204,'Data shares'!$C:$FB,7)</f>
        <v>4363</v>
      </c>
      <c r="C204" s="50">
        <f>VLOOKUP($A204,'Data shares'!$C:$FB,10)*100</f>
        <v>-0.51</v>
      </c>
      <c r="D204" s="49">
        <f>VLOOKUP($A204,'Data shares'!$C:$FB,66)</f>
        <v>4445350</v>
      </c>
      <c r="E204" s="49">
        <f>VLOOKUP($A204,'Data shares'!$C:$FB,67)</f>
        <v>3943275</v>
      </c>
      <c r="F204" s="50">
        <f>VLOOKUP($A204,'Data shares'!$C:$FB,69)*100</f>
        <v>12.73</v>
      </c>
      <c r="G204" s="49">
        <f>VLOOKUP($A204,'Data shares'!$C:$FB,42)</f>
        <v>902300</v>
      </c>
      <c r="H204" s="49">
        <f>VLOOKUP($A204,'Data shares'!$C:$FB,43)</f>
        <v>666400</v>
      </c>
      <c r="I204" s="50">
        <f>VLOOKUP($A204,'Data shares'!$C:$FB,45)*100</f>
        <v>35.4</v>
      </c>
      <c r="J204" s="49">
        <f>VLOOKUP($A204,'Data shares'!$C:$FB,58)</f>
        <v>2087225</v>
      </c>
      <c r="K204" s="49">
        <f>VLOOKUP($A204,'Data shares'!$C:$FB,59)</f>
        <v>1916250</v>
      </c>
      <c r="L204" s="50">
        <f>VLOOKUP($A204,'Data shares'!$C:$FB,61)*100</f>
        <v>8.92</v>
      </c>
      <c r="M204" s="49">
        <f>VLOOKUP($A204,'Data shares'!$C:$FB,62)</f>
        <v>1455825</v>
      </c>
      <c r="N204" s="49">
        <f>VLOOKUP($A204,'Data shares'!$C:$FB,63)</f>
        <v>1360625</v>
      </c>
      <c r="O204" s="140">
        <f>VLOOKUP($A204,'Data shares'!$C:$FB,65)*100</f>
        <v>7.0000000000000009</v>
      </c>
    </row>
    <row r="205" spans="1:15" x14ac:dyDescent="0.25">
      <c r="A205" s="101" t="str">
        <f>'Data Vlaue (Cr)'!C200</f>
        <v>TMPV</v>
      </c>
      <c r="B205" s="50">
        <f>VLOOKUP($A205,'Data shares'!$C:$FB,7)</f>
        <v>343.05</v>
      </c>
      <c r="C205" s="50">
        <f>VLOOKUP($A205,'Data shares'!$C:$FB,10)*100</f>
        <v>0.44</v>
      </c>
      <c r="D205" s="49">
        <f>VLOOKUP($A205,'Data shares'!$C:$FB,66)</f>
        <v>46144800</v>
      </c>
      <c r="E205" s="49">
        <f>VLOOKUP($A205,'Data shares'!$C:$FB,67)</f>
        <v>66866400</v>
      </c>
      <c r="F205" s="50">
        <f>VLOOKUP($A205,'Data shares'!$C:$FB,69)*100</f>
        <v>-30.990000000000002</v>
      </c>
      <c r="G205" s="49">
        <f>VLOOKUP($A205,'Data shares'!$C:$FB,42)</f>
        <v>12300800</v>
      </c>
      <c r="H205" s="49">
        <f>VLOOKUP($A205,'Data shares'!$C:$FB,43)</f>
        <v>20736000</v>
      </c>
      <c r="I205" s="50">
        <f>VLOOKUP($A205,'Data shares'!$C:$FB,45)*100</f>
        <v>-40.68</v>
      </c>
      <c r="J205" s="49">
        <f>VLOOKUP($A205,'Data shares'!$C:$FB,58)</f>
        <v>25209600</v>
      </c>
      <c r="K205" s="49">
        <f>VLOOKUP($A205,'Data shares'!$C:$FB,59)</f>
        <v>30924000</v>
      </c>
      <c r="L205" s="50">
        <f>VLOOKUP($A205,'Data shares'!$C:$FB,61)*100</f>
        <v>-18.48</v>
      </c>
      <c r="M205" s="49">
        <f>VLOOKUP($A205,'Data shares'!$C:$FB,62)</f>
        <v>8634400</v>
      </c>
      <c r="N205" s="49">
        <f>VLOOKUP($A205,'Data shares'!$C:$FB,63)</f>
        <v>15206400</v>
      </c>
      <c r="O205" s="140">
        <f>VLOOKUP($A205,'Data shares'!$C:$FB,65)*100</f>
        <v>-43.22</v>
      </c>
    </row>
    <row r="206" spans="1:15" x14ac:dyDescent="0.25">
      <c r="A206" s="101" t="str">
        <f>'Data Vlaue (Cr)'!C201</f>
        <v>TORNTPHARM</v>
      </c>
      <c r="B206" s="50">
        <f>VLOOKUP($A206,'Data shares'!$C:$FB,7)</f>
        <v>4251.8</v>
      </c>
      <c r="C206" s="50">
        <f>VLOOKUP($A206,'Data shares'!$C:$FB,10)*100</f>
        <v>1.59</v>
      </c>
      <c r="D206" s="49">
        <f>VLOOKUP($A206,'Data shares'!$C:$FB,66)</f>
        <v>824875</v>
      </c>
      <c r="E206" s="49">
        <f>VLOOKUP($A206,'Data shares'!$C:$FB,67)</f>
        <v>564375</v>
      </c>
      <c r="F206" s="50">
        <f>VLOOKUP($A206,'Data shares'!$C:$FB,69)*100</f>
        <v>46.160000000000004</v>
      </c>
      <c r="G206" s="49">
        <f>VLOOKUP($A206,'Data shares'!$C:$FB,42)</f>
        <v>316375</v>
      </c>
      <c r="H206" s="49">
        <f>VLOOKUP($A206,'Data shares'!$C:$FB,43)</f>
        <v>275000</v>
      </c>
      <c r="I206" s="50">
        <f>VLOOKUP($A206,'Data shares'!$C:$FB,45)*100</f>
        <v>15.049999999999999</v>
      </c>
      <c r="J206" s="49">
        <f>VLOOKUP($A206,'Data shares'!$C:$FB,58)</f>
        <v>413125</v>
      </c>
      <c r="K206" s="49">
        <f>VLOOKUP($A206,'Data shares'!$C:$FB,59)</f>
        <v>178875</v>
      </c>
      <c r="L206" s="50">
        <f>VLOOKUP($A206,'Data shares'!$C:$FB,61)*100</f>
        <v>130.96</v>
      </c>
      <c r="M206" s="49">
        <f>VLOOKUP($A206,'Data shares'!$C:$FB,62)</f>
        <v>95375</v>
      </c>
      <c r="N206" s="49">
        <f>VLOOKUP($A206,'Data shares'!$C:$FB,63)</f>
        <v>110500</v>
      </c>
      <c r="O206" s="140">
        <f>VLOOKUP($A206,'Data shares'!$C:$FB,65)*100</f>
        <v>-13.69</v>
      </c>
    </row>
    <row r="207" spans="1:15" x14ac:dyDescent="0.25">
      <c r="A207" s="101" t="str">
        <f>'Data Vlaue (Cr)'!C202</f>
        <v>TRENT</v>
      </c>
      <c r="B207" s="50">
        <f>VLOOKUP($A207,'Data shares'!$C:$FB,7)</f>
        <v>4158.5</v>
      </c>
      <c r="C207" s="50">
        <f>VLOOKUP($A207,'Data shares'!$C:$FB,10)*100</f>
        <v>0.33999999999999997</v>
      </c>
      <c r="D207" s="49">
        <f>VLOOKUP($A207,'Data shares'!$C:$FB,66)</f>
        <v>4910900</v>
      </c>
      <c r="E207" s="49">
        <f>VLOOKUP($A207,'Data shares'!$C:$FB,67)</f>
        <v>4860300</v>
      </c>
      <c r="F207" s="50">
        <f>VLOOKUP($A207,'Data shares'!$C:$FB,69)*100</f>
        <v>1.04</v>
      </c>
      <c r="G207" s="49">
        <f>VLOOKUP($A207,'Data shares'!$C:$FB,42)</f>
        <v>730500</v>
      </c>
      <c r="H207" s="49">
        <f>VLOOKUP($A207,'Data shares'!$C:$FB,43)</f>
        <v>821100</v>
      </c>
      <c r="I207" s="50">
        <f>VLOOKUP($A207,'Data shares'!$C:$FB,45)*100</f>
        <v>-11.03</v>
      </c>
      <c r="J207" s="49">
        <f>VLOOKUP($A207,'Data shares'!$C:$FB,58)</f>
        <v>3122700</v>
      </c>
      <c r="K207" s="49">
        <f>VLOOKUP($A207,'Data shares'!$C:$FB,59)</f>
        <v>2726800</v>
      </c>
      <c r="L207" s="50">
        <f>VLOOKUP($A207,'Data shares'!$C:$FB,61)*100</f>
        <v>14.52</v>
      </c>
      <c r="M207" s="49">
        <f>VLOOKUP($A207,'Data shares'!$C:$FB,62)</f>
        <v>1057700</v>
      </c>
      <c r="N207" s="49">
        <f>VLOOKUP($A207,'Data shares'!$C:$FB,63)</f>
        <v>1312400</v>
      </c>
      <c r="O207" s="140">
        <f>VLOOKUP($A207,'Data shares'!$C:$FB,65)*100</f>
        <v>-19.41</v>
      </c>
    </row>
    <row r="208" spans="1:15" x14ac:dyDescent="0.25">
      <c r="A208" s="101" t="str">
        <f>'Data Vlaue (Cr)'!C203</f>
        <v>TVSMOTOR</v>
      </c>
      <c r="B208" s="50">
        <f>VLOOKUP($A208,'Data shares'!$C:$FB,7)</f>
        <v>3495.5</v>
      </c>
      <c r="C208" s="50">
        <f>VLOOKUP($A208,'Data shares'!$C:$FB,10)*100</f>
        <v>6.9999999999999993E-2</v>
      </c>
      <c r="D208" s="49">
        <f>VLOOKUP($A208,'Data shares'!$C:$FB,66)</f>
        <v>4699450</v>
      </c>
      <c r="E208" s="49">
        <f>VLOOKUP($A208,'Data shares'!$C:$FB,67)</f>
        <v>4776800</v>
      </c>
      <c r="F208" s="50">
        <f>VLOOKUP($A208,'Data shares'!$C:$FB,69)*100</f>
        <v>-1.6199999999999999</v>
      </c>
      <c r="G208" s="49">
        <f>VLOOKUP($A208,'Data shares'!$C:$FB,42)</f>
        <v>1383025</v>
      </c>
      <c r="H208" s="49">
        <f>VLOOKUP($A208,'Data shares'!$C:$FB,43)</f>
        <v>1228325</v>
      </c>
      <c r="I208" s="50">
        <f>VLOOKUP($A208,'Data shares'!$C:$FB,45)*100</f>
        <v>12.590000000000002</v>
      </c>
      <c r="J208" s="49">
        <f>VLOOKUP($A208,'Data shares'!$C:$FB,58)</f>
        <v>2436175</v>
      </c>
      <c r="K208" s="49">
        <f>VLOOKUP($A208,'Data shares'!$C:$FB,59)</f>
        <v>2060625</v>
      </c>
      <c r="L208" s="50">
        <f>VLOOKUP($A208,'Data shares'!$C:$FB,61)*100</f>
        <v>18.23</v>
      </c>
      <c r="M208" s="49">
        <f>VLOOKUP($A208,'Data shares'!$C:$FB,62)</f>
        <v>880250</v>
      </c>
      <c r="N208" s="49">
        <f>VLOOKUP($A208,'Data shares'!$C:$FB,63)</f>
        <v>1487850</v>
      </c>
      <c r="O208" s="140">
        <f>VLOOKUP($A208,'Data shares'!$C:$FB,65)*100</f>
        <v>-40.839999999999996</v>
      </c>
    </row>
    <row r="209" spans="1:15" x14ac:dyDescent="0.25">
      <c r="A209" s="101" t="str">
        <f>'Data Vlaue (Cr)'!C204</f>
        <v>ULTRACEMCO</v>
      </c>
      <c r="B209" s="50">
        <f>VLOOKUP($A209,'Data shares'!$C:$FB,7)</f>
        <v>11758</v>
      </c>
      <c r="C209" s="50">
        <f>VLOOKUP($A209,'Data shares'!$C:$FB,10)*100</f>
        <v>1.48</v>
      </c>
      <c r="D209" s="49">
        <f>VLOOKUP($A209,'Data shares'!$C:$FB,66)</f>
        <v>3030600</v>
      </c>
      <c r="E209" s="49">
        <f>VLOOKUP($A209,'Data shares'!$C:$FB,67)</f>
        <v>3118700</v>
      </c>
      <c r="F209" s="50">
        <f>VLOOKUP($A209,'Data shares'!$C:$FB,69)*100</f>
        <v>-2.82</v>
      </c>
      <c r="G209" s="49">
        <f>VLOOKUP($A209,'Data shares'!$C:$FB,42)</f>
        <v>510300</v>
      </c>
      <c r="H209" s="49">
        <f>VLOOKUP($A209,'Data shares'!$C:$FB,43)</f>
        <v>566700</v>
      </c>
      <c r="I209" s="50">
        <f>VLOOKUP($A209,'Data shares'!$C:$FB,45)*100</f>
        <v>-9.9500000000000011</v>
      </c>
      <c r="J209" s="49">
        <f>VLOOKUP($A209,'Data shares'!$C:$FB,58)</f>
        <v>1770900</v>
      </c>
      <c r="K209" s="49">
        <f>VLOOKUP($A209,'Data shares'!$C:$FB,59)</f>
        <v>1648150</v>
      </c>
      <c r="L209" s="50">
        <f>VLOOKUP($A209,'Data shares'!$C:$FB,61)*100</f>
        <v>7.4499999999999993</v>
      </c>
      <c r="M209" s="49">
        <f>VLOOKUP($A209,'Data shares'!$C:$FB,62)</f>
        <v>749400</v>
      </c>
      <c r="N209" s="49">
        <f>VLOOKUP($A209,'Data shares'!$C:$FB,63)</f>
        <v>903850</v>
      </c>
      <c r="O209" s="140">
        <f>VLOOKUP($A209,'Data shares'!$C:$FB,65)*100</f>
        <v>-17.09</v>
      </c>
    </row>
    <row r="210" spans="1:15" x14ac:dyDescent="0.25">
      <c r="A210" s="101" t="str">
        <f>'Data Vlaue (Cr)'!C205</f>
        <v>UNIONBANK</v>
      </c>
      <c r="B210" s="50">
        <f>VLOOKUP($A210,'Data shares'!$C:$FB,7)</f>
        <v>163.77000000000001</v>
      </c>
      <c r="C210" s="50">
        <f>VLOOKUP($A210,'Data shares'!$C:$FB,10)*100</f>
        <v>-1.31</v>
      </c>
      <c r="D210" s="49">
        <f>VLOOKUP($A210,'Data shares'!$C:$FB,66)</f>
        <v>74614350</v>
      </c>
      <c r="E210" s="49">
        <f>VLOOKUP($A210,'Data shares'!$C:$FB,67)</f>
        <v>109377150</v>
      </c>
      <c r="F210" s="50">
        <f>VLOOKUP($A210,'Data shares'!$C:$FB,69)*100</f>
        <v>-31.78</v>
      </c>
      <c r="G210" s="49">
        <f>VLOOKUP($A210,'Data shares'!$C:$FB,42)</f>
        <v>18885900</v>
      </c>
      <c r="H210" s="49">
        <f>VLOOKUP($A210,'Data shares'!$C:$FB,43)</f>
        <v>26550000</v>
      </c>
      <c r="I210" s="50">
        <f>VLOOKUP($A210,'Data shares'!$C:$FB,45)*100</f>
        <v>-28.87</v>
      </c>
      <c r="J210" s="49">
        <f>VLOOKUP($A210,'Data shares'!$C:$FB,58)</f>
        <v>42320700</v>
      </c>
      <c r="K210" s="49">
        <f>VLOOKUP($A210,'Data shares'!$C:$FB,59)</f>
        <v>54206250</v>
      </c>
      <c r="L210" s="50">
        <f>VLOOKUP($A210,'Data shares'!$C:$FB,61)*100</f>
        <v>-21.93</v>
      </c>
      <c r="M210" s="49">
        <f>VLOOKUP($A210,'Data shares'!$C:$FB,62)</f>
        <v>13407750</v>
      </c>
      <c r="N210" s="49">
        <f>VLOOKUP($A210,'Data shares'!$C:$FB,63)</f>
        <v>28620900</v>
      </c>
      <c r="O210" s="140">
        <f>VLOOKUP($A210,'Data shares'!$C:$FB,65)*100</f>
        <v>-53.15</v>
      </c>
    </row>
    <row r="211" spans="1:15" x14ac:dyDescent="0.25">
      <c r="A211" s="101" t="str">
        <f>'Data Vlaue (Cr)'!C206</f>
        <v>UNITDSPR</v>
      </c>
      <c r="B211" s="50">
        <f>VLOOKUP($A211,'Data shares'!$C:$FB,7)</f>
        <v>1321.7</v>
      </c>
      <c r="C211" s="50">
        <f>VLOOKUP($A211,'Data shares'!$C:$FB,10)*100</f>
        <v>-0.28999999999999998</v>
      </c>
      <c r="D211" s="49">
        <f>VLOOKUP($A211,'Data shares'!$C:$FB,66)</f>
        <v>2379200</v>
      </c>
      <c r="E211" s="49">
        <f>VLOOKUP($A211,'Data shares'!$C:$FB,67)</f>
        <v>3382400</v>
      </c>
      <c r="F211" s="50">
        <f>VLOOKUP($A211,'Data shares'!$C:$FB,69)*100</f>
        <v>-29.659999999999997</v>
      </c>
      <c r="G211" s="49">
        <f>VLOOKUP($A211,'Data shares'!$C:$FB,42)</f>
        <v>712800</v>
      </c>
      <c r="H211" s="49">
        <f>VLOOKUP($A211,'Data shares'!$C:$FB,43)</f>
        <v>1199200</v>
      </c>
      <c r="I211" s="50">
        <f>VLOOKUP($A211,'Data shares'!$C:$FB,45)*100</f>
        <v>-40.56</v>
      </c>
      <c r="J211" s="49">
        <f>VLOOKUP($A211,'Data shares'!$C:$FB,58)</f>
        <v>1296000</v>
      </c>
      <c r="K211" s="49">
        <f>VLOOKUP($A211,'Data shares'!$C:$FB,59)</f>
        <v>1560800</v>
      </c>
      <c r="L211" s="50">
        <f>VLOOKUP($A211,'Data shares'!$C:$FB,61)*100</f>
        <v>-16.97</v>
      </c>
      <c r="M211" s="49">
        <f>VLOOKUP($A211,'Data shares'!$C:$FB,62)</f>
        <v>370400</v>
      </c>
      <c r="N211" s="49">
        <f>VLOOKUP($A211,'Data shares'!$C:$FB,63)</f>
        <v>622400</v>
      </c>
      <c r="O211" s="140">
        <f>VLOOKUP($A211,'Data shares'!$C:$FB,65)*100</f>
        <v>-40.489999999999995</v>
      </c>
    </row>
    <row r="212" spans="1:15" x14ac:dyDescent="0.25">
      <c r="A212" s="101" t="str">
        <f>'Data Vlaue (Cr)'!C207</f>
        <v>UNOMINDA</v>
      </c>
      <c r="B212" s="50">
        <f>VLOOKUP($A212,'Data shares'!$C:$FB,7)</f>
        <v>1109.8</v>
      </c>
      <c r="C212" s="50">
        <f>VLOOKUP($A212,'Data shares'!$C:$FB,10)*100</f>
        <v>-0.24</v>
      </c>
      <c r="D212" s="49">
        <f>VLOOKUP($A212,'Data shares'!$C:$FB,66)</f>
        <v>1488850</v>
      </c>
      <c r="E212" s="49">
        <f>VLOOKUP($A212,'Data shares'!$C:$FB,67)</f>
        <v>980100</v>
      </c>
      <c r="F212" s="50">
        <f>VLOOKUP($A212,'Data shares'!$C:$FB,69)*100</f>
        <v>51.910000000000004</v>
      </c>
      <c r="G212" s="49">
        <f>VLOOKUP($A212,'Data shares'!$C:$FB,42)</f>
        <v>658350</v>
      </c>
      <c r="H212" s="49">
        <f>VLOOKUP($A212,'Data shares'!$C:$FB,43)</f>
        <v>364650</v>
      </c>
      <c r="I212" s="50">
        <f>VLOOKUP($A212,'Data shares'!$C:$FB,45)*100</f>
        <v>80.540000000000006</v>
      </c>
      <c r="J212" s="49">
        <f>VLOOKUP($A212,'Data shares'!$C:$FB,58)</f>
        <v>632500</v>
      </c>
      <c r="K212" s="49">
        <f>VLOOKUP($A212,'Data shares'!$C:$FB,59)</f>
        <v>479600</v>
      </c>
      <c r="L212" s="50">
        <f>VLOOKUP($A212,'Data shares'!$C:$FB,61)*100</f>
        <v>31.879999999999995</v>
      </c>
      <c r="M212" s="49">
        <f>VLOOKUP($A212,'Data shares'!$C:$FB,62)</f>
        <v>198000</v>
      </c>
      <c r="N212" s="49">
        <f>VLOOKUP($A212,'Data shares'!$C:$FB,63)</f>
        <v>135850</v>
      </c>
      <c r="O212" s="140">
        <f>VLOOKUP($A212,'Data shares'!$C:$FB,65)*100</f>
        <v>45.75</v>
      </c>
    </row>
    <row r="213" spans="1:15" x14ac:dyDescent="0.25">
      <c r="A213" s="101" t="str">
        <f>'Data Vlaue (Cr)'!C208</f>
        <v>UPL</v>
      </c>
      <c r="B213" s="50">
        <f>VLOOKUP($A213,'Data shares'!$C:$FB,7)</f>
        <v>643.35</v>
      </c>
      <c r="C213" s="50">
        <f>VLOOKUP($A213,'Data shares'!$C:$FB,10)*100</f>
        <v>0.22999999999999998</v>
      </c>
      <c r="D213" s="49">
        <f>VLOOKUP($A213,'Data shares'!$C:$FB,66)</f>
        <v>5997230</v>
      </c>
      <c r="E213" s="49">
        <f>VLOOKUP($A213,'Data shares'!$C:$FB,67)</f>
        <v>5212685</v>
      </c>
      <c r="F213" s="50">
        <f>VLOOKUP($A213,'Data shares'!$C:$FB,69)*100</f>
        <v>15.049999999999999</v>
      </c>
      <c r="G213" s="49">
        <f>VLOOKUP($A213,'Data shares'!$C:$FB,42)</f>
        <v>2054180</v>
      </c>
      <c r="H213" s="49">
        <f>VLOOKUP($A213,'Data shares'!$C:$FB,43)</f>
        <v>1508115</v>
      </c>
      <c r="I213" s="50">
        <f>VLOOKUP($A213,'Data shares'!$C:$FB,45)*100</f>
        <v>36.21</v>
      </c>
      <c r="J213" s="49">
        <f>VLOOKUP($A213,'Data shares'!$C:$FB,58)</f>
        <v>2731680</v>
      </c>
      <c r="K213" s="49">
        <f>VLOOKUP($A213,'Data shares'!$C:$FB,59)</f>
        <v>2490490</v>
      </c>
      <c r="L213" s="50">
        <f>VLOOKUP($A213,'Data shares'!$C:$FB,61)*100</f>
        <v>9.68</v>
      </c>
      <c r="M213" s="49">
        <f>VLOOKUP($A213,'Data shares'!$C:$FB,62)</f>
        <v>1211370</v>
      </c>
      <c r="N213" s="49">
        <f>VLOOKUP($A213,'Data shares'!$C:$FB,63)</f>
        <v>1214080</v>
      </c>
      <c r="O213" s="140">
        <f>VLOOKUP($A213,'Data shares'!$C:$FB,65)*100</f>
        <v>-0.22</v>
      </c>
    </row>
    <row r="214" spans="1:15" x14ac:dyDescent="0.25">
      <c r="A214" s="101" t="str">
        <f>'Data Vlaue (Cr)'!C209</f>
        <v>VBL</v>
      </c>
      <c r="B214" s="50">
        <f>VLOOKUP($A214,'Data shares'!$C:$FB,7)</f>
        <v>506.75</v>
      </c>
      <c r="C214" s="50">
        <f>VLOOKUP($A214,'Data shares'!$C:$FB,10)*100</f>
        <v>-1.35</v>
      </c>
      <c r="D214" s="49">
        <f>VLOOKUP($A214,'Data shares'!$C:$FB,66)</f>
        <v>19651500</v>
      </c>
      <c r="E214" s="49">
        <f>VLOOKUP($A214,'Data shares'!$C:$FB,67)</f>
        <v>22150125</v>
      </c>
      <c r="F214" s="50">
        <f>VLOOKUP($A214,'Data shares'!$C:$FB,69)*100</f>
        <v>-11.28</v>
      </c>
      <c r="G214" s="49">
        <f>VLOOKUP($A214,'Data shares'!$C:$FB,42)</f>
        <v>4813875</v>
      </c>
      <c r="H214" s="49">
        <f>VLOOKUP($A214,'Data shares'!$C:$FB,43)</f>
        <v>7269750</v>
      </c>
      <c r="I214" s="50">
        <f>VLOOKUP($A214,'Data shares'!$C:$FB,45)*100</f>
        <v>-33.78</v>
      </c>
      <c r="J214" s="49">
        <f>VLOOKUP($A214,'Data shares'!$C:$FB,58)</f>
        <v>10289250</v>
      </c>
      <c r="K214" s="49">
        <f>VLOOKUP($A214,'Data shares'!$C:$FB,59)</f>
        <v>8866125</v>
      </c>
      <c r="L214" s="50">
        <f>VLOOKUP($A214,'Data shares'!$C:$FB,61)*100</f>
        <v>16.05</v>
      </c>
      <c r="M214" s="49">
        <f>VLOOKUP($A214,'Data shares'!$C:$FB,62)</f>
        <v>4548375</v>
      </c>
      <c r="N214" s="49">
        <f>VLOOKUP($A214,'Data shares'!$C:$FB,63)</f>
        <v>6014250</v>
      </c>
      <c r="O214" s="140">
        <f>VLOOKUP($A214,'Data shares'!$C:$FB,65)*100</f>
        <v>-24.37</v>
      </c>
    </row>
    <row r="215" spans="1:15" x14ac:dyDescent="0.25">
      <c r="A215" s="101" t="str">
        <f>'Data Vlaue (Cr)'!C210</f>
        <v>VEDL</v>
      </c>
      <c r="B215" s="50">
        <f>VLOOKUP($A215,'Data shares'!$C:$FB,7)</f>
        <v>294.64999999999998</v>
      </c>
      <c r="C215" s="50">
        <f>VLOOKUP($A215,'Data shares'!$C:$FB,10)*100</f>
        <v>8.51</v>
      </c>
      <c r="D215" s="49">
        <f>VLOOKUP($A215,'Data shares'!$C:$FB,66)</f>
        <v>230727950</v>
      </c>
      <c r="E215" s="49">
        <f>VLOOKUP($A215,'Data shares'!$C:$FB,67)</f>
        <v>105206600</v>
      </c>
      <c r="F215" s="50">
        <f>VLOOKUP($A215,'Data shares'!$C:$FB,69)*100</f>
        <v>119.31</v>
      </c>
      <c r="G215" s="49">
        <f>VLOOKUP($A215,'Data shares'!$C:$FB,42)</f>
        <v>31089100</v>
      </c>
      <c r="H215" s="49">
        <f>VLOOKUP($A215,'Data shares'!$C:$FB,43)</f>
        <v>27654050</v>
      </c>
      <c r="I215" s="50">
        <f>VLOOKUP($A215,'Data shares'!$C:$FB,45)*100</f>
        <v>12.42</v>
      </c>
      <c r="J215" s="49">
        <f>VLOOKUP($A215,'Data shares'!$C:$FB,58)</f>
        <v>153604350</v>
      </c>
      <c r="K215" s="49">
        <f>VLOOKUP($A215,'Data shares'!$C:$FB,59)</f>
        <v>49279800</v>
      </c>
      <c r="L215" s="50">
        <f>VLOOKUP($A215,'Data shares'!$C:$FB,61)*100</f>
        <v>211.7</v>
      </c>
      <c r="M215" s="49">
        <f>VLOOKUP($A215,'Data shares'!$C:$FB,62)</f>
        <v>46034500</v>
      </c>
      <c r="N215" s="49">
        <f>VLOOKUP($A215,'Data shares'!$C:$FB,63)</f>
        <v>28272750</v>
      </c>
      <c r="O215" s="140">
        <f>VLOOKUP($A215,'Data shares'!$C:$FB,65)*100</f>
        <v>62.82</v>
      </c>
    </row>
    <row r="216" spans="1:15" x14ac:dyDescent="0.25">
      <c r="A216" s="101" t="str">
        <f>'Data Vlaue (Cr)'!C211</f>
        <v>VMM</v>
      </c>
      <c r="B216" s="50">
        <f>VLOOKUP($A216,'Data shares'!$C:$FB,7)</f>
        <v>125.29</v>
      </c>
      <c r="C216" s="50">
        <f>VLOOKUP($A216,'Data shares'!$C:$FB,10)*100</f>
        <v>2.4500000000000002</v>
      </c>
      <c r="D216" s="49">
        <f>VLOOKUP($A216,'Data shares'!$C:$FB,66)</f>
        <v>9539950</v>
      </c>
      <c r="E216" s="49">
        <f>VLOOKUP($A216,'Data shares'!$C:$FB,67)</f>
        <v>6309850</v>
      </c>
      <c r="F216" s="50">
        <f>VLOOKUP($A216,'Data shares'!$C:$FB,69)*100</f>
        <v>51.190000000000005</v>
      </c>
      <c r="G216" s="49">
        <f>VLOOKUP($A216,'Data shares'!$C:$FB,42)</f>
        <v>3496850</v>
      </c>
      <c r="H216" s="49">
        <f>VLOOKUP($A216,'Data shares'!$C:$FB,43)</f>
        <v>3957600</v>
      </c>
      <c r="I216" s="50">
        <f>VLOOKUP($A216,'Data shares'!$C:$FB,45)*100</f>
        <v>-11.64</v>
      </c>
      <c r="J216" s="49">
        <f>VLOOKUP($A216,'Data shares'!$C:$FB,58)</f>
        <v>5111900</v>
      </c>
      <c r="K216" s="49">
        <f>VLOOKUP($A216,'Data shares'!$C:$FB,59)</f>
        <v>1779950</v>
      </c>
      <c r="L216" s="50">
        <f>VLOOKUP($A216,'Data shares'!$C:$FB,61)*100</f>
        <v>187.19</v>
      </c>
      <c r="M216" s="49">
        <f>VLOOKUP($A216,'Data shares'!$C:$FB,62)</f>
        <v>931200</v>
      </c>
      <c r="N216" s="49">
        <f>VLOOKUP($A216,'Data shares'!$C:$FB,63)</f>
        <v>572300</v>
      </c>
      <c r="O216" s="140">
        <f>VLOOKUP($A216,'Data shares'!$C:$FB,65)*100</f>
        <v>62.71</v>
      </c>
    </row>
    <row r="217" spans="1:15" x14ac:dyDescent="0.25">
      <c r="A217" s="101" t="str">
        <f>'Data Vlaue (Cr)'!C212</f>
        <v>VOLTAS</v>
      </c>
      <c r="B217" s="50">
        <f>VLOOKUP($A217,'Data shares'!$C:$FB,7)</f>
        <v>1454.2</v>
      </c>
      <c r="C217" s="50">
        <f>VLOOKUP($A217,'Data shares'!$C:$FB,10)*100</f>
        <v>1.66</v>
      </c>
      <c r="D217" s="49">
        <f>VLOOKUP($A217,'Data shares'!$C:$FB,66)</f>
        <v>5925375</v>
      </c>
      <c r="E217" s="49">
        <f>VLOOKUP($A217,'Data shares'!$C:$FB,67)</f>
        <v>6603750</v>
      </c>
      <c r="F217" s="50">
        <f>VLOOKUP($A217,'Data shares'!$C:$FB,69)*100</f>
        <v>-10.27</v>
      </c>
      <c r="G217" s="49">
        <f>VLOOKUP($A217,'Data shares'!$C:$FB,42)</f>
        <v>1438500</v>
      </c>
      <c r="H217" s="49">
        <f>VLOOKUP($A217,'Data shares'!$C:$FB,43)</f>
        <v>1592250</v>
      </c>
      <c r="I217" s="50">
        <f>VLOOKUP($A217,'Data shares'!$C:$FB,45)*100</f>
        <v>-9.66</v>
      </c>
      <c r="J217" s="49">
        <f>VLOOKUP($A217,'Data shares'!$C:$FB,58)</f>
        <v>3276375</v>
      </c>
      <c r="K217" s="49">
        <f>VLOOKUP($A217,'Data shares'!$C:$FB,59)</f>
        <v>3225750</v>
      </c>
      <c r="L217" s="50">
        <f>VLOOKUP($A217,'Data shares'!$C:$FB,61)*100</f>
        <v>1.5699999999999998</v>
      </c>
      <c r="M217" s="49">
        <f>VLOOKUP($A217,'Data shares'!$C:$FB,62)</f>
        <v>1210500</v>
      </c>
      <c r="N217" s="49">
        <f>VLOOKUP($A217,'Data shares'!$C:$FB,63)</f>
        <v>1785750</v>
      </c>
      <c r="O217" s="140">
        <f>VLOOKUP($A217,'Data shares'!$C:$FB,65)*100</f>
        <v>-32.21</v>
      </c>
    </row>
    <row r="218" spans="1:15" x14ac:dyDescent="0.25">
      <c r="A218" s="101" t="str">
        <f>'Data Vlaue (Cr)'!C213</f>
        <v>WAAREEENER</v>
      </c>
      <c r="B218" s="50">
        <f>VLOOKUP($A218,'Data shares'!$C:$FB,7)</f>
        <v>3136.3</v>
      </c>
      <c r="C218" s="50">
        <f>VLOOKUP($A218,'Data shares'!$C:$FB,10)*100</f>
        <v>0.55999999999999994</v>
      </c>
      <c r="D218" s="49">
        <f>VLOOKUP($A218,'Data shares'!$C:$FB,66)</f>
        <v>11039175</v>
      </c>
      <c r="E218" s="49">
        <f>VLOOKUP($A218,'Data shares'!$C:$FB,67)</f>
        <v>32529875</v>
      </c>
      <c r="F218" s="50">
        <f>VLOOKUP($A218,'Data shares'!$C:$FB,69)*100</f>
        <v>-66.06</v>
      </c>
      <c r="G218" s="49">
        <f>VLOOKUP($A218,'Data shares'!$C:$FB,42)</f>
        <v>1315300</v>
      </c>
      <c r="H218" s="49">
        <f>VLOOKUP($A218,'Data shares'!$C:$FB,43)</f>
        <v>6302100</v>
      </c>
      <c r="I218" s="50">
        <f>VLOOKUP($A218,'Data shares'!$C:$FB,45)*100</f>
        <v>-79.13</v>
      </c>
      <c r="J218" s="49">
        <f>VLOOKUP($A218,'Data shares'!$C:$FB,58)</f>
        <v>7647325</v>
      </c>
      <c r="K218" s="49">
        <f>VLOOKUP($A218,'Data shares'!$C:$FB,59)</f>
        <v>16884700</v>
      </c>
      <c r="L218" s="50">
        <f>VLOOKUP($A218,'Data shares'!$C:$FB,61)*100</f>
        <v>-54.71</v>
      </c>
      <c r="M218" s="49">
        <f>VLOOKUP($A218,'Data shares'!$C:$FB,62)</f>
        <v>2076550</v>
      </c>
      <c r="N218" s="49">
        <f>VLOOKUP($A218,'Data shares'!$C:$FB,63)</f>
        <v>9343075</v>
      </c>
      <c r="O218" s="140">
        <f>VLOOKUP($A218,'Data shares'!$C:$FB,65)*100</f>
        <v>-77.77</v>
      </c>
    </row>
    <row r="219" spans="1:15" x14ac:dyDescent="0.25">
      <c r="A219" s="101" t="str">
        <f>'Data Vlaue (Cr)'!C214</f>
        <v>WIPRO</v>
      </c>
      <c r="B219" s="50">
        <f>VLOOKUP($A219,'Data shares'!$C:$FB,7)</f>
        <v>200.75</v>
      </c>
      <c r="C219" s="50">
        <f>VLOOKUP($A219,'Data shares'!$C:$FB,10)*100</f>
        <v>0.05</v>
      </c>
      <c r="D219" s="49">
        <f>VLOOKUP($A219,'Data shares'!$C:$FB,66)</f>
        <v>113676000</v>
      </c>
      <c r="E219" s="49">
        <f>VLOOKUP($A219,'Data shares'!$C:$FB,67)</f>
        <v>148971000</v>
      </c>
      <c r="F219" s="50">
        <f>VLOOKUP($A219,'Data shares'!$C:$FB,69)*100</f>
        <v>-23.69</v>
      </c>
      <c r="G219" s="49">
        <f>VLOOKUP($A219,'Data shares'!$C:$FB,42)</f>
        <v>21015000</v>
      </c>
      <c r="H219" s="49">
        <f>VLOOKUP($A219,'Data shares'!$C:$FB,43)</f>
        <v>25869000</v>
      </c>
      <c r="I219" s="50">
        <f>VLOOKUP($A219,'Data shares'!$C:$FB,45)*100</f>
        <v>-18.759999999999998</v>
      </c>
      <c r="J219" s="49">
        <f>VLOOKUP($A219,'Data shares'!$C:$FB,58)</f>
        <v>63363000</v>
      </c>
      <c r="K219" s="49">
        <f>VLOOKUP($A219,'Data shares'!$C:$FB,59)</f>
        <v>87036000</v>
      </c>
      <c r="L219" s="50">
        <f>VLOOKUP($A219,'Data shares'!$C:$FB,61)*100</f>
        <v>-27.200000000000003</v>
      </c>
      <c r="M219" s="49">
        <f>VLOOKUP($A219,'Data shares'!$C:$FB,62)</f>
        <v>29298000</v>
      </c>
      <c r="N219" s="49">
        <f>VLOOKUP($A219,'Data shares'!$C:$FB,63)</f>
        <v>36066000</v>
      </c>
      <c r="O219" s="140">
        <f>VLOOKUP($A219,'Data shares'!$C:$FB,65)*100</f>
        <v>-18.77</v>
      </c>
    </row>
    <row r="220" spans="1:15" x14ac:dyDescent="0.25">
      <c r="A220" s="101" t="str">
        <f>'Data Vlaue (Cr)'!C215</f>
        <v>YESBANK</v>
      </c>
      <c r="B220" s="50">
        <f>VLOOKUP($A220,'Data shares'!$C:$FB,7)</f>
        <v>19.96</v>
      </c>
      <c r="C220" s="50">
        <f>VLOOKUP($A220,'Data shares'!$C:$FB,10)*100</f>
        <v>0.15</v>
      </c>
      <c r="D220" s="49">
        <f>VLOOKUP($A220,'Data shares'!$C:$FB,66)</f>
        <v>509075900</v>
      </c>
      <c r="E220" s="49">
        <f>VLOOKUP($A220,'Data shares'!$C:$FB,67)</f>
        <v>633196000</v>
      </c>
      <c r="F220" s="50">
        <f>VLOOKUP($A220,'Data shares'!$C:$FB,69)*100</f>
        <v>-19.600000000000001</v>
      </c>
      <c r="G220" s="49">
        <f>VLOOKUP($A220,'Data shares'!$C:$FB,42)</f>
        <v>103874000</v>
      </c>
      <c r="H220" s="49">
        <f>VLOOKUP($A220,'Data shares'!$C:$FB,43)</f>
        <v>129531500</v>
      </c>
      <c r="I220" s="50">
        <f>VLOOKUP($A220,'Data shares'!$C:$FB,45)*100</f>
        <v>-19.809999999999999</v>
      </c>
      <c r="J220" s="49">
        <f>VLOOKUP($A220,'Data shares'!$C:$FB,58)</f>
        <v>296631800</v>
      </c>
      <c r="K220" s="49">
        <f>VLOOKUP($A220,'Data shares'!$C:$FB,59)</f>
        <v>384240500</v>
      </c>
      <c r="L220" s="50">
        <f>VLOOKUP($A220,'Data shares'!$C:$FB,61)*100</f>
        <v>-22.8</v>
      </c>
      <c r="M220" s="49">
        <f>VLOOKUP($A220,'Data shares'!$C:$FB,62)</f>
        <v>108570100</v>
      </c>
      <c r="N220" s="49">
        <f>VLOOKUP($A220,'Data shares'!$C:$FB,63)</f>
        <v>119424000</v>
      </c>
      <c r="O220" s="140">
        <f>VLOOKUP($A220,'Data shares'!$C:$FB,65)*100</f>
        <v>-9.09</v>
      </c>
    </row>
    <row r="221" spans="1:15" x14ac:dyDescent="0.25">
      <c r="A221" s="101" t="str">
        <f>'Data Vlaue (Cr)'!C216</f>
        <v>ZYDUSLIFE</v>
      </c>
      <c r="B221" s="50">
        <f>VLOOKUP($A221,'Data shares'!$C:$FB,7)</f>
        <v>902.35</v>
      </c>
      <c r="C221" s="50">
        <f>VLOOKUP($A221,'Data shares'!$C:$FB,10)*100</f>
        <v>1.17</v>
      </c>
      <c r="D221" s="49">
        <f>VLOOKUP($A221,'Data shares'!$C:$FB,66)</f>
        <v>2919600</v>
      </c>
      <c r="E221" s="49">
        <f>VLOOKUP($A221,'Data shares'!$C:$FB,67)</f>
        <v>3986100</v>
      </c>
      <c r="F221" s="50">
        <f>VLOOKUP($A221,'Data shares'!$C:$FB,69)*100</f>
        <v>-26.76</v>
      </c>
      <c r="G221" s="49">
        <f>VLOOKUP($A221,'Data shares'!$C:$FB,42)</f>
        <v>912600</v>
      </c>
      <c r="H221" s="49">
        <f>VLOOKUP($A221,'Data shares'!$C:$FB,43)</f>
        <v>1331100</v>
      </c>
      <c r="I221" s="50">
        <f>VLOOKUP($A221,'Data shares'!$C:$FB,45)*100</f>
        <v>-31.44</v>
      </c>
      <c r="J221" s="49">
        <f>VLOOKUP($A221,'Data shares'!$C:$FB,58)</f>
        <v>1527300</v>
      </c>
      <c r="K221" s="49">
        <f>VLOOKUP($A221,'Data shares'!$C:$FB,59)</f>
        <v>1789200</v>
      </c>
      <c r="L221" s="50">
        <f>VLOOKUP($A221,'Data shares'!$C:$FB,61)*100</f>
        <v>-14.64</v>
      </c>
      <c r="M221" s="49">
        <f>VLOOKUP($A221,'Data shares'!$C:$FB,62)</f>
        <v>479700</v>
      </c>
      <c r="N221" s="49">
        <f>VLOOKUP($A221,'Data shares'!$C:$FB,63)</f>
        <v>865800</v>
      </c>
      <c r="O221" s="140">
        <f>VLOOKUP($A221,'Data shares'!$C:$FB,65)*100</f>
        <v>-44.59</v>
      </c>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50"/>
      <c r="C225" s="50"/>
      <c r="D225" s="49"/>
      <c r="E225" s="49"/>
      <c r="F225" s="50"/>
      <c r="G225" s="49"/>
      <c r="H225" s="49"/>
      <c r="I225" s="50"/>
      <c r="J225" s="49"/>
      <c r="K225" s="49"/>
      <c r="L225" s="50"/>
      <c r="M225" s="49"/>
      <c r="N225" s="49"/>
      <c r="O225" s="140"/>
    </row>
    <row r="226" spans="1:15" x14ac:dyDescent="0.25">
      <c r="A226" s="101"/>
      <c r="B226" s="50"/>
      <c r="C226" s="50"/>
      <c r="D226" s="49"/>
      <c r="E226" s="49"/>
      <c r="F226" s="50"/>
      <c r="G226" s="49"/>
      <c r="H226" s="49"/>
      <c r="I226" s="50"/>
      <c r="J226" s="49"/>
      <c r="K226" s="49"/>
      <c r="L226" s="50"/>
      <c r="M226" s="49"/>
      <c r="N226" s="49"/>
      <c r="O226" s="140"/>
    </row>
    <row r="227" spans="1:15" x14ac:dyDescent="0.25">
      <c r="A227" s="101"/>
      <c r="B227" s="50"/>
      <c r="C227" s="50"/>
      <c r="D227" s="49"/>
      <c r="E227" s="49"/>
      <c r="F227" s="50"/>
      <c r="G227" s="49"/>
      <c r="H227" s="49"/>
      <c r="I227" s="50"/>
      <c r="J227" s="49"/>
      <c r="K227" s="49"/>
      <c r="L227" s="50"/>
      <c r="M227" s="49"/>
      <c r="N227" s="49"/>
      <c r="O227" s="140"/>
    </row>
    <row r="228" spans="1:15" x14ac:dyDescent="0.25">
      <c r="A228" s="101"/>
      <c r="B228" s="50"/>
      <c r="C228" s="50"/>
      <c r="D228" s="49"/>
      <c r="E228" s="49"/>
      <c r="F228" s="50"/>
      <c r="G228" s="49"/>
      <c r="H228" s="49"/>
      <c r="I228" s="50"/>
      <c r="J228" s="49"/>
      <c r="K228" s="49"/>
      <c r="L228" s="50"/>
      <c r="M228" s="49"/>
      <c r="N228" s="49"/>
      <c r="O228" s="140"/>
    </row>
    <row r="229" spans="1:15" x14ac:dyDescent="0.25">
      <c r="A229" s="101"/>
      <c r="B229" s="17"/>
      <c r="C229" s="17"/>
      <c r="D229" s="17"/>
      <c r="E229" s="17"/>
      <c r="F229" s="17"/>
      <c r="G229" s="17"/>
      <c r="H229" s="17"/>
      <c r="I229" s="17"/>
      <c r="J229" s="17"/>
      <c r="K229" s="17"/>
      <c r="L229" s="17"/>
      <c r="M229" s="17"/>
      <c r="N229" s="17"/>
      <c r="O229" s="17"/>
    </row>
    <row r="230" spans="1:15" x14ac:dyDescent="0.25">
      <c r="A230" s="102"/>
      <c r="B230" s="17"/>
      <c r="C230" s="17"/>
      <c r="D230" s="17"/>
      <c r="E230" s="17"/>
      <c r="F230" s="17"/>
      <c r="G230" s="17"/>
      <c r="H230" s="17"/>
      <c r="I230" s="17"/>
      <c r="J230" s="17"/>
      <c r="K230" s="17"/>
      <c r="L230" s="17"/>
      <c r="M230" s="17"/>
      <c r="N230" s="17"/>
      <c r="O230" s="17"/>
    </row>
    <row r="231" spans="1:15" x14ac:dyDescent="0.25">
      <c r="A231" s="133" t="s">
        <v>391</v>
      </c>
      <c r="B231" s="133"/>
      <c r="C231" s="133"/>
      <c r="D231" s="133">
        <f>SUM(D7:D225)</f>
        <v>24677364980</v>
      </c>
      <c r="E231" s="133">
        <f>SUM(E7:E225)</f>
        <v>12635274683</v>
      </c>
      <c r="F231" s="134">
        <f>(D231-E231)/E231</f>
        <v>0.95305330506205033</v>
      </c>
      <c r="G231" s="133">
        <f>SUM(G7:G225)</f>
        <v>3249081532</v>
      </c>
      <c r="H231" s="133">
        <f>SUM(H7:H225)</f>
        <v>2064218322</v>
      </c>
      <c r="I231" s="134">
        <f>(G231-H231)/H231</f>
        <v>0.5740009171374848</v>
      </c>
      <c r="J231" s="133">
        <f>SUM(J7:J225)</f>
        <v>12704788147</v>
      </c>
      <c r="K231" s="133">
        <f>SUM(K7:K225)</f>
        <v>6683421862</v>
      </c>
      <c r="L231" s="134">
        <f>(J231-K231)/K231</f>
        <v>0.90094062732082558</v>
      </c>
      <c r="M231" s="133">
        <f>SUM(M7:M225)</f>
        <v>8723495301</v>
      </c>
      <c r="N231" s="133">
        <f>SUM(N7:N225)</f>
        <v>3887634499</v>
      </c>
      <c r="O231" s="134">
        <f>(M231-N231)/N231</f>
        <v>1.2439082951969658</v>
      </c>
    </row>
    <row r="232" spans="1:15" x14ac:dyDescent="0.25">
      <c r="A232" s="133" t="s">
        <v>398</v>
      </c>
      <c r="B232" s="133"/>
      <c r="C232" s="133"/>
      <c r="D232" s="133">
        <f>D231/10000000</f>
        <v>2467.7364980000002</v>
      </c>
      <c r="E232" s="133">
        <f>E231/10000000</f>
        <v>1263.5274683</v>
      </c>
      <c r="F232" s="134">
        <f>(D232-E232)/E232</f>
        <v>0.95305330506205044</v>
      </c>
      <c r="G232" s="133">
        <f>G231/10000000</f>
        <v>324.90815320000002</v>
      </c>
      <c r="H232" s="133">
        <f>H231/10000000</f>
        <v>206.42183220000001</v>
      </c>
      <c r="I232" s="134">
        <f>(G232-H232)/H232</f>
        <v>0.5740009171374848</v>
      </c>
      <c r="J232" s="133">
        <f>J231/10000000</f>
        <v>1270.4788146999999</v>
      </c>
      <c r="K232" s="133">
        <f>K231/10000000</f>
        <v>668.34218620000001</v>
      </c>
      <c r="L232" s="134">
        <f>(J232-K232)/K232</f>
        <v>0.90094062732082536</v>
      </c>
      <c r="M232" s="133">
        <f>M231/10000000</f>
        <v>872.34953010000004</v>
      </c>
      <c r="N232" s="133">
        <f>N231/10000000</f>
        <v>388.76344990000001</v>
      </c>
      <c r="O232" s="134">
        <f>(M232-N232)/N232</f>
        <v>1.2439082951969658</v>
      </c>
    </row>
    <row r="233" spans="1:15" x14ac:dyDescent="0.25">
      <c r="A233" s="17"/>
      <c r="B233" s="17"/>
      <c r="C233" s="17"/>
      <c r="D233" s="17"/>
      <c r="E233" s="17"/>
      <c r="F233" s="17"/>
      <c r="G233" s="17"/>
      <c r="H233" s="17"/>
      <c r="I233" s="17"/>
      <c r="J233" s="17"/>
      <c r="K233" s="17"/>
      <c r="L233" s="17"/>
      <c r="M233" s="17"/>
      <c r="N233" s="17"/>
      <c r="O233"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196" activePane="bottomLeft" state="frozen"/>
      <selection pane="bottomLeft" activeCell="A222" sqref="A222:A225"/>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7" t="s">
        <v>311</v>
      </c>
      <c r="B3" s="308"/>
      <c r="C3" s="308"/>
      <c r="D3" s="308"/>
      <c r="E3" s="308"/>
      <c r="F3" s="308"/>
      <c r="G3" s="308"/>
      <c r="H3" s="308"/>
      <c r="I3" s="308"/>
      <c r="J3" s="308"/>
      <c r="K3" s="308"/>
      <c r="L3" s="267"/>
      <c r="M3" s="267"/>
      <c r="N3" s="267"/>
      <c r="O3" s="309"/>
    </row>
    <row r="4" spans="1:19" s="104" customFormat="1" x14ac:dyDescent="0.25">
      <c r="A4" s="286" t="s">
        <v>330</v>
      </c>
      <c r="B4" s="286" t="s">
        <v>311</v>
      </c>
      <c r="C4" s="286"/>
      <c r="D4" s="286"/>
      <c r="E4" s="286"/>
      <c r="F4" s="286"/>
      <c r="G4" s="286"/>
      <c r="H4" s="286" t="s">
        <v>365</v>
      </c>
      <c r="I4" s="286"/>
      <c r="J4" s="286"/>
      <c r="K4" s="286"/>
      <c r="L4" s="286" t="s">
        <v>309</v>
      </c>
      <c r="M4" s="286"/>
      <c r="N4" s="286"/>
      <c r="O4" s="286"/>
    </row>
    <row r="5" spans="1:19" s="104" customFormat="1" x14ac:dyDescent="0.25">
      <c r="A5" s="305"/>
      <c r="B5" s="305" t="s">
        <v>316</v>
      </c>
      <c r="C5" s="305"/>
      <c r="D5" s="305"/>
      <c r="E5" s="305" t="s">
        <v>317</v>
      </c>
      <c r="F5" s="305"/>
      <c r="G5" s="305"/>
      <c r="H5" s="305" t="s">
        <v>336</v>
      </c>
      <c r="I5" s="305"/>
      <c r="J5" s="305" t="s">
        <v>342</v>
      </c>
      <c r="K5" s="305"/>
      <c r="L5" s="305" t="s">
        <v>336</v>
      </c>
      <c r="M5" s="305"/>
      <c r="N5" s="305" t="s">
        <v>342</v>
      </c>
      <c r="O5" s="306"/>
    </row>
    <row r="6" spans="1:19" s="104" customFormat="1" x14ac:dyDescent="0.25">
      <c r="A6" s="76" t="s">
        <v>318</v>
      </c>
      <c r="B6" s="3">
        <f>'Total Valume'!B6</f>
        <v>46146</v>
      </c>
      <c r="C6" s="76" t="s">
        <v>322</v>
      </c>
      <c r="D6" s="76" t="s">
        <v>328</v>
      </c>
      <c r="E6" s="3">
        <f>B6</f>
        <v>46146</v>
      </c>
      <c r="F6" s="76" t="s">
        <v>322</v>
      </c>
      <c r="G6" s="76" t="s">
        <v>328</v>
      </c>
      <c r="H6" s="3">
        <f>E6</f>
        <v>46146</v>
      </c>
      <c r="I6" s="76" t="s">
        <v>333</v>
      </c>
      <c r="J6" s="3">
        <f>E6</f>
        <v>46146</v>
      </c>
      <c r="K6" s="76" t="s">
        <v>333</v>
      </c>
      <c r="L6" s="3">
        <f>E6</f>
        <v>46146</v>
      </c>
      <c r="M6" s="76" t="s">
        <v>333</v>
      </c>
      <c r="N6" s="3">
        <f>E6</f>
        <v>46146</v>
      </c>
      <c r="O6" s="76" t="s">
        <v>333</v>
      </c>
    </row>
    <row r="7" spans="1:19" x14ac:dyDescent="0.25">
      <c r="A7" s="105" t="str">
        <f>'Data Vlaue (Cr)'!C2</f>
        <v>360ONE</v>
      </c>
      <c r="B7" s="143">
        <f>VLOOKUP($A7,'Data shares'!$C:$FA,118)</f>
        <v>0.5</v>
      </c>
      <c r="C7" s="143">
        <f>VLOOKUP($A7,'Data shares'!$C:$FA,119)</f>
        <v>0.49</v>
      </c>
      <c r="D7" s="143">
        <f>VLOOKUP($A7,'Data shares'!$C:$FA,121)*100</f>
        <v>2.04</v>
      </c>
      <c r="E7" s="143">
        <f>VLOOKUP($A7,'Data shares'!$C:$FA,124)</f>
        <v>0.55000000000000004</v>
      </c>
      <c r="F7" s="143">
        <f>VLOOKUP($A7,'Data shares'!$C:$FA,125)</f>
        <v>0.71</v>
      </c>
      <c r="G7" s="143">
        <f>VLOOKUP($A7,'Data shares'!$C:$FA,127)*100</f>
        <v>-22.54</v>
      </c>
      <c r="H7" s="103">
        <f>VLOOKUP($A7,'OI(Volume)'!$A$7:$O$445,8)</f>
        <v>1117500</v>
      </c>
      <c r="I7" s="103">
        <f>VLOOKUP($A7,'OI(Volume)'!$A$7:$O$445,9)</f>
        <v>94000</v>
      </c>
      <c r="J7" s="103">
        <f>VLOOKUP($A7,'OI(Volume)'!$A$7:$O$445,11)</f>
        <v>557500</v>
      </c>
      <c r="K7" s="103">
        <f>VLOOKUP($A7,'OI(Volume)'!$A$7:$O$445,12)</f>
        <v>52000</v>
      </c>
      <c r="L7" s="103">
        <f>VLOOKUP($A7,'OI(Value)'!$A$7:$O$329,8,0)</f>
        <v>120</v>
      </c>
      <c r="M7" s="103">
        <f>VLOOKUP($A7,'OI(Value)'!$A$7:$O$329,9,0)</f>
        <v>10</v>
      </c>
      <c r="N7" s="103">
        <f>VLOOKUP($A7,'OI(Value)'!$A$7:$O$329,11,0)</f>
        <v>60</v>
      </c>
      <c r="O7" s="103">
        <f>VLOOKUP($A7,'OI(Value)'!$A$7:$O$329,12,0)</f>
        <v>6</v>
      </c>
      <c r="P7" s="179">
        <f>VLOOKUP(A7,'OI(Value)'!A7:O182,8,0)</f>
        <v>120</v>
      </c>
      <c r="Q7" s="179">
        <f>VLOOKUP(A7,'OI(Value)'!A7:O182,9,0)</f>
        <v>10</v>
      </c>
      <c r="R7" s="179">
        <f>VLOOKUP(A7,'OI(Value)'!A7:O182,11,0)</f>
        <v>60</v>
      </c>
      <c r="S7" s="179">
        <f>VLOOKUP(A7,'OI(Value)'!A7:O182,12,0)</f>
        <v>6</v>
      </c>
    </row>
    <row r="8" spans="1:19" x14ac:dyDescent="0.25">
      <c r="A8" s="105" t="str">
        <f>'Data Vlaue (Cr)'!C3</f>
        <v>ABB</v>
      </c>
      <c r="B8" s="143">
        <f>VLOOKUP($A8,'Data shares'!$C:$FA,118)</f>
        <v>0.52</v>
      </c>
      <c r="C8" s="143">
        <f>VLOOKUP($A8,'Data shares'!$C:$FA,119)</f>
        <v>0.65</v>
      </c>
      <c r="D8" s="143">
        <f>VLOOKUP($A8,'Data shares'!$C:$FA,121)*100</f>
        <v>-20</v>
      </c>
      <c r="E8" s="143">
        <f>VLOOKUP($A8,'Data shares'!$C:$FA,124)</f>
        <v>0.3</v>
      </c>
      <c r="F8" s="143">
        <f>VLOOKUP($A8,'Data shares'!$C:$FA,125)</f>
        <v>0.75</v>
      </c>
      <c r="G8" s="143">
        <f>VLOOKUP($A8,'Data shares'!$C:$FA,127)*100</f>
        <v>-60</v>
      </c>
      <c r="H8" s="103">
        <f>VLOOKUP($A8,'OI(Volume)'!$A$7:$O$445,8)</f>
        <v>936625</v>
      </c>
      <c r="I8" s="103">
        <f>VLOOKUP($A8,'OI(Volume)'!$A$7:$O$445,9)</f>
        <v>303250</v>
      </c>
      <c r="J8" s="103">
        <f>VLOOKUP($A8,'OI(Volume)'!$A$7:$O$445,11)</f>
        <v>482875</v>
      </c>
      <c r="K8" s="103">
        <f>VLOOKUP($A8,'OI(Volume)'!$A$7:$O$445,12)</f>
        <v>71875</v>
      </c>
      <c r="L8" s="103">
        <f>VLOOKUP($A8,'OI(Value)'!$A$7:$O$329,8,0)</f>
        <v>680</v>
      </c>
      <c r="M8" s="103">
        <f>VLOOKUP($A8,'OI(Value)'!$A$7:$O$329,9,0)</f>
        <v>220</v>
      </c>
      <c r="N8" s="103">
        <f>VLOOKUP($A8,'OI(Value)'!$A$7:$O$329,11,0)</f>
        <v>351</v>
      </c>
      <c r="O8" s="103">
        <f>VLOOKUP($A8,'OI(Value)'!$A$7:$O$329,12,0)</f>
        <v>52</v>
      </c>
      <c r="P8" s="179">
        <f>VLOOKUP(A8,'OI(Value)'!A8:O232,8,0)</f>
        <v>680</v>
      </c>
      <c r="Q8" s="179">
        <f>VLOOKUP(A8,'OI(Value)'!A8:O232,9,0)</f>
        <v>220</v>
      </c>
      <c r="R8" s="179">
        <f>VLOOKUP(A8,'OI(Value)'!A8:O232,11,0)</f>
        <v>351</v>
      </c>
      <c r="S8" s="179">
        <f>VLOOKUP(A8,'OI(Value)'!A8:O232,11,0)</f>
        <v>351</v>
      </c>
    </row>
    <row r="9" spans="1:19" x14ac:dyDescent="0.25">
      <c r="A9" s="105" t="str">
        <f>'Data Vlaue (Cr)'!C4</f>
        <v>ABCAPITAL</v>
      </c>
      <c r="B9" s="143">
        <f>VLOOKUP($A9,'Data shares'!$C:$FA,118)</f>
        <v>0.7</v>
      </c>
      <c r="C9" s="143">
        <f>VLOOKUP($A9,'Data shares'!$C:$FA,119)</f>
        <v>1.06</v>
      </c>
      <c r="D9" s="143">
        <f>VLOOKUP($A9,'Data shares'!$C:$FA,121)*100</f>
        <v>-33.96</v>
      </c>
      <c r="E9" s="143">
        <f>VLOOKUP($A9,'Data shares'!$C:$FA,124)</f>
        <v>0.47</v>
      </c>
      <c r="F9" s="143">
        <f>VLOOKUP($A9,'Data shares'!$C:$FA,125)</f>
        <v>0.61</v>
      </c>
      <c r="G9" s="143">
        <f>VLOOKUP($A9,'Data shares'!$C:$FA,127)*100</f>
        <v>-22.95</v>
      </c>
      <c r="H9" s="103">
        <f>VLOOKUP($A9,'OI(Volume)'!$A$7:$O$445,8)</f>
        <v>15741800</v>
      </c>
      <c r="I9" s="103">
        <f>VLOOKUP($A9,'OI(Volume)'!$A$7:$O$445,9)</f>
        <v>8968300</v>
      </c>
      <c r="J9" s="103">
        <f>VLOOKUP($A9,'OI(Volume)'!$A$7:$O$445,11)</f>
        <v>11051500</v>
      </c>
      <c r="K9" s="103">
        <f>VLOOKUP($A9,'OI(Volume)'!$A$7:$O$445,12)</f>
        <v>3878100</v>
      </c>
      <c r="L9" s="103">
        <f>VLOOKUP($A9,'OI(Value)'!$A$7:$O$329,8,0)</f>
        <v>545</v>
      </c>
      <c r="M9" s="103">
        <f>VLOOKUP($A9,'OI(Value)'!$A$7:$O$329,9,0)</f>
        <v>311</v>
      </c>
      <c r="N9" s="103">
        <f>VLOOKUP($A9,'OI(Value)'!$A$7:$O$329,11,0)</f>
        <v>383</v>
      </c>
      <c r="O9" s="103">
        <f>VLOOKUP($A9,'OI(Value)'!$A$7:$O$329,12,0)</f>
        <v>134</v>
      </c>
      <c r="P9" s="179">
        <f>VLOOKUP(A9,'OI(Value)'!A9:O233,8,0)</f>
        <v>545</v>
      </c>
      <c r="Q9" s="179">
        <f>VLOOKUP(A9,'OI(Value)'!A9:O233,9,0)</f>
        <v>311</v>
      </c>
      <c r="R9" s="179">
        <f>VLOOKUP(A9,'OI(Value)'!A9:O233,11,0)</f>
        <v>383</v>
      </c>
      <c r="S9" s="179">
        <f>VLOOKUP(A9,'OI(Value)'!A9:O233,11,0)</f>
        <v>383</v>
      </c>
    </row>
    <row r="10" spans="1:19" x14ac:dyDescent="0.25">
      <c r="A10" s="105" t="str">
        <f>'Data Vlaue (Cr)'!C5</f>
        <v>ADANIENSOL</v>
      </c>
      <c r="B10" s="143">
        <f>VLOOKUP($A10,'Data shares'!$C:$FA,118)</f>
        <v>0.82</v>
      </c>
      <c r="C10" s="143">
        <f>VLOOKUP($A10,'Data shares'!$C:$FA,119)</f>
        <v>0.65</v>
      </c>
      <c r="D10" s="143">
        <f>VLOOKUP($A10,'Data shares'!$C:$FA,121)*100</f>
        <v>26.150000000000002</v>
      </c>
      <c r="E10" s="143">
        <f>VLOOKUP($A10,'Data shares'!$C:$FA,124)</f>
        <v>0.52</v>
      </c>
      <c r="F10" s="143">
        <f>VLOOKUP($A10,'Data shares'!$C:$FA,125)</f>
        <v>0.63</v>
      </c>
      <c r="G10" s="143">
        <f>VLOOKUP($A10,'Data shares'!$C:$FA,127)*100</f>
        <v>-17.46</v>
      </c>
      <c r="H10" s="103">
        <f>VLOOKUP($A10,'OI(Volume)'!$A$7:$O$445,8)</f>
        <v>5191425</v>
      </c>
      <c r="I10" s="103">
        <f>VLOOKUP($A10,'OI(Volume)'!$A$7:$O$445,9)</f>
        <v>-429300</v>
      </c>
      <c r="J10" s="103">
        <f>VLOOKUP($A10,'OI(Volume)'!$A$7:$O$445,11)</f>
        <v>4245750</v>
      </c>
      <c r="K10" s="103">
        <f>VLOOKUP($A10,'OI(Volume)'!$A$7:$O$445,12)</f>
        <v>614925</v>
      </c>
      <c r="L10" s="103">
        <f>VLOOKUP($A10,'OI(Value)'!$A$7:$O$329,8,0)</f>
        <v>730</v>
      </c>
      <c r="M10" s="103">
        <f>VLOOKUP($A10,'OI(Value)'!$A$7:$O$329,9,0)</f>
        <v>-60</v>
      </c>
      <c r="N10" s="103">
        <f>VLOOKUP($A10,'OI(Value)'!$A$7:$O$329,11,0)</f>
        <v>597</v>
      </c>
      <c r="O10" s="103">
        <f>VLOOKUP($A10,'OI(Value)'!$A$7:$O$329,12,0)</f>
        <v>87</v>
      </c>
      <c r="P10" s="179">
        <f>VLOOKUP(A10,'OI(Value)'!A10:O234,8,0)</f>
        <v>730</v>
      </c>
      <c r="Q10" s="179">
        <f>VLOOKUP(A10,'OI(Value)'!A10:O234,9,0)</f>
        <v>-60</v>
      </c>
      <c r="R10" s="179">
        <f>VLOOKUP(A10,'OI(Value)'!A10:O234,11,0)</f>
        <v>597</v>
      </c>
      <c r="S10" s="179">
        <f>VLOOKUP(A10,'OI(Value)'!A10:O234,11,0)</f>
        <v>597</v>
      </c>
    </row>
    <row r="11" spans="1:19" x14ac:dyDescent="0.25">
      <c r="A11" s="105" t="str">
        <f>'Data Vlaue (Cr)'!C6</f>
        <v>ADANIENT</v>
      </c>
      <c r="B11" s="143">
        <f>VLOOKUP($A11,'Data shares'!$C:$FA,118)</f>
        <v>0.76</v>
      </c>
      <c r="C11" s="143">
        <f>VLOOKUP($A11,'Data shares'!$C:$FA,119)</f>
        <v>0.75</v>
      </c>
      <c r="D11" s="143">
        <f>VLOOKUP($A11,'Data shares'!$C:$FA,121)*100</f>
        <v>1.3299999999999998</v>
      </c>
      <c r="E11" s="143">
        <f>VLOOKUP($A11,'Data shares'!$C:$FA,124)</f>
        <v>0.6</v>
      </c>
      <c r="F11" s="143">
        <f>VLOOKUP($A11,'Data shares'!$C:$FA,125)</f>
        <v>0.52</v>
      </c>
      <c r="G11" s="143">
        <f>VLOOKUP($A11,'Data shares'!$C:$FA,127)*100</f>
        <v>15.379999999999999</v>
      </c>
      <c r="H11" s="103">
        <f>VLOOKUP($A11,'OI(Volume)'!$A$7:$O$445,8)</f>
        <v>7337205</v>
      </c>
      <c r="I11" s="103">
        <f>VLOOKUP($A11,'OI(Volume)'!$A$7:$O$445,9)</f>
        <v>799074</v>
      </c>
      <c r="J11" s="103">
        <f>VLOOKUP($A11,'OI(Volume)'!$A$7:$O$445,11)</f>
        <v>5591355</v>
      </c>
      <c r="K11" s="103">
        <f>VLOOKUP($A11,'OI(Volume)'!$A$7:$O$445,12)</f>
        <v>689379</v>
      </c>
      <c r="L11" s="103">
        <f>VLOOKUP($A11,'OI(Value)'!$A$7:$O$329,8,0)</f>
        <v>1827</v>
      </c>
      <c r="M11" s="103">
        <f>VLOOKUP($A11,'OI(Value)'!$A$7:$O$329,9,0)</f>
        <v>199</v>
      </c>
      <c r="N11" s="103">
        <f>VLOOKUP($A11,'OI(Value)'!$A$7:$O$329,11,0)</f>
        <v>1393</v>
      </c>
      <c r="O11" s="103">
        <f>VLOOKUP($A11,'OI(Value)'!$A$7:$O$329,12,0)</f>
        <v>172</v>
      </c>
      <c r="P11" s="179">
        <f>VLOOKUP(A11,'OI(Value)'!A11:O235,8,0)</f>
        <v>1827</v>
      </c>
      <c r="Q11" s="179">
        <f>VLOOKUP(A11,'OI(Value)'!A11:O235,9,0)</f>
        <v>199</v>
      </c>
      <c r="R11" s="179">
        <f>VLOOKUP(A11,'OI(Value)'!A11:O235,11,0)</f>
        <v>1393</v>
      </c>
      <c r="S11" s="179">
        <f>VLOOKUP(A11,'OI(Value)'!A11:O235,11,0)</f>
        <v>1393</v>
      </c>
    </row>
    <row r="12" spans="1:19" x14ac:dyDescent="0.25">
      <c r="A12" s="105" t="str">
        <f>'Data Vlaue (Cr)'!C7</f>
        <v>ADANIGREEN</v>
      </c>
      <c r="B12" s="143">
        <f>VLOOKUP($A12,'Data shares'!$C:$FA,118)</f>
        <v>0.76</v>
      </c>
      <c r="C12" s="143">
        <f>VLOOKUP($A12,'Data shares'!$C:$FA,119)</f>
        <v>0.74</v>
      </c>
      <c r="D12" s="143">
        <f>VLOOKUP($A12,'Data shares'!$C:$FA,121)*100</f>
        <v>2.7</v>
      </c>
      <c r="E12" s="143">
        <f>VLOOKUP($A12,'Data shares'!$C:$FA,124)</f>
        <v>0.43</v>
      </c>
      <c r="F12" s="143">
        <f>VLOOKUP($A12,'Data shares'!$C:$FA,125)</f>
        <v>0.81</v>
      </c>
      <c r="G12" s="143">
        <f>VLOOKUP($A12,'Data shares'!$C:$FA,127)*100</f>
        <v>-46.910000000000004</v>
      </c>
      <c r="H12" s="103">
        <f>VLOOKUP($A12,'OI(Volume)'!$A$7:$O$445,8)</f>
        <v>6364800</v>
      </c>
      <c r="I12" s="103">
        <f>VLOOKUP($A12,'OI(Volume)'!$A$7:$O$445,9)</f>
        <v>730200</v>
      </c>
      <c r="J12" s="103">
        <f>VLOOKUP($A12,'OI(Volume)'!$A$7:$O$445,11)</f>
        <v>4861200</v>
      </c>
      <c r="K12" s="103">
        <f>VLOOKUP($A12,'OI(Volume)'!$A$7:$O$445,12)</f>
        <v>671400</v>
      </c>
      <c r="L12" s="103">
        <f>VLOOKUP($A12,'OI(Value)'!$A$7:$O$329,8,0)</f>
        <v>826</v>
      </c>
      <c r="M12" s="103">
        <f>VLOOKUP($A12,'OI(Value)'!$A$7:$O$329,9,0)</f>
        <v>95</v>
      </c>
      <c r="N12" s="103">
        <f>VLOOKUP($A12,'OI(Value)'!$A$7:$O$329,11,0)</f>
        <v>631</v>
      </c>
      <c r="O12" s="103">
        <f>VLOOKUP($A12,'OI(Value)'!$A$7:$O$329,12,0)</f>
        <v>87</v>
      </c>
      <c r="P12" s="179">
        <f>VLOOKUP(A12,'OI(Value)'!A12:O236,8,0)</f>
        <v>826</v>
      </c>
      <c r="Q12" s="179">
        <f>VLOOKUP(A12,'OI(Value)'!A12:O236,9,0)</f>
        <v>95</v>
      </c>
      <c r="R12" s="179">
        <f>VLOOKUP(A12,'OI(Value)'!A12:O236,11,0)</f>
        <v>631</v>
      </c>
      <c r="S12" s="179">
        <f>VLOOKUP(A12,'OI(Value)'!A12:O236,11,0)</f>
        <v>631</v>
      </c>
    </row>
    <row r="13" spans="1:19" x14ac:dyDescent="0.25">
      <c r="A13" s="105" t="str">
        <f>'Data Vlaue (Cr)'!C8</f>
        <v>ADANIPORTS</v>
      </c>
      <c r="B13" s="143">
        <f>VLOOKUP($A13,'Data shares'!$C:$FA,118)</f>
        <v>0.81</v>
      </c>
      <c r="C13" s="143">
        <f>VLOOKUP($A13,'Data shares'!$C:$FA,119)</f>
        <v>0.8</v>
      </c>
      <c r="D13" s="143">
        <f>VLOOKUP($A13,'Data shares'!$C:$FA,121)*100</f>
        <v>1.25</v>
      </c>
      <c r="E13" s="143">
        <f>VLOOKUP($A13,'Data shares'!$C:$FA,124)</f>
        <v>0.49</v>
      </c>
      <c r="F13" s="143">
        <f>VLOOKUP($A13,'Data shares'!$C:$FA,125)</f>
        <v>0.59</v>
      </c>
      <c r="G13" s="143">
        <f>VLOOKUP($A13,'Data shares'!$C:$FA,127)*100</f>
        <v>-16.950000000000003</v>
      </c>
      <c r="H13" s="103">
        <f>VLOOKUP($A13,'OI(Volume)'!$A$7:$O$445,8)</f>
        <v>7983800</v>
      </c>
      <c r="I13" s="103">
        <f>VLOOKUP($A13,'OI(Volume)'!$A$7:$O$445,9)</f>
        <v>1978375</v>
      </c>
      <c r="J13" s="103">
        <f>VLOOKUP($A13,'OI(Volume)'!$A$7:$O$445,11)</f>
        <v>6502750</v>
      </c>
      <c r="K13" s="103">
        <f>VLOOKUP($A13,'OI(Volume)'!$A$7:$O$445,12)</f>
        <v>1672950</v>
      </c>
      <c r="L13" s="103">
        <f>VLOOKUP($A13,'OI(Value)'!$A$7:$O$329,8,0)</f>
        <v>1396</v>
      </c>
      <c r="M13" s="103">
        <f>VLOOKUP($A13,'OI(Value)'!$A$7:$O$329,9,0)</f>
        <v>346</v>
      </c>
      <c r="N13" s="103">
        <f>VLOOKUP($A13,'OI(Value)'!$A$7:$O$329,11,0)</f>
        <v>1137</v>
      </c>
      <c r="O13" s="103">
        <f>VLOOKUP($A13,'OI(Value)'!$A$7:$O$329,12,0)</f>
        <v>292</v>
      </c>
      <c r="P13" s="179">
        <f>VLOOKUP(A13,'OI(Value)'!A13:O237,8,0)</f>
        <v>1396</v>
      </c>
      <c r="Q13" s="179">
        <f>VLOOKUP(A13,'OI(Value)'!A13:O237,9,0)</f>
        <v>346</v>
      </c>
      <c r="R13" s="179">
        <f>VLOOKUP(A13,'OI(Value)'!A13:O237,11,0)</f>
        <v>1137</v>
      </c>
      <c r="S13" s="179">
        <f>VLOOKUP(A13,'OI(Value)'!A13:O237,11,0)</f>
        <v>1137</v>
      </c>
    </row>
    <row r="14" spans="1:19" x14ac:dyDescent="0.25">
      <c r="A14" s="105" t="str">
        <f>'Data Vlaue (Cr)'!C9</f>
        <v>ADANIPOWER</v>
      </c>
      <c r="B14" s="143">
        <f>VLOOKUP($A14,'Data shares'!$C:$FA,118)</f>
        <v>0.66</v>
      </c>
      <c r="C14" s="143">
        <f>VLOOKUP($A14,'Data shares'!$C:$FA,119)</f>
        <v>0.64</v>
      </c>
      <c r="D14" s="143">
        <f>VLOOKUP($A14,'Data shares'!$C:$FA,121)*100</f>
        <v>3.1300000000000003</v>
      </c>
      <c r="E14" s="143">
        <f>VLOOKUP($A14,'Data shares'!$C:$FA,124)</f>
        <v>0.43</v>
      </c>
      <c r="F14" s="143">
        <f>VLOOKUP($A14,'Data shares'!$C:$FA,125)</f>
        <v>0.44</v>
      </c>
      <c r="G14" s="143">
        <f>VLOOKUP($A14,'Data shares'!$C:$FA,127)*100</f>
        <v>-2.27</v>
      </c>
      <c r="H14" s="103">
        <f>VLOOKUP($A14,'OI(Volume)'!$A$7:$O$445,8)</f>
        <v>30643600</v>
      </c>
      <c r="I14" s="103">
        <f>VLOOKUP($A14,'OI(Volume)'!$A$7:$O$445,9)</f>
        <v>-788100</v>
      </c>
      <c r="J14" s="103">
        <f>VLOOKUP($A14,'OI(Volume)'!$A$7:$O$445,11)</f>
        <v>20323750</v>
      </c>
      <c r="K14" s="103">
        <f>VLOOKUP($A14,'OI(Volume)'!$A$7:$O$445,12)</f>
        <v>152650</v>
      </c>
      <c r="L14" s="103">
        <f>VLOOKUP($A14,'OI(Value)'!$A$7:$O$329,8,0)</f>
        <v>699</v>
      </c>
      <c r="M14" s="103">
        <f>VLOOKUP($A14,'OI(Value)'!$A$7:$O$329,9,0)</f>
        <v>-18</v>
      </c>
      <c r="N14" s="103">
        <f>VLOOKUP($A14,'OI(Value)'!$A$7:$O$329,11,0)</f>
        <v>463</v>
      </c>
      <c r="O14" s="103">
        <f>VLOOKUP($A14,'OI(Value)'!$A$7:$O$329,12,0)</f>
        <v>3</v>
      </c>
      <c r="P14" s="179">
        <f>VLOOKUP(A14,'OI(Value)'!A14:O238,8,0)</f>
        <v>699</v>
      </c>
      <c r="Q14" s="179">
        <f>VLOOKUP(A14,'OI(Value)'!A14:O238,9,0)</f>
        <v>-18</v>
      </c>
      <c r="R14" s="179">
        <f>VLOOKUP(A14,'OI(Value)'!A14:O238,11,0)</f>
        <v>463</v>
      </c>
      <c r="S14" s="179">
        <f>VLOOKUP(A14,'OI(Value)'!A14:O238,11,0)</f>
        <v>463</v>
      </c>
    </row>
    <row r="15" spans="1:19" x14ac:dyDescent="0.25">
      <c r="A15" s="105" t="str">
        <f>'Data Vlaue (Cr)'!C10</f>
        <v>ALKEM</v>
      </c>
      <c r="B15" s="143">
        <f>VLOOKUP($A15,'Data shares'!$C:$FA,118)</f>
        <v>0.66</v>
      </c>
      <c r="C15" s="143">
        <f>VLOOKUP($A15,'Data shares'!$C:$FA,119)</f>
        <v>0.86</v>
      </c>
      <c r="D15" s="143">
        <f>VLOOKUP($A15,'Data shares'!$C:$FA,121)*100</f>
        <v>-23.26</v>
      </c>
      <c r="E15" s="143">
        <f>VLOOKUP($A15,'Data shares'!$C:$FA,124)</f>
        <v>0.39</v>
      </c>
      <c r="F15" s="143">
        <f>VLOOKUP($A15,'Data shares'!$C:$FA,125)</f>
        <v>0.49</v>
      </c>
      <c r="G15" s="143">
        <f>VLOOKUP($A15,'Data shares'!$C:$FA,127)*100</f>
        <v>-20.41</v>
      </c>
      <c r="H15" s="103">
        <f>VLOOKUP($A15,'OI(Volume)'!$A$7:$O$445,8)</f>
        <v>196375</v>
      </c>
      <c r="I15" s="103">
        <f>VLOOKUP($A15,'OI(Volume)'!$A$7:$O$445,9)</f>
        <v>65500</v>
      </c>
      <c r="J15" s="103">
        <f>VLOOKUP($A15,'OI(Volume)'!$A$7:$O$445,11)</f>
        <v>128750</v>
      </c>
      <c r="K15" s="103">
        <f>VLOOKUP($A15,'OI(Volume)'!$A$7:$O$445,12)</f>
        <v>15875</v>
      </c>
      <c r="L15" s="103">
        <f>VLOOKUP($A15,'OI(Value)'!$A$7:$O$329,8,0)</f>
        <v>105</v>
      </c>
      <c r="M15" s="103">
        <f>VLOOKUP($A15,'OI(Value)'!$A$7:$O$329,9,0)</f>
        <v>35</v>
      </c>
      <c r="N15" s="103">
        <f>VLOOKUP($A15,'OI(Value)'!$A$7:$O$329,11,0)</f>
        <v>69</v>
      </c>
      <c r="O15" s="103">
        <f>VLOOKUP($A15,'OI(Value)'!$A$7:$O$329,12,0)</f>
        <v>8</v>
      </c>
      <c r="P15" s="179">
        <f>VLOOKUP(A15,'OI(Value)'!A15:O239,8,0)</f>
        <v>105</v>
      </c>
      <c r="Q15" s="179">
        <f>VLOOKUP(A15,'OI(Value)'!A15:O239,9,0)</f>
        <v>35</v>
      </c>
      <c r="R15" s="179">
        <f>VLOOKUP(A15,'OI(Value)'!A15:O239,11,0)</f>
        <v>69</v>
      </c>
      <c r="S15" s="179">
        <f>VLOOKUP(A15,'OI(Value)'!A15:O239,11,0)</f>
        <v>69</v>
      </c>
    </row>
    <row r="16" spans="1:19" x14ac:dyDescent="0.25">
      <c r="A16" s="105" t="str">
        <f>'Data Vlaue (Cr)'!C11</f>
        <v>AMBER</v>
      </c>
      <c r="B16" s="143">
        <f>VLOOKUP($A16,'Data shares'!$C:$FA,118)</f>
        <v>0.5</v>
      </c>
      <c r="C16" s="143">
        <f>VLOOKUP($A16,'Data shares'!$C:$FA,119)</f>
        <v>0.53</v>
      </c>
      <c r="D16" s="143">
        <f>VLOOKUP($A16,'Data shares'!$C:$FA,121)*100</f>
        <v>-5.66</v>
      </c>
      <c r="E16" s="143">
        <f>VLOOKUP($A16,'Data shares'!$C:$FA,124)</f>
        <v>0.47</v>
      </c>
      <c r="F16" s="143">
        <f>VLOOKUP($A16,'Data shares'!$C:$FA,125)</f>
        <v>0.74</v>
      </c>
      <c r="G16" s="143">
        <f>VLOOKUP($A16,'Data shares'!$C:$FA,127)*100</f>
        <v>-36.49</v>
      </c>
      <c r="H16" s="103">
        <f>VLOOKUP($A16,'OI(Volume)'!$A$7:$O$445,8)</f>
        <v>422200</v>
      </c>
      <c r="I16" s="103">
        <f>VLOOKUP($A16,'OI(Volume)'!$A$7:$O$445,9)</f>
        <v>46600</v>
      </c>
      <c r="J16" s="103">
        <f>VLOOKUP($A16,'OI(Volume)'!$A$7:$O$445,11)</f>
        <v>210000</v>
      </c>
      <c r="K16" s="103">
        <f>VLOOKUP($A16,'OI(Volume)'!$A$7:$O$445,12)</f>
        <v>11600</v>
      </c>
      <c r="L16" s="103">
        <f>VLOOKUP($A16,'OI(Value)'!$A$7:$O$329,8,0)</f>
        <v>340</v>
      </c>
      <c r="M16" s="103">
        <f>VLOOKUP($A16,'OI(Value)'!$A$7:$O$329,9,0)</f>
        <v>38</v>
      </c>
      <c r="N16" s="103">
        <f>VLOOKUP($A16,'OI(Value)'!$A$7:$O$329,11,0)</f>
        <v>169</v>
      </c>
      <c r="O16" s="103">
        <f>VLOOKUP($A16,'OI(Value)'!$A$7:$O$329,12,0)</f>
        <v>9</v>
      </c>
      <c r="P16" s="179">
        <f>VLOOKUP(A16,'OI(Value)'!A16:O240,8,0)</f>
        <v>340</v>
      </c>
      <c r="Q16" s="179">
        <f>VLOOKUP(A16,'OI(Value)'!A16:O240,9,0)</f>
        <v>38</v>
      </c>
      <c r="R16" s="179">
        <f>VLOOKUP(A16,'OI(Value)'!A16:O240,11,0)</f>
        <v>169</v>
      </c>
      <c r="S16" s="179">
        <f>VLOOKUP(A16,'OI(Value)'!A16:O240,11,0)</f>
        <v>169</v>
      </c>
    </row>
    <row r="17" spans="1:19" x14ac:dyDescent="0.25">
      <c r="A17" s="105" t="str">
        <f>'Data Vlaue (Cr)'!C12</f>
        <v>AMBUJACEM</v>
      </c>
      <c r="B17" s="143">
        <f>VLOOKUP($A17,'Data shares'!$C:$FA,118)</f>
        <v>0.55000000000000004</v>
      </c>
      <c r="C17" s="143">
        <f>VLOOKUP($A17,'Data shares'!$C:$FA,119)</f>
        <v>0.81</v>
      </c>
      <c r="D17" s="143">
        <f>VLOOKUP($A17,'Data shares'!$C:$FA,121)*100</f>
        <v>-32.1</v>
      </c>
      <c r="E17" s="143">
        <f>VLOOKUP($A17,'Data shares'!$C:$FA,124)</f>
        <v>0.46</v>
      </c>
      <c r="F17" s="143">
        <f>VLOOKUP($A17,'Data shares'!$C:$FA,125)</f>
        <v>0.43</v>
      </c>
      <c r="G17" s="143">
        <f>VLOOKUP($A17,'Data shares'!$C:$FA,127)*100</f>
        <v>6.98</v>
      </c>
      <c r="H17" s="103">
        <f>VLOOKUP($A17,'OI(Volume)'!$A$7:$O$445,8)</f>
        <v>18998700</v>
      </c>
      <c r="I17" s="103">
        <f>VLOOKUP($A17,'OI(Volume)'!$A$7:$O$445,9)</f>
        <v>7684950</v>
      </c>
      <c r="J17" s="103">
        <f>VLOOKUP($A17,'OI(Volume)'!$A$7:$O$445,11)</f>
        <v>10534650</v>
      </c>
      <c r="K17" s="103">
        <f>VLOOKUP($A17,'OI(Volume)'!$A$7:$O$445,12)</f>
        <v>1396500</v>
      </c>
      <c r="L17" s="103">
        <f>VLOOKUP($A17,'OI(Value)'!$A$7:$O$329,8,0)</f>
        <v>850</v>
      </c>
      <c r="M17" s="103">
        <f>VLOOKUP($A17,'OI(Value)'!$A$7:$O$329,9,0)</f>
        <v>344</v>
      </c>
      <c r="N17" s="103">
        <f>VLOOKUP($A17,'OI(Value)'!$A$7:$O$329,11,0)</f>
        <v>471</v>
      </c>
      <c r="O17" s="103">
        <f>VLOOKUP($A17,'OI(Value)'!$A$7:$O$329,12,0)</f>
        <v>62</v>
      </c>
      <c r="P17" s="179">
        <f>VLOOKUP(A17,'OI(Value)'!A17:O241,8,0)</f>
        <v>850</v>
      </c>
      <c r="Q17" s="179">
        <f>VLOOKUP(A17,'OI(Value)'!A17:O241,9,0)</f>
        <v>344</v>
      </c>
      <c r="R17" s="179">
        <f>VLOOKUP(A17,'OI(Value)'!A17:O241,11,0)</f>
        <v>471</v>
      </c>
      <c r="S17" s="179">
        <f>VLOOKUP(A17,'OI(Value)'!A17:O241,11,0)</f>
        <v>471</v>
      </c>
    </row>
    <row r="18" spans="1:19" x14ac:dyDescent="0.25">
      <c r="A18" s="105" t="str">
        <f>'Data Vlaue (Cr)'!C13</f>
        <v>ANGELONE</v>
      </c>
      <c r="B18" s="143">
        <f>VLOOKUP($A18,'Data shares'!$C:$FA,118)</f>
        <v>0.61</v>
      </c>
      <c r="C18" s="143">
        <f>VLOOKUP($A18,'Data shares'!$C:$FA,119)</f>
        <v>0.68</v>
      </c>
      <c r="D18" s="143">
        <f>VLOOKUP($A18,'Data shares'!$C:$FA,121)*100</f>
        <v>-10.290000000000001</v>
      </c>
      <c r="E18" s="143">
        <f>VLOOKUP($A18,'Data shares'!$C:$FA,124)</f>
        <v>0.56000000000000005</v>
      </c>
      <c r="F18" s="143">
        <f>VLOOKUP($A18,'Data shares'!$C:$FA,125)</f>
        <v>0.57999999999999996</v>
      </c>
      <c r="G18" s="143">
        <f>VLOOKUP($A18,'Data shares'!$C:$FA,127)*100</f>
        <v>-3.45</v>
      </c>
      <c r="H18" s="103">
        <f>VLOOKUP($A18,'OI(Volume)'!$A$7:$O$445,8)</f>
        <v>11672500</v>
      </c>
      <c r="I18" s="103">
        <f>VLOOKUP($A18,'OI(Volume)'!$A$7:$O$445,9)</f>
        <v>1562500</v>
      </c>
      <c r="J18" s="103">
        <f>VLOOKUP($A18,'OI(Volume)'!$A$7:$O$445,11)</f>
        <v>7155000</v>
      </c>
      <c r="K18" s="103">
        <f>VLOOKUP($A18,'OI(Volume)'!$A$7:$O$445,12)</f>
        <v>270000</v>
      </c>
      <c r="L18" s="103">
        <f>VLOOKUP($A18,'OI(Value)'!$A$7:$O$329,8,0)</f>
        <v>361</v>
      </c>
      <c r="M18" s="103">
        <f>VLOOKUP($A18,'OI(Value)'!$A$7:$O$329,9,0)</f>
        <v>48</v>
      </c>
      <c r="N18" s="103">
        <f>VLOOKUP($A18,'OI(Value)'!$A$7:$O$329,11,0)</f>
        <v>221</v>
      </c>
      <c r="O18" s="103">
        <f>VLOOKUP($A18,'OI(Value)'!$A$7:$O$329,12,0)</f>
        <v>8</v>
      </c>
      <c r="P18" s="179">
        <f>VLOOKUP(A18,'OI(Value)'!A18:O242,8,0)</f>
        <v>361</v>
      </c>
      <c r="Q18" s="179">
        <f>VLOOKUP(A18,'OI(Value)'!A18:O242,9,0)</f>
        <v>48</v>
      </c>
      <c r="R18" s="179">
        <f>VLOOKUP(A18,'OI(Value)'!A18:O242,11,0)</f>
        <v>221</v>
      </c>
      <c r="S18" s="179">
        <f>VLOOKUP(A18,'OI(Value)'!A18:O242,11,0)</f>
        <v>221</v>
      </c>
    </row>
    <row r="19" spans="1:19" x14ac:dyDescent="0.25">
      <c r="A19" s="105" t="str">
        <f>'Data Vlaue (Cr)'!C14</f>
        <v>APLAPOLLO</v>
      </c>
      <c r="B19" s="143">
        <f>VLOOKUP($A19,'Data shares'!$C:$FA,118)</f>
        <v>0.56999999999999995</v>
      </c>
      <c r="C19" s="143">
        <f>VLOOKUP($A19,'Data shares'!$C:$FA,119)</f>
        <v>0.76</v>
      </c>
      <c r="D19" s="143">
        <f>VLOOKUP($A19,'Data shares'!$C:$FA,121)*100</f>
        <v>-25</v>
      </c>
      <c r="E19" s="143">
        <f>VLOOKUP($A19,'Data shares'!$C:$FA,124)</f>
        <v>0.47</v>
      </c>
      <c r="F19" s="143">
        <f>VLOOKUP($A19,'Data shares'!$C:$FA,125)</f>
        <v>0.76</v>
      </c>
      <c r="G19" s="143">
        <f>VLOOKUP($A19,'Data shares'!$C:$FA,127)*100</f>
        <v>-38.159999999999997</v>
      </c>
      <c r="H19" s="103">
        <f>VLOOKUP($A19,'OI(Volume)'!$A$7:$O$445,8)</f>
        <v>1591800</v>
      </c>
      <c r="I19" s="103">
        <f>VLOOKUP($A19,'OI(Volume)'!$A$7:$O$445,9)</f>
        <v>779450</v>
      </c>
      <c r="J19" s="103">
        <f>VLOOKUP($A19,'OI(Volume)'!$A$7:$O$445,11)</f>
        <v>903700</v>
      </c>
      <c r="K19" s="103">
        <f>VLOOKUP($A19,'OI(Volume)'!$A$7:$O$445,12)</f>
        <v>283500</v>
      </c>
      <c r="L19" s="103">
        <f>VLOOKUP($A19,'OI(Value)'!$A$7:$O$329,8,0)</f>
        <v>300</v>
      </c>
      <c r="M19" s="103">
        <f>VLOOKUP($A19,'OI(Value)'!$A$7:$O$329,9,0)</f>
        <v>147</v>
      </c>
      <c r="N19" s="103">
        <f>VLOOKUP($A19,'OI(Value)'!$A$7:$O$329,11,0)</f>
        <v>170</v>
      </c>
      <c r="O19" s="103">
        <f>VLOOKUP($A19,'OI(Value)'!$A$7:$O$329,12,0)</f>
        <v>53</v>
      </c>
      <c r="P19" s="179">
        <f>VLOOKUP(A19,'OI(Value)'!A19:O243,8,0)</f>
        <v>300</v>
      </c>
      <c r="Q19" s="179">
        <f>VLOOKUP(A19,'OI(Value)'!A19:O243,9,0)</f>
        <v>147</v>
      </c>
      <c r="R19" s="179">
        <f>VLOOKUP(A19,'OI(Value)'!A19:O243,11,0)</f>
        <v>170</v>
      </c>
      <c r="S19" s="179">
        <f>VLOOKUP(A19,'OI(Value)'!A19:O243,11,0)</f>
        <v>170</v>
      </c>
    </row>
    <row r="20" spans="1:19" x14ac:dyDescent="0.25">
      <c r="A20" s="105" t="str">
        <f>'Data Vlaue (Cr)'!C15</f>
        <v>APOLLOHOSP</v>
      </c>
      <c r="B20" s="143">
        <f>VLOOKUP($A20,'Data shares'!$C:$FA,118)</f>
        <v>0.65</v>
      </c>
      <c r="C20" s="143">
        <f>VLOOKUP($A20,'Data shares'!$C:$FA,119)</f>
        <v>0.65</v>
      </c>
      <c r="D20" s="143">
        <f>VLOOKUP($A20,'Data shares'!$C:$FA,121)*100</f>
        <v>0</v>
      </c>
      <c r="E20" s="143">
        <f>VLOOKUP($A20,'Data shares'!$C:$FA,124)</f>
        <v>0.62</v>
      </c>
      <c r="F20" s="143">
        <f>VLOOKUP($A20,'Data shares'!$C:$FA,125)</f>
        <v>0.82</v>
      </c>
      <c r="G20" s="143">
        <f>VLOOKUP($A20,'Data shares'!$C:$FA,127)*100</f>
        <v>-24.39</v>
      </c>
      <c r="H20" s="103">
        <f>VLOOKUP($A20,'OI(Volume)'!$A$7:$O$445,8)</f>
        <v>644750</v>
      </c>
      <c r="I20" s="103">
        <f>VLOOKUP($A20,'OI(Volume)'!$A$7:$O$445,9)</f>
        <v>85375</v>
      </c>
      <c r="J20" s="103">
        <f>VLOOKUP($A20,'OI(Volume)'!$A$7:$O$445,11)</f>
        <v>416500</v>
      </c>
      <c r="K20" s="103">
        <f>VLOOKUP($A20,'OI(Volume)'!$A$7:$O$445,12)</f>
        <v>51375</v>
      </c>
      <c r="L20" s="103">
        <f>VLOOKUP($A20,'OI(Value)'!$A$7:$O$329,8,0)</f>
        <v>502</v>
      </c>
      <c r="M20" s="103">
        <f>VLOOKUP($A20,'OI(Value)'!$A$7:$O$329,9,0)</f>
        <v>66</v>
      </c>
      <c r="N20" s="103">
        <f>VLOOKUP($A20,'OI(Value)'!$A$7:$O$329,11,0)</f>
        <v>324</v>
      </c>
      <c r="O20" s="103">
        <f>VLOOKUP($A20,'OI(Value)'!$A$7:$O$329,12,0)</f>
        <v>40</v>
      </c>
      <c r="P20" s="179">
        <f>VLOOKUP(A20,'OI(Value)'!A20:O244,8,0)</f>
        <v>502</v>
      </c>
      <c r="Q20" s="179">
        <f>VLOOKUP(A20,'OI(Value)'!A20:O244,9,0)</f>
        <v>66</v>
      </c>
      <c r="R20" s="179">
        <f>VLOOKUP(A20,'OI(Value)'!A20:O244,11,0)</f>
        <v>324</v>
      </c>
      <c r="S20" s="179">
        <f>VLOOKUP(A20,'OI(Value)'!A20:O244,11,0)</f>
        <v>324</v>
      </c>
    </row>
    <row r="21" spans="1:19" x14ac:dyDescent="0.25">
      <c r="A21" s="105" t="str">
        <f>'Data Vlaue (Cr)'!C16</f>
        <v>ASHOKLEY</v>
      </c>
      <c r="B21" s="143">
        <f>VLOOKUP($A21,'Data shares'!$C:$FA,118)</f>
        <v>0.6</v>
      </c>
      <c r="C21" s="143">
        <f>VLOOKUP($A21,'Data shares'!$C:$FA,119)</f>
        <v>0.65</v>
      </c>
      <c r="D21" s="143">
        <f>VLOOKUP($A21,'Data shares'!$C:$FA,121)*100</f>
        <v>-7.6899999999999995</v>
      </c>
      <c r="E21" s="143">
        <f>VLOOKUP($A21,'Data shares'!$C:$FA,124)</f>
        <v>0.43</v>
      </c>
      <c r="F21" s="143">
        <f>VLOOKUP($A21,'Data shares'!$C:$FA,125)</f>
        <v>0.47</v>
      </c>
      <c r="G21" s="143">
        <f>VLOOKUP($A21,'Data shares'!$C:$FA,127)*100</f>
        <v>-8.51</v>
      </c>
      <c r="H21" s="103">
        <f>VLOOKUP($A21,'OI(Volume)'!$A$7:$O$445,8)</f>
        <v>80415000</v>
      </c>
      <c r="I21" s="103">
        <f>VLOOKUP($A21,'OI(Volume)'!$A$7:$O$445,9)</f>
        <v>9665000</v>
      </c>
      <c r="J21" s="103">
        <f>VLOOKUP($A21,'OI(Volume)'!$A$7:$O$445,11)</f>
        <v>48160000</v>
      </c>
      <c r="K21" s="103">
        <f>VLOOKUP($A21,'OI(Volume)'!$A$7:$O$445,12)</f>
        <v>2465000</v>
      </c>
      <c r="L21" s="103">
        <f>VLOOKUP($A21,'OI(Value)'!$A$7:$O$329,8,0)</f>
        <v>1292</v>
      </c>
      <c r="M21" s="103">
        <f>VLOOKUP($A21,'OI(Value)'!$A$7:$O$329,9,0)</f>
        <v>155</v>
      </c>
      <c r="N21" s="103">
        <f>VLOOKUP($A21,'OI(Value)'!$A$7:$O$329,11,0)</f>
        <v>774</v>
      </c>
      <c r="O21" s="103">
        <f>VLOOKUP($A21,'OI(Value)'!$A$7:$O$329,12,0)</f>
        <v>40</v>
      </c>
      <c r="P21" s="179">
        <f>VLOOKUP(A21,'OI(Value)'!A21:O245,8,0)</f>
        <v>1292</v>
      </c>
      <c r="Q21" s="179">
        <f>VLOOKUP(A21,'OI(Value)'!A21:O245,9,0)</f>
        <v>155</v>
      </c>
      <c r="R21" s="179">
        <f>VLOOKUP(A21,'OI(Value)'!A21:O245,11,0)</f>
        <v>774</v>
      </c>
      <c r="S21" s="179">
        <f>VLOOKUP(A21,'OI(Value)'!A21:O245,11,0)</f>
        <v>774</v>
      </c>
    </row>
    <row r="22" spans="1:19" x14ac:dyDescent="0.25">
      <c r="A22" s="105" t="str">
        <f>'Data Vlaue (Cr)'!C17</f>
        <v>ASIANPAINT</v>
      </c>
      <c r="B22" s="143">
        <f>VLOOKUP($A22,'Data shares'!$C:$FA,118)</f>
        <v>0.85</v>
      </c>
      <c r="C22" s="143">
        <f>VLOOKUP($A22,'Data shares'!$C:$FA,119)</f>
        <v>1.04</v>
      </c>
      <c r="D22" s="143">
        <f>VLOOKUP($A22,'Data shares'!$C:$FA,121)*100</f>
        <v>-18.27</v>
      </c>
      <c r="E22" s="143">
        <f>VLOOKUP($A22,'Data shares'!$C:$FA,124)</f>
        <v>0.64</v>
      </c>
      <c r="F22" s="143">
        <f>VLOOKUP($A22,'Data shares'!$C:$FA,125)</f>
        <v>1.1000000000000001</v>
      </c>
      <c r="G22" s="143">
        <f>VLOOKUP($A22,'Data shares'!$C:$FA,127)*100</f>
        <v>-41.82</v>
      </c>
      <c r="H22" s="103">
        <f>VLOOKUP($A22,'OI(Volume)'!$A$7:$O$445,8)</f>
        <v>3746500</v>
      </c>
      <c r="I22" s="103">
        <f>VLOOKUP($A22,'OI(Volume)'!$A$7:$O$445,9)</f>
        <v>1108500</v>
      </c>
      <c r="J22" s="103">
        <f>VLOOKUP($A22,'OI(Volume)'!$A$7:$O$445,11)</f>
        <v>3170000</v>
      </c>
      <c r="K22" s="103">
        <f>VLOOKUP($A22,'OI(Volume)'!$A$7:$O$445,12)</f>
        <v>423000</v>
      </c>
      <c r="L22" s="103">
        <f>VLOOKUP($A22,'OI(Value)'!$A$7:$O$329,8,0)</f>
        <v>922</v>
      </c>
      <c r="M22" s="103">
        <f>VLOOKUP($A22,'OI(Value)'!$A$7:$O$329,9,0)</f>
        <v>273</v>
      </c>
      <c r="N22" s="103">
        <f>VLOOKUP($A22,'OI(Value)'!$A$7:$O$329,11,0)</f>
        <v>780</v>
      </c>
      <c r="O22" s="103">
        <f>VLOOKUP($A22,'OI(Value)'!$A$7:$O$329,12,0)</f>
        <v>104</v>
      </c>
      <c r="P22" s="179">
        <f>VLOOKUP(A22,'OI(Value)'!A22:O246,8,0)</f>
        <v>922</v>
      </c>
      <c r="Q22" s="179">
        <f>VLOOKUP(A22,'OI(Value)'!A22:O246,9,0)</f>
        <v>273</v>
      </c>
      <c r="R22" s="179">
        <f>VLOOKUP(A22,'OI(Value)'!A22:O246,11,0)</f>
        <v>780</v>
      </c>
      <c r="S22" s="179">
        <f>VLOOKUP(A22,'OI(Value)'!A22:O246,11,0)</f>
        <v>780</v>
      </c>
    </row>
    <row r="23" spans="1:19" x14ac:dyDescent="0.25">
      <c r="A23" s="105" t="str">
        <f>'Data Vlaue (Cr)'!C18</f>
        <v>ASTRAL</v>
      </c>
      <c r="B23" s="143">
        <f>VLOOKUP($A23,'Data shares'!$C:$FA,118)</f>
        <v>0.68</v>
      </c>
      <c r="C23" s="143">
        <f>VLOOKUP($A23,'Data shares'!$C:$FA,119)</f>
        <v>0.72</v>
      </c>
      <c r="D23" s="143">
        <f>VLOOKUP($A23,'Data shares'!$C:$FA,121)*100</f>
        <v>-5.56</v>
      </c>
      <c r="E23" s="143">
        <f>VLOOKUP($A23,'Data shares'!$C:$FA,124)</f>
        <v>0.46</v>
      </c>
      <c r="F23" s="143">
        <f>VLOOKUP($A23,'Data shares'!$C:$FA,125)</f>
        <v>0.53</v>
      </c>
      <c r="G23" s="143">
        <f>VLOOKUP($A23,'Data shares'!$C:$FA,127)*100</f>
        <v>-13.209999999999999</v>
      </c>
      <c r="H23" s="103">
        <f>VLOOKUP($A23,'OI(Volume)'!$A$7:$O$445,8)</f>
        <v>1356600</v>
      </c>
      <c r="I23" s="103">
        <f>VLOOKUP($A23,'OI(Volume)'!$A$7:$O$445,9)</f>
        <v>75650</v>
      </c>
      <c r="J23" s="103">
        <f>VLOOKUP($A23,'OI(Volume)'!$A$7:$O$445,11)</f>
        <v>927775</v>
      </c>
      <c r="K23" s="103">
        <f>VLOOKUP($A23,'OI(Volume)'!$A$7:$O$445,12)</f>
        <v>9350</v>
      </c>
      <c r="L23" s="103">
        <f>VLOOKUP($A23,'OI(Value)'!$A$7:$O$329,8,0)</f>
        <v>211</v>
      </c>
      <c r="M23" s="103">
        <f>VLOOKUP($A23,'OI(Value)'!$A$7:$O$329,9,0)</f>
        <v>12</v>
      </c>
      <c r="N23" s="103">
        <f>VLOOKUP($A23,'OI(Value)'!$A$7:$O$329,11,0)</f>
        <v>145</v>
      </c>
      <c r="O23" s="103">
        <f>VLOOKUP($A23,'OI(Value)'!$A$7:$O$329,12,0)</f>
        <v>1</v>
      </c>
      <c r="P23" s="179">
        <f>VLOOKUP(A23,'OI(Value)'!A23:O247,8,0)</f>
        <v>211</v>
      </c>
      <c r="Q23" s="179">
        <f>VLOOKUP(A23,'OI(Value)'!A23:O247,9,0)</f>
        <v>12</v>
      </c>
      <c r="R23" s="179">
        <f>VLOOKUP(A23,'OI(Value)'!A23:O247,11,0)</f>
        <v>145</v>
      </c>
      <c r="S23" s="179">
        <f>VLOOKUP(A23,'OI(Value)'!A23:O247,11,0)</f>
        <v>145</v>
      </c>
    </row>
    <row r="24" spans="1:19" x14ac:dyDescent="0.25">
      <c r="A24" s="105" t="str">
        <f>'Data Vlaue (Cr)'!C19</f>
        <v>AUBANK</v>
      </c>
      <c r="B24" s="143">
        <f>VLOOKUP($A24,'Data shares'!$C:$FA,118)</f>
        <v>0.56000000000000005</v>
      </c>
      <c r="C24" s="143">
        <f>VLOOKUP($A24,'Data shares'!$C:$FA,119)</f>
        <v>0.54</v>
      </c>
      <c r="D24" s="143">
        <f>VLOOKUP($A24,'Data shares'!$C:$FA,121)*100</f>
        <v>3.6999999999999997</v>
      </c>
      <c r="E24" s="143">
        <f>VLOOKUP($A24,'Data shares'!$C:$FA,124)</f>
        <v>0.52</v>
      </c>
      <c r="F24" s="143">
        <f>VLOOKUP($A24,'Data shares'!$C:$FA,125)</f>
        <v>0.55000000000000004</v>
      </c>
      <c r="G24" s="143">
        <f>VLOOKUP($A24,'Data shares'!$C:$FA,127)*100</f>
        <v>-5.45</v>
      </c>
      <c r="H24" s="103">
        <f>VLOOKUP($A24,'OI(Volume)'!$A$7:$O$445,8)</f>
        <v>7492000</v>
      </c>
      <c r="I24" s="103">
        <f>VLOOKUP($A24,'OI(Volume)'!$A$7:$O$445,9)</f>
        <v>-191000</v>
      </c>
      <c r="J24" s="103">
        <f>VLOOKUP($A24,'OI(Volume)'!$A$7:$O$445,11)</f>
        <v>4161000</v>
      </c>
      <c r="K24" s="103">
        <f>VLOOKUP($A24,'OI(Volume)'!$A$7:$O$445,12)</f>
        <v>0</v>
      </c>
      <c r="L24" s="103">
        <f>VLOOKUP($A24,'OI(Value)'!$A$7:$O$329,8,0)</f>
        <v>765</v>
      </c>
      <c r="M24" s="103">
        <f>VLOOKUP($A24,'OI(Value)'!$A$7:$O$329,9,0)</f>
        <v>-20</v>
      </c>
      <c r="N24" s="103">
        <f>VLOOKUP($A24,'OI(Value)'!$A$7:$O$329,11,0)</f>
        <v>425</v>
      </c>
      <c r="O24" s="103">
        <f>VLOOKUP($A24,'OI(Value)'!$A$7:$O$329,12,0)</f>
        <v>0</v>
      </c>
      <c r="P24" s="179">
        <f>VLOOKUP(A24,'OI(Value)'!A24:O248,8,0)</f>
        <v>765</v>
      </c>
      <c r="Q24" s="179">
        <f>VLOOKUP(A24,'OI(Value)'!A24:O248,9,0)</f>
        <v>-20</v>
      </c>
      <c r="R24" s="179">
        <f>VLOOKUP(A24,'OI(Value)'!A24:O248,11,0)</f>
        <v>425</v>
      </c>
      <c r="S24" s="179">
        <f>VLOOKUP(A24,'OI(Value)'!A24:O248,11,0)</f>
        <v>425</v>
      </c>
    </row>
    <row r="25" spans="1:19" x14ac:dyDescent="0.25">
      <c r="A25" s="105" t="str">
        <f>'Data Vlaue (Cr)'!C20</f>
        <v>AUROPHARMA</v>
      </c>
      <c r="B25" s="143">
        <f>VLOOKUP($A25,'Data shares'!$C:$FA,118)</f>
        <v>0.56999999999999995</v>
      </c>
      <c r="C25" s="143">
        <f>VLOOKUP($A25,'Data shares'!$C:$FA,119)</f>
        <v>0.6</v>
      </c>
      <c r="D25" s="143">
        <f>VLOOKUP($A25,'Data shares'!$C:$FA,121)*100</f>
        <v>-5</v>
      </c>
      <c r="E25" s="143">
        <f>VLOOKUP($A25,'Data shares'!$C:$FA,124)</f>
        <v>0.53</v>
      </c>
      <c r="F25" s="143">
        <f>VLOOKUP($A25,'Data shares'!$C:$FA,125)</f>
        <v>0.59</v>
      </c>
      <c r="G25" s="143">
        <f>VLOOKUP($A25,'Data shares'!$C:$FA,127)*100</f>
        <v>-10.17</v>
      </c>
      <c r="H25" s="103">
        <f>VLOOKUP($A25,'OI(Volume)'!$A$7:$O$445,8)</f>
        <v>2778050</v>
      </c>
      <c r="I25" s="103">
        <f>VLOOKUP($A25,'OI(Volume)'!$A$7:$O$445,9)</f>
        <v>333850</v>
      </c>
      <c r="J25" s="103">
        <f>VLOOKUP($A25,'OI(Volume)'!$A$7:$O$445,11)</f>
        <v>1579600</v>
      </c>
      <c r="K25" s="103">
        <f>VLOOKUP($A25,'OI(Volume)'!$A$7:$O$445,12)</f>
        <v>110550</v>
      </c>
      <c r="L25" s="103">
        <f>VLOOKUP($A25,'OI(Value)'!$A$7:$O$329,8,0)</f>
        <v>383</v>
      </c>
      <c r="M25" s="103">
        <f>VLOOKUP($A25,'OI(Value)'!$A$7:$O$329,9,0)</f>
        <v>46</v>
      </c>
      <c r="N25" s="103">
        <f>VLOOKUP($A25,'OI(Value)'!$A$7:$O$329,11,0)</f>
        <v>218</v>
      </c>
      <c r="O25" s="103">
        <f>VLOOKUP($A25,'OI(Value)'!$A$7:$O$329,12,0)</f>
        <v>15</v>
      </c>
      <c r="P25" s="179">
        <f>VLOOKUP(A25,'OI(Value)'!A25:O249,8,0)</f>
        <v>383</v>
      </c>
      <c r="Q25" s="179">
        <f>VLOOKUP(A25,'OI(Value)'!A25:O249,9,0)</f>
        <v>46</v>
      </c>
      <c r="R25" s="179">
        <f>VLOOKUP(A25,'OI(Value)'!A25:O249,11,0)</f>
        <v>218</v>
      </c>
      <c r="S25" s="179">
        <f>VLOOKUP(A25,'OI(Value)'!A25:O249,11,0)</f>
        <v>218</v>
      </c>
    </row>
    <row r="26" spans="1:19" x14ac:dyDescent="0.25">
      <c r="A26" s="105" t="str">
        <f>'Data Vlaue (Cr)'!C21</f>
        <v>AXISBANK</v>
      </c>
      <c r="B26" s="143">
        <f>VLOOKUP($A26,'Data shares'!$C:$FA,118)</f>
        <v>0.7</v>
      </c>
      <c r="C26" s="143">
        <f>VLOOKUP($A26,'Data shares'!$C:$FA,119)</f>
        <v>0.7</v>
      </c>
      <c r="D26" s="143">
        <f>VLOOKUP($A26,'Data shares'!$C:$FA,121)*100</f>
        <v>0</v>
      </c>
      <c r="E26" s="143">
        <f>VLOOKUP($A26,'Data shares'!$C:$FA,124)</f>
        <v>0.49</v>
      </c>
      <c r="F26" s="143">
        <f>VLOOKUP($A26,'Data shares'!$C:$FA,125)</f>
        <v>0.71</v>
      </c>
      <c r="G26" s="143">
        <f>VLOOKUP($A26,'Data shares'!$C:$FA,127)*100</f>
        <v>-30.990000000000002</v>
      </c>
      <c r="H26" s="103">
        <f>VLOOKUP($A26,'OI(Volume)'!$A$7:$O$445,8)</f>
        <v>14793750</v>
      </c>
      <c r="I26" s="103">
        <f>VLOOKUP($A26,'OI(Volume)'!$A$7:$O$445,9)</f>
        <v>2231875</v>
      </c>
      <c r="J26" s="103">
        <f>VLOOKUP($A26,'OI(Volume)'!$A$7:$O$445,11)</f>
        <v>10312500</v>
      </c>
      <c r="K26" s="103">
        <f>VLOOKUP($A26,'OI(Volume)'!$A$7:$O$445,12)</f>
        <v>1505000</v>
      </c>
      <c r="L26" s="103">
        <f>VLOOKUP($A26,'OI(Value)'!$A$7:$O$329,8,0)</f>
        <v>1897</v>
      </c>
      <c r="M26" s="103">
        <f>VLOOKUP($A26,'OI(Value)'!$A$7:$O$329,9,0)</f>
        <v>286</v>
      </c>
      <c r="N26" s="103">
        <f>VLOOKUP($A26,'OI(Value)'!$A$7:$O$329,11,0)</f>
        <v>1322</v>
      </c>
      <c r="O26" s="103">
        <f>VLOOKUP($A26,'OI(Value)'!$A$7:$O$329,12,0)</f>
        <v>193</v>
      </c>
      <c r="P26" s="179">
        <f>VLOOKUP(A26,'OI(Value)'!A26:O250,8,0)</f>
        <v>1897</v>
      </c>
      <c r="Q26" s="179">
        <f>VLOOKUP(A26,'OI(Value)'!A26:O250,9,0)</f>
        <v>286</v>
      </c>
      <c r="R26" s="179">
        <f>VLOOKUP(A26,'OI(Value)'!A26:O250,11,0)</f>
        <v>1322</v>
      </c>
      <c r="S26" s="179">
        <f>VLOOKUP(A26,'OI(Value)'!A26:O250,11,0)</f>
        <v>1322</v>
      </c>
    </row>
    <row r="27" spans="1:19" x14ac:dyDescent="0.25">
      <c r="A27" s="105" t="str">
        <f>'Data Vlaue (Cr)'!C22</f>
        <v>BAJAJ-AUTO</v>
      </c>
      <c r="B27" s="143">
        <f>VLOOKUP($A27,'Data shares'!$C:$FA,118)</f>
        <v>0.79</v>
      </c>
      <c r="C27" s="143">
        <f>VLOOKUP($A27,'Data shares'!$C:$FA,119)</f>
        <v>0.89</v>
      </c>
      <c r="D27" s="143">
        <f>VLOOKUP($A27,'Data shares'!$C:$FA,121)*100</f>
        <v>-11.24</v>
      </c>
      <c r="E27" s="143">
        <f>VLOOKUP($A27,'Data shares'!$C:$FA,124)</f>
        <v>0.56000000000000005</v>
      </c>
      <c r="F27" s="143">
        <f>VLOOKUP($A27,'Data shares'!$C:$FA,125)</f>
        <v>0.42</v>
      </c>
      <c r="G27" s="143">
        <f>VLOOKUP($A27,'Data shares'!$C:$FA,127)*100</f>
        <v>33.33</v>
      </c>
      <c r="H27" s="103">
        <f>VLOOKUP($A27,'OI(Volume)'!$A$7:$O$445,8)</f>
        <v>1430700</v>
      </c>
      <c r="I27" s="103">
        <f>VLOOKUP($A27,'OI(Volume)'!$A$7:$O$445,9)</f>
        <v>344175</v>
      </c>
      <c r="J27" s="103">
        <f>VLOOKUP($A27,'OI(Volume)'!$A$7:$O$445,11)</f>
        <v>1137375</v>
      </c>
      <c r="K27" s="103">
        <f>VLOOKUP($A27,'OI(Volume)'!$A$7:$O$445,12)</f>
        <v>174750</v>
      </c>
      <c r="L27" s="103">
        <f>VLOOKUP($A27,'OI(Value)'!$A$7:$O$329,8,0)</f>
        <v>1455</v>
      </c>
      <c r="M27" s="103">
        <f>VLOOKUP($A27,'OI(Value)'!$A$7:$O$329,9,0)</f>
        <v>350</v>
      </c>
      <c r="N27" s="103">
        <f>VLOOKUP($A27,'OI(Value)'!$A$7:$O$329,11,0)</f>
        <v>1157</v>
      </c>
      <c r="O27" s="103">
        <f>VLOOKUP($A27,'OI(Value)'!$A$7:$O$329,12,0)</f>
        <v>178</v>
      </c>
      <c r="P27" s="179">
        <f>VLOOKUP(A27,'OI(Value)'!A27:O251,8,0)</f>
        <v>1455</v>
      </c>
      <c r="Q27" s="179">
        <f>VLOOKUP(A27,'OI(Value)'!A27:O251,9,0)</f>
        <v>350</v>
      </c>
      <c r="R27" s="179">
        <f>VLOOKUP(A27,'OI(Value)'!A27:O251,11,0)</f>
        <v>1157</v>
      </c>
      <c r="S27" s="179">
        <f>VLOOKUP(A27,'OI(Value)'!A27:O251,11,0)</f>
        <v>1157</v>
      </c>
    </row>
    <row r="28" spans="1:19" x14ac:dyDescent="0.25">
      <c r="A28" s="105" t="str">
        <f>'Data Vlaue (Cr)'!C23</f>
        <v>BAJAJFINSV</v>
      </c>
      <c r="B28" s="143">
        <f>VLOOKUP($A28,'Data shares'!$C:$FA,118)</f>
        <v>1.05</v>
      </c>
      <c r="C28" s="143">
        <f>VLOOKUP($A28,'Data shares'!$C:$FA,119)</f>
        <v>1.01</v>
      </c>
      <c r="D28" s="143">
        <f>VLOOKUP($A28,'Data shares'!$C:$FA,121)*100</f>
        <v>3.9600000000000004</v>
      </c>
      <c r="E28" s="143">
        <f>VLOOKUP($A28,'Data shares'!$C:$FA,124)</f>
        <v>0.66</v>
      </c>
      <c r="F28" s="143">
        <f>VLOOKUP($A28,'Data shares'!$C:$FA,125)</f>
        <v>0.63</v>
      </c>
      <c r="G28" s="143">
        <f>VLOOKUP($A28,'Data shares'!$C:$FA,127)*100</f>
        <v>4.7600000000000007</v>
      </c>
      <c r="H28" s="103">
        <f>VLOOKUP($A28,'OI(Volume)'!$A$7:$O$445,8)</f>
        <v>2778500</v>
      </c>
      <c r="I28" s="103">
        <f>VLOOKUP($A28,'OI(Volume)'!$A$7:$O$445,9)</f>
        <v>148500</v>
      </c>
      <c r="J28" s="103">
        <f>VLOOKUP($A28,'OI(Volume)'!$A$7:$O$445,11)</f>
        <v>2915500</v>
      </c>
      <c r="K28" s="103">
        <f>VLOOKUP($A28,'OI(Volume)'!$A$7:$O$445,12)</f>
        <v>264250</v>
      </c>
      <c r="L28" s="103">
        <f>VLOOKUP($A28,'OI(Value)'!$A$7:$O$329,8,0)</f>
        <v>495</v>
      </c>
      <c r="M28" s="103">
        <f>VLOOKUP($A28,'OI(Value)'!$A$7:$O$329,9,0)</f>
        <v>26</v>
      </c>
      <c r="N28" s="103">
        <f>VLOOKUP($A28,'OI(Value)'!$A$7:$O$329,11,0)</f>
        <v>519</v>
      </c>
      <c r="O28" s="103">
        <f>VLOOKUP($A28,'OI(Value)'!$A$7:$O$329,12,0)</f>
        <v>47</v>
      </c>
      <c r="P28" s="179">
        <f>VLOOKUP(A28,'OI(Value)'!A28:O252,8,0)</f>
        <v>495</v>
      </c>
      <c r="Q28" s="179">
        <f>VLOOKUP(A28,'OI(Value)'!A28:O252,9,0)</f>
        <v>26</v>
      </c>
      <c r="R28" s="179">
        <f>VLOOKUP(A28,'OI(Value)'!A28:O252,11,0)</f>
        <v>519</v>
      </c>
      <c r="S28" s="179">
        <f>VLOOKUP(A28,'OI(Value)'!A28:O252,11,0)</f>
        <v>519</v>
      </c>
    </row>
    <row r="29" spans="1:19" x14ac:dyDescent="0.25">
      <c r="A29" s="105" t="str">
        <f>'Data Vlaue (Cr)'!C24</f>
        <v>BAJAJHLDNG</v>
      </c>
      <c r="B29" s="143">
        <f>VLOOKUP($A29,'Data shares'!$C:$FA,118)</f>
        <v>0.44</v>
      </c>
      <c r="C29" s="143">
        <f>VLOOKUP($A29,'Data shares'!$C:$FA,119)</f>
        <v>0.45</v>
      </c>
      <c r="D29" s="143">
        <f>VLOOKUP($A29,'Data shares'!$C:$FA,121)*100</f>
        <v>-2.2200000000000002</v>
      </c>
      <c r="E29" s="143">
        <f>VLOOKUP($A29,'Data shares'!$C:$FA,124)</f>
        <v>0.15</v>
      </c>
      <c r="F29" s="143">
        <f>VLOOKUP($A29,'Data shares'!$C:$FA,125)</f>
        <v>0.24</v>
      </c>
      <c r="G29" s="143">
        <f>VLOOKUP($A29,'Data shares'!$C:$FA,127)*100</f>
        <v>-37.5</v>
      </c>
      <c r="H29" s="103">
        <f>VLOOKUP($A29,'OI(Volume)'!$A$7:$O$445,8)</f>
        <v>55750</v>
      </c>
      <c r="I29" s="103">
        <f>VLOOKUP($A29,'OI(Volume)'!$A$7:$O$445,9)</f>
        <v>19000</v>
      </c>
      <c r="J29" s="103">
        <f>VLOOKUP($A29,'OI(Volume)'!$A$7:$O$445,11)</f>
        <v>24550</v>
      </c>
      <c r="K29" s="103">
        <f>VLOOKUP($A29,'OI(Volume)'!$A$7:$O$445,12)</f>
        <v>8100</v>
      </c>
      <c r="L29" s="103">
        <f>VLOOKUP($A29,'OI(Value)'!$A$7:$O$329,8,0)</f>
        <v>58</v>
      </c>
      <c r="M29" s="103">
        <f>VLOOKUP($A29,'OI(Value)'!$A$7:$O$329,9,0)</f>
        <v>20</v>
      </c>
      <c r="N29" s="103">
        <f>VLOOKUP($A29,'OI(Value)'!$A$7:$O$329,11,0)</f>
        <v>26</v>
      </c>
      <c r="O29" s="103">
        <f>VLOOKUP($A29,'OI(Value)'!$A$7:$O$329,12,0)</f>
        <v>8</v>
      </c>
      <c r="P29" s="179">
        <f>VLOOKUP(A29,'OI(Value)'!A29:O253,8,0)</f>
        <v>58</v>
      </c>
      <c r="Q29" s="179">
        <f>VLOOKUP(A29,'OI(Value)'!A29:O253,9,0)</f>
        <v>20</v>
      </c>
      <c r="R29" s="179">
        <f>VLOOKUP(A29,'OI(Value)'!A29:O253,11,0)</f>
        <v>26</v>
      </c>
      <c r="S29" s="179">
        <f>VLOOKUP(A29,'OI(Value)'!A29:O253,11,0)</f>
        <v>26</v>
      </c>
    </row>
    <row r="30" spans="1:19" x14ac:dyDescent="0.25">
      <c r="A30" s="105" t="str">
        <f>'Data Vlaue (Cr)'!C25</f>
        <v>BAJFINANCE</v>
      </c>
      <c r="B30" s="143">
        <f>VLOOKUP($A30,'Data shares'!$C:$FA,118)</f>
        <v>0.75</v>
      </c>
      <c r="C30" s="143">
        <f>VLOOKUP($A30,'Data shares'!$C:$FA,119)</f>
        <v>0.71</v>
      </c>
      <c r="D30" s="143">
        <f>VLOOKUP($A30,'Data shares'!$C:$FA,121)*100</f>
        <v>5.63</v>
      </c>
      <c r="E30" s="143">
        <f>VLOOKUP($A30,'Data shares'!$C:$FA,124)</f>
        <v>0.63</v>
      </c>
      <c r="F30" s="143">
        <f>VLOOKUP($A30,'Data shares'!$C:$FA,125)</f>
        <v>0.55000000000000004</v>
      </c>
      <c r="G30" s="143">
        <f>VLOOKUP($A30,'Data shares'!$C:$FA,127)*100</f>
        <v>14.549999999999999</v>
      </c>
      <c r="H30" s="103">
        <f>VLOOKUP($A30,'OI(Volume)'!$A$7:$O$445,8)</f>
        <v>16751250</v>
      </c>
      <c r="I30" s="103">
        <f>VLOOKUP($A30,'OI(Volume)'!$A$7:$O$445,9)</f>
        <v>-872250</v>
      </c>
      <c r="J30" s="103">
        <f>VLOOKUP($A30,'OI(Volume)'!$A$7:$O$445,11)</f>
        <v>12618750</v>
      </c>
      <c r="K30" s="103">
        <f>VLOOKUP($A30,'OI(Volume)'!$A$7:$O$445,12)</f>
        <v>165000</v>
      </c>
      <c r="L30" s="103">
        <f>VLOOKUP($A30,'OI(Value)'!$A$7:$O$329,8,0)</f>
        <v>1597</v>
      </c>
      <c r="M30" s="103">
        <f>VLOOKUP($A30,'OI(Value)'!$A$7:$O$329,9,0)</f>
        <v>-83</v>
      </c>
      <c r="N30" s="103">
        <f>VLOOKUP($A30,'OI(Value)'!$A$7:$O$329,11,0)</f>
        <v>1203</v>
      </c>
      <c r="O30" s="103">
        <f>VLOOKUP($A30,'OI(Value)'!$A$7:$O$329,12,0)</f>
        <v>16</v>
      </c>
      <c r="P30" s="179">
        <f>VLOOKUP(A30,'OI(Value)'!A30:O254,8,0)</f>
        <v>1597</v>
      </c>
      <c r="Q30" s="179">
        <f>VLOOKUP(A30,'OI(Value)'!A30:O254,9,0)</f>
        <v>-83</v>
      </c>
      <c r="R30" s="179">
        <f>VLOOKUP(A30,'OI(Value)'!A30:O254,11,0)</f>
        <v>1203</v>
      </c>
      <c r="S30" s="179">
        <f>VLOOKUP(A30,'OI(Value)'!A30:O254,11,0)</f>
        <v>1203</v>
      </c>
    </row>
    <row r="31" spans="1:19" x14ac:dyDescent="0.25">
      <c r="A31" s="105" t="str">
        <f>'Data Vlaue (Cr)'!C26</f>
        <v>BANDHANBNK</v>
      </c>
      <c r="B31" s="143">
        <f>VLOOKUP($A31,'Data shares'!$C:$FA,118)</f>
        <v>0.74</v>
      </c>
      <c r="C31" s="143">
        <f>VLOOKUP($A31,'Data shares'!$C:$FA,119)</f>
        <v>0.62</v>
      </c>
      <c r="D31" s="143">
        <f>VLOOKUP($A31,'Data shares'!$C:$FA,121)*100</f>
        <v>19.350000000000001</v>
      </c>
      <c r="E31" s="143">
        <f>VLOOKUP($A31,'Data shares'!$C:$FA,124)</f>
        <v>0.44</v>
      </c>
      <c r="F31" s="143">
        <f>VLOOKUP($A31,'Data shares'!$C:$FA,125)</f>
        <v>0.57999999999999996</v>
      </c>
      <c r="G31" s="143">
        <f>VLOOKUP($A31,'Data shares'!$C:$FA,127)*100</f>
        <v>-24.14</v>
      </c>
      <c r="H31" s="103">
        <f>VLOOKUP($A31,'OI(Volume)'!$A$7:$O$445,8)</f>
        <v>46432800</v>
      </c>
      <c r="I31" s="103">
        <f>VLOOKUP($A31,'OI(Volume)'!$A$7:$O$445,9)</f>
        <v>4132800</v>
      </c>
      <c r="J31" s="103">
        <f>VLOOKUP($A31,'OI(Volume)'!$A$7:$O$445,11)</f>
        <v>34257600</v>
      </c>
      <c r="K31" s="103">
        <f>VLOOKUP($A31,'OI(Volume)'!$A$7:$O$445,12)</f>
        <v>7945200</v>
      </c>
      <c r="L31" s="103">
        <f>VLOOKUP($A31,'OI(Value)'!$A$7:$O$329,8,0)</f>
        <v>966</v>
      </c>
      <c r="M31" s="103">
        <f>VLOOKUP($A31,'OI(Value)'!$A$7:$O$329,9,0)</f>
        <v>86</v>
      </c>
      <c r="N31" s="103">
        <f>VLOOKUP($A31,'OI(Value)'!$A$7:$O$329,11,0)</f>
        <v>713</v>
      </c>
      <c r="O31" s="103">
        <f>VLOOKUP($A31,'OI(Value)'!$A$7:$O$329,12,0)</f>
        <v>165</v>
      </c>
      <c r="P31" s="179">
        <f>VLOOKUP(A31,'OI(Value)'!A31:O255,8,0)</f>
        <v>966</v>
      </c>
      <c r="Q31" s="179">
        <f>VLOOKUP(A31,'OI(Value)'!A31:O255,9,0)</f>
        <v>86</v>
      </c>
      <c r="R31" s="179">
        <f>VLOOKUP(A31,'OI(Value)'!A31:O255,11,0)</f>
        <v>713</v>
      </c>
      <c r="S31" s="179">
        <f>VLOOKUP(A31,'OI(Value)'!A31:O255,11,0)</f>
        <v>713</v>
      </c>
    </row>
    <row r="32" spans="1:19" x14ac:dyDescent="0.25">
      <c r="A32" s="105" t="str">
        <f>'Data Vlaue (Cr)'!C27</f>
        <v>BANKBARODA</v>
      </c>
      <c r="B32" s="143">
        <f>VLOOKUP($A32,'Data shares'!$C:$FA,118)</f>
        <v>0.81</v>
      </c>
      <c r="C32" s="143">
        <f>VLOOKUP($A32,'Data shares'!$C:$FA,119)</f>
        <v>0.84</v>
      </c>
      <c r="D32" s="143">
        <f>VLOOKUP($A32,'Data shares'!$C:$FA,121)*100</f>
        <v>-3.5700000000000003</v>
      </c>
      <c r="E32" s="143">
        <f>VLOOKUP($A32,'Data shares'!$C:$FA,124)</f>
        <v>0.48</v>
      </c>
      <c r="F32" s="143">
        <f>VLOOKUP($A32,'Data shares'!$C:$FA,125)</f>
        <v>0.59</v>
      </c>
      <c r="G32" s="143">
        <f>VLOOKUP($A32,'Data shares'!$C:$FA,127)*100</f>
        <v>-18.64</v>
      </c>
      <c r="H32" s="103">
        <f>VLOOKUP($A32,'OI(Volume)'!$A$7:$O$445,8)</f>
        <v>31677750</v>
      </c>
      <c r="I32" s="103">
        <f>VLOOKUP($A32,'OI(Volume)'!$A$7:$O$445,9)</f>
        <v>1836900</v>
      </c>
      <c r="J32" s="103">
        <f>VLOOKUP($A32,'OI(Volume)'!$A$7:$O$445,11)</f>
        <v>25520625</v>
      </c>
      <c r="K32" s="103">
        <f>VLOOKUP($A32,'OI(Volume)'!$A$7:$O$445,12)</f>
        <v>465075</v>
      </c>
      <c r="L32" s="103">
        <f>VLOOKUP($A32,'OI(Value)'!$A$7:$O$329,8,0)</f>
        <v>845</v>
      </c>
      <c r="M32" s="103">
        <f>VLOOKUP($A32,'OI(Value)'!$A$7:$O$329,9,0)</f>
        <v>49</v>
      </c>
      <c r="N32" s="103">
        <f>VLOOKUP($A32,'OI(Value)'!$A$7:$O$329,11,0)</f>
        <v>680</v>
      </c>
      <c r="O32" s="103">
        <f>VLOOKUP($A32,'OI(Value)'!$A$7:$O$329,12,0)</f>
        <v>12</v>
      </c>
      <c r="P32" s="179">
        <f>VLOOKUP(A32,'OI(Value)'!A32:O256,8,0)</f>
        <v>845</v>
      </c>
      <c r="Q32" s="179">
        <f>VLOOKUP(A32,'OI(Value)'!A32:O256,9,0)</f>
        <v>49</v>
      </c>
      <c r="R32" s="179">
        <f>VLOOKUP(A32,'OI(Value)'!A32:O256,11,0)</f>
        <v>680</v>
      </c>
      <c r="S32" s="179">
        <f>VLOOKUP(A32,'OI(Value)'!A32:O256,11,0)</f>
        <v>680</v>
      </c>
    </row>
    <row r="33" spans="1:19" x14ac:dyDescent="0.25">
      <c r="A33" s="105" t="str">
        <f>'Data Vlaue (Cr)'!C28</f>
        <v>BANKINDIA</v>
      </c>
      <c r="B33" s="143">
        <f>VLOOKUP($A33,'Data shares'!$C:$FA,118)</f>
        <v>0.83</v>
      </c>
      <c r="C33" s="143">
        <f>VLOOKUP($A33,'Data shares'!$C:$FA,119)</f>
        <v>0.89</v>
      </c>
      <c r="D33" s="143">
        <f>VLOOKUP($A33,'Data shares'!$C:$FA,121)*100</f>
        <v>-6.74</v>
      </c>
      <c r="E33" s="143">
        <f>VLOOKUP($A33,'Data shares'!$C:$FA,124)</f>
        <v>0.46</v>
      </c>
      <c r="F33" s="143">
        <f>VLOOKUP($A33,'Data shares'!$C:$FA,125)</f>
        <v>0.83</v>
      </c>
      <c r="G33" s="143">
        <f>VLOOKUP($A33,'Data shares'!$C:$FA,127)*100</f>
        <v>-44.58</v>
      </c>
      <c r="H33" s="103">
        <f>VLOOKUP($A33,'OI(Volume)'!$A$7:$O$445,8)</f>
        <v>17196400</v>
      </c>
      <c r="I33" s="103">
        <f>VLOOKUP($A33,'OI(Volume)'!$A$7:$O$445,9)</f>
        <v>2418000</v>
      </c>
      <c r="J33" s="103">
        <f>VLOOKUP($A33,'OI(Volume)'!$A$7:$O$445,11)</f>
        <v>14274000</v>
      </c>
      <c r="K33" s="103">
        <f>VLOOKUP($A33,'OI(Volume)'!$A$7:$O$445,12)</f>
        <v>1066000</v>
      </c>
      <c r="L33" s="103">
        <f>VLOOKUP($A33,'OI(Value)'!$A$7:$O$329,8,0)</f>
        <v>240</v>
      </c>
      <c r="M33" s="103">
        <f>VLOOKUP($A33,'OI(Value)'!$A$7:$O$329,9,0)</f>
        <v>34</v>
      </c>
      <c r="N33" s="103">
        <f>VLOOKUP($A33,'OI(Value)'!$A$7:$O$329,11,0)</f>
        <v>199</v>
      </c>
      <c r="O33" s="103">
        <f>VLOOKUP($A33,'OI(Value)'!$A$7:$O$329,12,0)</f>
        <v>15</v>
      </c>
      <c r="P33" s="179">
        <f>VLOOKUP(A33,'OI(Value)'!A33:O257,8,0)</f>
        <v>240</v>
      </c>
      <c r="Q33" s="179">
        <f>VLOOKUP(A33,'OI(Value)'!A33:O257,9,0)</f>
        <v>34</v>
      </c>
      <c r="R33" s="179">
        <f>VLOOKUP(A33,'OI(Value)'!A33:O257,11,0)</f>
        <v>199</v>
      </c>
      <c r="S33" s="179">
        <f>VLOOKUP(A33,'OI(Value)'!A33:O257,11,0)</f>
        <v>199</v>
      </c>
    </row>
    <row r="34" spans="1:19" x14ac:dyDescent="0.25">
      <c r="A34" s="105" t="str">
        <f>'Data Vlaue (Cr)'!C29</f>
        <v>BANKNIFTY</v>
      </c>
      <c r="B34" s="143">
        <f>VLOOKUP($A34,'Data shares'!$C:$FA,118)</f>
        <v>0.87</v>
      </c>
      <c r="C34" s="143">
        <f>VLOOKUP($A34,'Data shares'!$C:$FA,119)</f>
        <v>0.9</v>
      </c>
      <c r="D34" s="143">
        <f>VLOOKUP($A34,'Data shares'!$C:$FA,121)*100</f>
        <v>-3.3300000000000005</v>
      </c>
      <c r="E34" s="143">
        <f>VLOOKUP($A34,'Data shares'!$C:$FA,124)</f>
        <v>0.75</v>
      </c>
      <c r="F34" s="143">
        <f>VLOOKUP($A34,'Data shares'!$C:$FA,125)</f>
        <v>0.94</v>
      </c>
      <c r="G34" s="143">
        <f>VLOOKUP($A34,'Data shares'!$C:$FA,127)*100</f>
        <v>-20.21</v>
      </c>
      <c r="H34" s="103">
        <f>VLOOKUP($A34,'OI(Volume)'!$A$7:$O$445,8)</f>
        <v>13339140</v>
      </c>
      <c r="I34" s="103">
        <f>VLOOKUP($A34,'OI(Volume)'!$A$7:$O$445,9)</f>
        <v>1292010</v>
      </c>
      <c r="J34" s="103">
        <f>VLOOKUP($A34,'OI(Volume)'!$A$7:$O$445,11)</f>
        <v>11570880</v>
      </c>
      <c r="K34" s="103">
        <f>VLOOKUP($A34,'OI(Volume)'!$A$7:$O$445,12)</f>
        <v>721920</v>
      </c>
      <c r="L34" s="103">
        <f>VLOOKUP($A34,'OI(Value)'!$A$7:$O$329,8,0)</f>
        <v>73570</v>
      </c>
      <c r="M34" s="103">
        <f>VLOOKUP($A34,'OI(Value)'!$A$7:$O$329,9,0)</f>
        <v>7126</v>
      </c>
      <c r="N34" s="103">
        <f>VLOOKUP($A34,'OI(Value)'!$A$7:$O$329,11,0)</f>
        <v>63818</v>
      </c>
      <c r="O34" s="103">
        <f>VLOOKUP($A34,'OI(Value)'!$A$7:$O$329,12,0)</f>
        <v>3982</v>
      </c>
      <c r="P34" s="179">
        <f>VLOOKUP(A34,'OI(Value)'!A34:O258,8,0)</f>
        <v>73570</v>
      </c>
      <c r="Q34" s="179">
        <f>VLOOKUP(A34,'OI(Value)'!A34:O258,9,0)</f>
        <v>7126</v>
      </c>
      <c r="R34" s="179">
        <f>VLOOKUP(A34,'OI(Value)'!A34:O258,11,0)</f>
        <v>63818</v>
      </c>
      <c r="S34" s="179">
        <f>VLOOKUP(A34,'OI(Value)'!A34:O258,11,0)</f>
        <v>63818</v>
      </c>
    </row>
    <row r="35" spans="1:19" x14ac:dyDescent="0.25">
      <c r="A35" s="105" t="str">
        <f>'Data Vlaue (Cr)'!C30</f>
        <v>BDL</v>
      </c>
      <c r="B35" s="143">
        <f>VLOOKUP($A35,'Data shares'!$C:$FA,118)</f>
        <v>0.54</v>
      </c>
      <c r="C35" s="143">
        <f>VLOOKUP($A35,'Data shares'!$C:$FA,119)</f>
        <v>0.56000000000000005</v>
      </c>
      <c r="D35" s="143">
        <f>VLOOKUP($A35,'Data shares'!$C:$FA,121)*100</f>
        <v>-3.5700000000000003</v>
      </c>
      <c r="E35" s="143">
        <f>VLOOKUP($A35,'Data shares'!$C:$FA,124)</f>
        <v>0.31</v>
      </c>
      <c r="F35" s="143">
        <f>VLOOKUP($A35,'Data shares'!$C:$FA,125)</f>
        <v>0.72</v>
      </c>
      <c r="G35" s="143">
        <f>VLOOKUP($A35,'Data shares'!$C:$FA,127)*100</f>
        <v>-56.940000000000005</v>
      </c>
      <c r="H35" s="103">
        <f>VLOOKUP($A35,'OI(Volume)'!$A$7:$O$445,8)</f>
        <v>2024750</v>
      </c>
      <c r="I35" s="103">
        <f>VLOOKUP($A35,'OI(Volume)'!$A$7:$O$445,9)</f>
        <v>236600</v>
      </c>
      <c r="J35" s="103">
        <f>VLOOKUP($A35,'OI(Volume)'!$A$7:$O$445,11)</f>
        <v>1095150</v>
      </c>
      <c r="K35" s="103">
        <f>VLOOKUP($A35,'OI(Volume)'!$A$7:$O$445,12)</f>
        <v>85050</v>
      </c>
      <c r="L35" s="103">
        <f>VLOOKUP($A35,'OI(Value)'!$A$7:$O$329,8,0)</f>
        <v>279</v>
      </c>
      <c r="M35" s="103">
        <f>VLOOKUP($A35,'OI(Value)'!$A$7:$O$329,9,0)</f>
        <v>33</v>
      </c>
      <c r="N35" s="103">
        <f>VLOOKUP($A35,'OI(Value)'!$A$7:$O$329,11,0)</f>
        <v>151</v>
      </c>
      <c r="O35" s="103">
        <f>VLOOKUP($A35,'OI(Value)'!$A$7:$O$329,12,0)</f>
        <v>12</v>
      </c>
      <c r="P35" s="179">
        <f>VLOOKUP(A35,'OI(Value)'!A35:O259,8,0)</f>
        <v>279</v>
      </c>
      <c r="Q35" s="179">
        <f>VLOOKUP(A35,'OI(Value)'!A35:O259,9,0)</f>
        <v>33</v>
      </c>
      <c r="R35" s="179">
        <f>VLOOKUP(A35,'OI(Value)'!A35:O259,11,0)</f>
        <v>151</v>
      </c>
      <c r="S35" s="179">
        <f>VLOOKUP(A35,'OI(Value)'!A35:O259,11,0)</f>
        <v>151</v>
      </c>
    </row>
    <row r="36" spans="1:19" x14ac:dyDescent="0.25">
      <c r="A36" s="105" t="str">
        <f>'Data Vlaue (Cr)'!C31</f>
        <v>BEL</v>
      </c>
      <c r="B36" s="143">
        <f>VLOOKUP($A36,'Data shares'!$C:$FA,118)</f>
        <v>0.63</v>
      </c>
      <c r="C36" s="143">
        <f>VLOOKUP($A36,'Data shares'!$C:$FA,119)</f>
        <v>0.65</v>
      </c>
      <c r="D36" s="143">
        <f>VLOOKUP($A36,'Data shares'!$C:$FA,121)*100</f>
        <v>-3.08</v>
      </c>
      <c r="E36" s="143">
        <f>VLOOKUP($A36,'Data shares'!$C:$FA,124)</f>
        <v>0.44</v>
      </c>
      <c r="F36" s="143">
        <f>VLOOKUP($A36,'Data shares'!$C:$FA,125)</f>
        <v>0.45</v>
      </c>
      <c r="G36" s="143">
        <f>VLOOKUP($A36,'Data shares'!$C:$FA,127)*100</f>
        <v>-2.2200000000000002</v>
      </c>
      <c r="H36" s="103">
        <f>VLOOKUP($A36,'OI(Volume)'!$A$7:$O$445,8)</f>
        <v>37753950</v>
      </c>
      <c r="I36" s="103">
        <f>VLOOKUP($A36,'OI(Volume)'!$A$7:$O$445,9)</f>
        <v>4179525</v>
      </c>
      <c r="J36" s="103">
        <f>VLOOKUP($A36,'OI(Volume)'!$A$7:$O$445,11)</f>
        <v>23754750</v>
      </c>
      <c r="K36" s="103">
        <f>VLOOKUP($A36,'OI(Volume)'!$A$7:$O$445,12)</f>
        <v>1768425</v>
      </c>
      <c r="L36" s="103">
        <f>VLOOKUP($A36,'OI(Value)'!$A$7:$O$329,8,0)</f>
        <v>1645</v>
      </c>
      <c r="M36" s="103">
        <f>VLOOKUP($A36,'OI(Value)'!$A$7:$O$329,9,0)</f>
        <v>182</v>
      </c>
      <c r="N36" s="103">
        <f>VLOOKUP($A36,'OI(Value)'!$A$7:$O$329,11,0)</f>
        <v>1035</v>
      </c>
      <c r="O36" s="103">
        <f>VLOOKUP($A36,'OI(Value)'!$A$7:$O$329,12,0)</f>
        <v>77</v>
      </c>
      <c r="P36" s="179">
        <f>VLOOKUP(A36,'OI(Value)'!A36:O260,8,0)</f>
        <v>1645</v>
      </c>
      <c r="Q36" s="179">
        <f>VLOOKUP(A36,'OI(Value)'!A36:O260,9,0)</f>
        <v>182</v>
      </c>
      <c r="R36" s="179">
        <f>VLOOKUP(A36,'OI(Value)'!A36:O260,11,0)</f>
        <v>1035</v>
      </c>
      <c r="S36" s="179">
        <f>VLOOKUP(A36,'OI(Value)'!A36:O260,11,0)</f>
        <v>1035</v>
      </c>
    </row>
    <row r="37" spans="1:19" x14ac:dyDescent="0.25">
      <c r="A37" s="105" t="str">
        <f>'Data Vlaue (Cr)'!C32</f>
        <v>BHARATFORG</v>
      </c>
      <c r="B37" s="143">
        <f>VLOOKUP($A37,'Data shares'!$C:$FA,118)</f>
        <v>0.65</v>
      </c>
      <c r="C37" s="143">
        <f>VLOOKUP($A37,'Data shares'!$C:$FA,119)</f>
        <v>0.78</v>
      </c>
      <c r="D37" s="143">
        <f>VLOOKUP($A37,'Data shares'!$C:$FA,121)*100</f>
        <v>-16.669999999999998</v>
      </c>
      <c r="E37" s="143">
        <f>VLOOKUP($A37,'Data shares'!$C:$FA,124)</f>
        <v>0.7</v>
      </c>
      <c r="F37" s="143">
        <f>VLOOKUP($A37,'Data shares'!$C:$FA,125)</f>
        <v>0.84</v>
      </c>
      <c r="G37" s="143">
        <f>VLOOKUP($A37,'Data shares'!$C:$FA,127)*100</f>
        <v>-16.669999999999998</v>
      </c>
      <c r="H37" s="103">
        <f>VLOOKUP($A37,'OI(Volume)'!$A$7:$O$445,8)</f>
        <v>2401500</v>
      </c>
      <c r="I37" s="103">
        <f>VLOOKUP($A37,'OI(Volume)'!$A$7:$O$445,9)</f>
        <v>640500</v>
      </c>
      <c r="J37" s="103">
        <f>VLOOKUP($A37,'OI(Volume)'!$A$7:$O$445,11)</f>
        <v>1550500</v>
      </c>
      <c r="K37" s="103">
        <f>VLOOKUP($A37,'OI(Volume)'!$A$7:$O$445,12)</f>
        <v>172500</v>
      </c>
      <c r="L37" s="103">
        <f>VLOOKUP($A37,'OI(Value)'!$A$7:$O$329,8,0)</f>
        <v>444</v>
      </c>
      <c r="M37" s="103">
        <f>VLOOKUP($A37,'OI(Value)'!$A$7:$O$329,9,0)</f>
        <v>118</v>
      </c>
      <c r="N37" s="103">
        <f>VLOOKUP($A37,'OI(Value)'!$A$7:$O$329,11,0)</f>
        <v>286</v>
      </c>
      <c r="O37" s="103">
        <f>VLOOKUP($A37,'OI(Value)'!$A$7:$O$329,12,0)</f>
        <v>32</v>
      </c>
      <c r="P37" s="179">
        <f>VLOOKUP(A37,'OI(Value)'!A37:O261,8,0)</f>
        <v>444</v>
      </c>
      <c r="Q37" s="179">
        <f>VLOOKUP(A37,'OI(Value)'!A37:O261,9,0)</f>
        <v>118</v>
      </c>
      <c r="R37" s="179">
        <f>VLOOKUP(A37,'OI(Value)'!A37:O261,11,0)</f>
        <v>286</v>
      </c>
      <c r="S37" s="179">
        <f>VLOOKUP(A37,'OI(Value)'!A37:O261,11,0)</f>
        <v>286</v>
      </c>
    </row>
    <row r="38" spans="1:19" x14ac:dyDescent="0.25">
      <c r="A38" s="105" t="str">
        <f>'Data Vlaue (Cr)'!C33</f>
        <v>BHARTIARTL</v>
      </c>
      <c r="B38" s="143">
        <f>VLOOKUP($A38,'Data shares'!$C:$FA,118)</f>
        <v>0.63</v>
      </c>
      <c r="C38" s="143">
        <f>VLOOKUP($A38,'Data shares'!$C:$FA,119)</f>
        <v>0.83</v>
      </c>
      <c r="D38" s="143">
        <f>VLOOKUP($A38,'Data shares'!$C:$FA,121)*100</f>
        <v>-24.099999999999998</v>
      </c>
      <c r="E38" s="143">
        <f>VLOOKUP($A38,'Data shares'!$C:$FA,124)</f>
        <v>0.56999999999999995</v>
      </c>
      <c r="F38" s="143">
        <f>VLOOKUP($A38,'Data shares'!$C:$FA,125)</f>
        <v>0.49</v>
      </c>
      <c r="G38" s="143">
        <f>VLOOKUP($A38,'Data shares'!$C:$FA,127)*100</f>
        <v>16.329999999999998</v>
      </c>
      <c r="H38" s="103">
        <f>VLOOKUP($A38,'OI(Volume)'!$A$7:$O$445,8)</f>
        <v>10427200</v>
      </c>
      <c r="I38" s="103">
        <f>VLOOKUP($A38,'OI(Volume)'!$A$7:$O$445,9)</f>
        <v>3725900</v>
      </c>
      <c r="J38" s="103">
        <f>VLOOKUP($A38,'OI(Volume)'!$A$7:$O$445,11)</f>
        <v>6569250</v>
      </c>
      <c r="K38" s="103">
        <f>VLOOKUP($A38,'OI(Volume)'!$A$7:$O$445,12)</f>
        <v>1021725</v>
      </c>
      <c r="L38" s="103">
        <f>VLOOKUP($A38,'OI(Value)'!$A$7:$O$329,8,0)</f>
        <v>1916</v>
      </c>
      <c r="M38" s="103">
        <f>VLOOKUP($A38,'OI(Value)'!$A$7:$O$329,9,0)</f>
        <v>685</v>
      </c>
      <c r="N38" s="103">
        <f>VLOOKUP($A38,'OI(Value)'!$A$7:$O$329,11,0)</f>
        <v>1207</v>
      </c>
      <c r="O38" s="103">
        <f>VLOOKUP($A38,'OI(Value)'!$A$7:$O$329,12,0)</f>
        <v>188</v>
      </c>
      <c r="P38" s="179">
        <f>VLOOKUP(A38,'OI(Value)'!A38:O262,8,0)</f>
        <v>1916</v>
      </c>
      <c r="Q38" s="179">
        <f>VLOOKUP(A38,'OI(Value)'!A38:O262,9,0)</f>
        <v>685</v>
      </c>
      <c r="R38" s="179">
        <f>VLOOKUP(A38,'OI(Value)'!A38:O262,11,0)</f>
        <v>1207</v>
      </c>
      <c r="S38" s="179">
        <f>VLOOKUP(A38,'OI(Value)'!A38:O262,11,0)</f>
        <v>1207</v>
      </c>
    </row>
    <row r="39" spans="1:19" x14ac:dyDescent="0.25">
      <c r="A39" s="105" t="str">
        <f>'Data Vlaue (Cr)'!C34</f>
        <v>BHEL</v>
      </c>
      <c r="B39" s="143">
        <f>VLOOKUP($A39,'Data shares'!$C:$FA,118)</f>
        <v>0.82</v>
      </c>
      <c r="C39" s="143">
        <f>VLOOKUP($A39,'Data shares'!$C:$FA,119)</f>
        <v>0.94</v>
      </c>
      <c r="D39" s="143">
        <f>VLOOKUP($A39,'Data shares'!$C:$FA,121)*100</f>
        <v>-12.770000000000001</v>
      </c>
      <c r="E39" s="143">
        <f>VLOOKUP($A39,'Data shares'!$C:$FA,124)</f>
        <v>0.66</v>
      </c>
      <c r="F39" s="143">
        <f>VLOOKUP($A39,'Data shares'!$C:$FA,125)</f>
        <v>0.54</v>
      </c>
      <c r="G39" s="143">
        <f>VLOOKUP($A39,'Data shares'!$C:$FA,127)*100</f>
        <v>22.220000000000002</v>
      </c>
      <c r="H39" s="103">
        <f>VLOOKUP($A39,'OI(Volume)'!$A$7:$O$445,8)</f>
        <v>50869875</v>
      </c>
      <c r="I39" s="103">
        <f>VLOOKUP($A39,'OI(Volume)'!$A$7:$O$445,9)</f>
        <v>26433750</v>
      </c>
      <c r="J39" s="103">
        <f>VLOOKUP($A39,'OI(Volume)'!$A$7:$O$445,11)</f>
        <v>41847750</v>
      </c>
      <c r="K39" s="103">
        <f>VLOOKUP($A39,'OI(Volume)'!$A$7:$O$445,12)</f>
        <v>18999750</v>
      </c>
      <c r="L39" s="103">
        <f>VLOOKUP($A39,'OI(Value)'!$A$7:$O$329,8,0)</f>
        <v>1932</v>
      </c>
      <c r="M39" s="103">
        <f>VLOOKUP($A39,'OI(Value)'!$A$7:$O$329,9,0)</f>
        <v>1004</v>
      </c>
      <c r="N39" s="103">
        <f>VLOOKUP($A39,'OI(Value)'!$A$7:$O$329,11,0)</f>
        <v>1589</v>
      </c>
      <c r="O39" s="103">
        <f>VLOOKUP($A39,'OI(Value)'!$A$7:$O$329,12,0)</f>
        <v>722</v>
      </c>
      <c r="P39" s="179">
        <f>VLOOKUP(A39,'OI(Value)'!A39:O263,8,0)</f>
        <v>1932</v>
      </c>
      <c r="Q39" s="179">
        <f>VLOOKUP(A39,'OI(Value)'!A39:O263,9,0)</f>
        <v>1004</v>
      </c>
      <c r="R39" s="179">
        <f>VLOOKUP(A39,'OI(Value)'!A39:O263,11,0)</f>
        <v>1589</v>
      </c>
      <c r="S39" s="179">
        <f>VLOOKUP(A39,'OI(Value)'!A39:O263,11,0)</f>
        <v>1589</v>
      </c>
    </row>
    <row r="40" spans="1:19" x14ac:dyDescent="0.25">
      <c r="A40" s="105" t="str">
        <f>'Data Vlaue (Cr)'!C35</f>
        <v>BIOCON</v>
      </c>
      <c r="B40" s="143">
        <f>VLOOKUP($A40,'Data shares'!$C:$FA,118)</f>
        <v>0.47</v>
      </c>
      <c r="C40" s="143">
        <f>VLOOKUP($A40,'Data shares'!$C:$FA,119)</f>
        <v>0.47</v>
      </c>
      <c r="D40" s="143">
        <f>VLOOKUP($A40,'Data shares'!$C:$FA,121)*100</f>
        <v>0</v>
      </c>
      <c r="E40" s="143">
        <f>VLOOKUP($A40,'Data shares'!$C:$FA,124)</f>
        <v>0.37</v>
      </c>
      <c r="F40" s="143">
        <f>VLOOKUP($A40,'Data shares'!$C:$FA,125)</f>
        <v>0.3</v>
      </c>
      <c r="G40" s="143">
        <f>VLOOKUP($A40,'Data shares'!$C:$FA,127)*100</f>
        <v>23.330000000000002</v>
      </c>
      <c r="H40" s="103">
        <f>VLOOKUP($A40,'OI(Volume)'!$A$7:$O$445,8)</f>
        <v>23382500</v>
      </c>
      <c r="I40" s="103">
        <f>VLOOKUP($A40,'OI(Volume)'!$A$7:$O$445,9)</f>
        <v>207500</v>
      </c>
      <c r="J40" s="103">
        <f>VLOOKUP($A40,'OI(Volume)'!$A$7:$O$445,11)</f>
        <v>10977500</v>
      </c>
      <c r="K40" s="103">
        <f>VLOOKUP($A40,'OI(Volume)'!$A$7:$O$445,12)</f>
        <v>110000</v>
      </c>
      <c r="L40" s="103">
        <f>VLOOKUP($A40,'OI(Value)'!$A$7:$O$329,8,0)</f>
        <v>848</v>
      </c>
      <c r="M40" s="103">
        <f>VLOOKUP($A40,'OI(Value)'!$A$7:$O$329,9,0)</f>
        <v>8</v>
      </c>
      <c r="N40" s="103">
        <f>VLOOKUP($A40,'OI(Value)'!$A$7:$O$329,11,0)</f>
        <v>398</v>
      </c>
      <c r="O40" s="103">
        <f>VLOOKUP($A40,'OI(Value)'!$A$7:$O$329,12,0)</f>
        <v>4</v>
      </c>
      <c r="P40" s="179">
        <f>VLOOKUP(A40,'OI(Value)'!A40:O264,8,0)</f>
        <v>848</v>
      </c>
      <c r="Q40" s="179">
        <f>VLOOKUP(A40,'OI(Value)'!A40:O264,9,0)</f>
        <v>8</v>
      </c>
      <c r="R40" s="179">
        <f>VLOOKUP(A40,'OI(Value)'!A40:O264,11,0)</f>
        <v>398</v>
      </c>
      <c r="S40" s="179">
        <f>VLOOKUP(A40,'OI(Value)'!A40:O264,11,0)</f>
        <v>398</v>
      </c>
    </row>
    <row r="41" spans="1:19" x14ac:dyDescent="0.25">
      <c r="A41" s="105" t="str">
        <f>'Data Vlaue (Cr)'!C36</f>
        <v>BLUESTARCO</v>
      </c>
      <c r="B41" s="143">
        <f>VLOOKUP($A41,'Data shares'!$C:$FA,118)</f>
        <v>0.7</v>
      </c>
      <c r="C41" s="143">
        <f>VLOOKUP($A41,'Data shares'!$C:$FA,119)</f>
        <v>0.66</v>
      </c>
      <c r="D41" s="143">
        <f>VLOOKUP($A41,'Data shares'!$C:$FA,121)*100</f>
        <v>6.0600000000000005</v>
      </c>
      <c r="E41" s="143">
        <f>VLOOKUP($A41,'Data shares'!$C:$FA,124)</f>
        <v>0.49</v>
      </c>
      <c r="F41" s="143">
        <f>VLOOKUP($A41,'Data shares'!$C:$FA,125)</f>
        <v>0.63</v>
      </c>
      <c r="G41" s="143">
        <f>VLOOKUP($A41,'Data shares'!$C:$FA,127)*100</f>
        <v>-22.220000000000002</v>
      </c>
      <c r="H41" s="103">
        <f>VLOOKUP($A41,'OI(Volume)'!$A$7:$O$445,8)</f>
        <v>970450</v>
      </c>
      <c r="I41" s="103">
        <f>VLOOKUP($A41,'OI(Volume)'!$A$7:$O$445,9)</f>
        <v>43225</v>
      </c>
      <c r="J41" s="103">
        <f>VLOOKUP($A41,'OI(Volume)'!$A$7:$O$445,11)</f>
        <v>674700</v>
      </c>
      <c r="K41" s="103">
        <f>VLOOKUP($A41,'OI(Volume)'!$A$7:$O$445,12)</f>
        <v>63050</v>
      </c>
      <c r="L41" s="103">
        <f>VLOOKUP($A41,'OI(Value)'!$A$7:$O$329,8,0)</f>
        <v>175</v>
      </c>
      <c r="M41" s="103">
        <f>VLOOKUP($A41,'OI(Value)'!$A$7:$O$329,9,0)</f>
        <v>8</v>
      </c>
      <c r="N41" s="103">
        <f>VLOOKUP($A41,'OI(Value)'!$A$7:$O$329,11,0)</f>
        <v>122</v>
      </c>
      <c r="O41" s="103">
        <f>VLOOKUP($A41,'OI(Value)'!$A$7:$O$329,12,0)</f>
        <v>11</v>
      </c>
      <c r="P41" s="179">
        <f>VLOOKUP(A41,'OI(Value)'!A41:O265,8,0)</f>
        <v>175</v>
      </c>
      <c r="Q41" s="179">
        <f>VLOOKUP(A41,'OI(Value)'!A41:O265,9,0)</f>
        <v>8</v>
      </c>
      <c r="R41" s="179">
        <f>VLOOKUP(A41,'OI(Value)'!A41:O265,11,0)</f>
        <v>122</v>
      </c>
      <c r="S41" s="179">
        <f>VLOOKUP(A41,'OI(Value)'!A41:O265,11,0)</f>
        <v>122</v>
      </c>
    </row>
    <row r="42" spans="1:19" x14ac:dyDescent="0.25">
      <c r="A42" s="105" t="str">
        <f>'Data Vlaue (Cr)'!C37</f>
        <v>BOSCHLTD</v>
      </c>
      <c r="B42" s="143">
        <f>VLOOKUP($A42,'Data shares'!$C:$FA,118)</f>
        <v>0.79</v>
      </c>
      <c r="C42" s="143">
        <f>VLOOKUP($A42,'Data shares'!$C:$FA,119)</f>
        <v>0.8</v>
      </c>
      <c r="D42" s="143">
        <f>VLOOKUP($A42,'Data shares'!$C:$FA,121)*100</f>
        <v>-1.25</v>
      </c>
      <c r="E42" s="143">
        <f>VLOOKUP($A42,'Data shares'!$C:$FA,124)</f>
        <v>0.7</v>
      </c>
      <c r="F42" s="143">
        <f>VLOOKUP($A42,'Data shares'!$C:$FA,125)</f>
        <v>1.1599999999999999</v>
      </c>
      <c r="G42" s="143">
        <f>VLOOKUP($A42,'Data shares'!$C:$FA,127)*100</f>
        <v>-39.660000000000004</v>
      </c>
      <c r="H42" s="103">
        <f>VLOOKUP($A42,'OI(Volume)'!$A$7:$O$445,8)</f>
        <v>43375</v>
      </c>
      <c r="I42" s="103">
        <f>VLOOKUP($A42,'OI(Volume)'!$A$7:$O$445,9)</f>
        <v>10600</v>
      </c>
      <c r="J42" s="103">
        <f>VLOOKUP($A42,'OI(Volume)'!$A$7:$O$445,11)</f>
        <v>34375</v>
      </c>
      <c r="K42" s="103">
        <f>VLOOKUP($A42,'OI(Volume)'!$A$7:$O$445,12)</f>
        <v>8100</v>
      </c>
      <c r="L42" s="103">
        <f>VLOOKUP($A42,'OI(Value)'!$A$7:$O$329,8,0)</f>
        <v>156</v>
      </c>
      <c r="M42" s="103">
        <f>VLOOKUP($A42,'OI(Value)'!$A$7:$O$329,9,0)</f>
        <v>38</v>
      </c>
      <c r="N42" s="103">
        <f>VLOOKUP($A42,'OI(Value)'!$A$7:$O$329,11,0)</f>
        <v>124</v>
      </c>
      <c r="O42" s="103">
        <f>VLOOKUP($A42,'OI(Value)'!$A$7:$O$329,12,0)</f>
        <v>29</v>
      </c>
      <c r="P42" s="179">
        <f>VLOOKUP(A42,'OI(Value)'!A42:O266,8,0)</f>
        <v>156</v>
      </c>
      <c r="Q42" s="179">
        <f>VLOOKUP(A42,'OI(Value)'!A42:O266,9,0)</f>
        <v>38</v>
      </c>
      <c r="R42" s="179">
        <f>VLOOKUP(A42,'OI(Value)'!A42:O266,11,0)</f>
        <v>124</v>
      </c>
      <c r="S42" s="179">
        <f>VLOOKUP(A42,'OI(Value)'!A42:O266,11,0)</f>
        <v>124</v>
      </c>
    </row>
    <row r="43" spans="1:19" x14ac:dyDescent="0.25">
      <c r="A43" s="105" t="str">
        <f>'Data Vlaue (Cr)'!C38</f>
        <v>BPCL</v>
      </c>
      <c r="B43" s="143">
        <f>VLOOKUP($A43,'Data shares'!$C:$FA,118)</f>
        <v>0.64</v>
      </c>
      <c r="C43" s="143">
        <f>VLOOKUP($A43,'Data shares'!$C:$FA,119)</f>
        <v>0.59</v>
      </c>
      <c r="D43" s="143">
        <f>VLOOKUP($A43,'Data shares'!$C:$FA,121)*100</f>
        <v>8.4699999999999989</v>
      </c>
      <c r="E43" s="143">
        <f>VLOOKUP($A43,'Data shares'!$C:$FA,124)</f>
        <v>0.75</v>
      </c>
      <c r="F43" s="143">
        <f>VLOOKUP($A43,'Data shares'!$C:$FA,125)</f>
        <v>0.68</v>
      </c>
      <c r="G43" s="143">
        <f>VLOOKUP($A43,'Data shares'!$C:$FA,127)*100</f>
        <v>10.290000000000001</v>
      </c>
      <c r="H43" s="103">
        <f>VLOOKUP($A43,'OI(Volume)'!$A$7:$O$445,8)</f>
        <v>18792125</v>
      </c>
      <c r="I43" s="103">
        <f>VLOOKUP($A43,'OI(Volume)'!$A$7:$O$445,9)</f>
        <v>2121150</v>
      </c>
      <c r="J43" s="103">
        <f>VLOOKUP($A43,'OI(Volume)'!$A$7:$O$445,11)</f>
        <v>11994175</v>
      </c>
      <c r="K43" s="103">
        <f>VLOOKUP($A43,'OI(Volume)'!$A$7:$O$445,12)</f>
        <v>2160650</v>
      </c>
      <c r="L43" s="103">
        <f>VLOOKUP($A43,'OI(Value)'!$A$7:$O$329,8,0)</f>
        <v>570</v>
      </c>
      <c r="M43" s="103">
        <f>VLOOKUP($A43,'OI(Value)'!$A$7:$O$329,9,0)</f>
        <v>64</v>
      </c>
      <c r="N43" s="103">
        <f>VLOOKUP($A43,'OI(Value)'!$A$7:$O$329,11,0)</f>
        <v>364</v>
      </c>
      <c r="O43" s="103">
        <f>VLOOKUP($A43,'OI(Value)'!$A$7:$O$329,12,0)</f>
        <v>66</v>
      </c>
      <c r="P43" s="179">
        <f>VLOOKUP(A43,'OI(Value)'!A43:O267,8,0)</f>
        <v>570</v>
      </c>
      <c r="Q43" s="179">
        <f>VLOOKUP(A43,'OI(Value)'!A43:O267,9,0)</f>
        <v>64</v>
      </c>
      <c r="R43" s="179">
        <f>VLOOKUP(A43,'OI(Value)'!A43:O267,11,0)</f>
        <v>364</v>
      </c>
      <c r="S43" s="179">
        <f>VLOOKUP(A43,'OI(Value)'!A43:O267,11,0)</f>
        <v>364</v>
      </c>
    </row>
    <row r="44" spans="1:19" x14ac:dyDescent="0.25">
      <c r="A44" s="105" t="str">
        <f>'Data Vlaue (Cr)'!C39</f>
        <v>BRITANNIA</v>
      </c>
      <c r="B44" s="143">
        <f>VLOOKUP($A44,'Data shares'!$C:$FA,118)</f>
        <v>0.73</v>
      </c>
      <c r="C44" s="143">
        <f>VLOOKUP($A44,'Data shares'!$C:$FA,119)</f>
        <v>0.76</v>
      </c>
      <c r="D44" s="143">
        <f>VLOOKUP($A44,'Data shares'!$C:$FA,121)*100</f>
        <v>-3.95</v>
      </c>
      <c r="E44" s="143">
        <f>VLOOKUP($A44,'Data shares'!$C:$FA,124)</f>
        <v>0.4</v>
      </c>
      <c r="F44" s="143">
        <f>VLOOKUP($A44,'Data shares'!$C:$FA,125)</f>
        <v>0.53</v>
      </c>
      <c r="G44" s="143">
        <f>VLOOKUP($A44,'Data shares'!$C:$FA,127)*100</f>
        <v>-24.529999999999998</v>
      </c>
      <c r="H44" s="103">
        <f>VLOOKUP($A44,'OI(Volume)'!$A$7:$O$445,8)</f>
        <v>648125</v>
      </c>
      <c r="I44" s="103">
        <f>VLOOKUP($A44,'OI(Volume)'!$A$7:$O$445,9)</f>
        <v>111250</v>
      </c>
      <c r="J44" s="103">
        <f>VLOOKUP($A44,'OI(Volume)'!$A$7:$O$445,11)</f>
        <v>471750</v>
      </c>
      <c r="K44" s="103">
        <f>VLOOKUP($A44,'OI(Volume)'!$A$7:$O$445,12)</f>
        <v>62000</v>
      </c>
      <c r="L44" s="103">
        <f>VLOOKUP($A44,'OI(Value)'!$A$7:$O$329,8,0)</f>
        <v>376</v>
      </c>
      <c r="M44" s="103">
        <f>VLOOKUP($A44,'OI(Value)'!$A$7:$O$329,9,0)</f>
        <v>65</v>
      </c>
      <c r="N44" s="103">
        <f>VLOOKUP($A44,'OI(Value)'!$A$7:$O$329,11,0)</f>
        <v>274</v>
      </c>
      <c r="O44" s="103">
        <f>VLOOKUP($A44,'OI(Value)'!$A$7:$O$329,12,0)</f>
        <v>36</v>
      </c>
      <c r="P44" s="179">
        <f>VLOOKUP(A44,'OI(Value)'!A44:O268,8,0)</f>
        <v>376</v>
      </c>
      <c r="Q44" s="179">
        <f>VLOOKUP(A44,'OI(Value)'!A44:O268,9,0)</f>
        <v>65</v>
      </c>
      <c r="R44" s="179">
        <f>VLOOKUP(A44,'OI(Value)'!A44:O268,11,0)</f>
        <v>274</v>
      </c>
      <c r="S44" s="179">
        <f>VLOOKUP(A44,'OI(Value)'!A44:O268,11,0)</f>
        <v>274</v>
      </c>
    </row>
    <row r="45" spans="1:19" x14ac:dyDescent="0.25">
      <c r="A45" s="105" t="str">
        <f>'Data Vlaue (Cr)'!C40</f>
        <v>BSE</v>
      </c>
      <c r="B45" s="143">
        <f>VLOOKUP($A45,'Data shares'!$C:$FA,118)</f>
        <v>0.83</v>
      </c>
      <c r="C45" s="143">
        <f>VLOOKUP($A45,'Data shares'!$C:$FA,119)</f>
        <v>0.91</v>
      </c>
      <c r="D45" s="143">
        <f>VLOOKUP($A45,'Data shares'!$C:$FA,121)*100</f>
        <v>-8.7900000000000009</v>
      </c>
      <c r="E45" s="143">
        <f>VLOOKUP($A45,'Data shares'!$C:$FA,124)</f>
        <v>0.62</v>
      </c>
      <c r="F45" s="143">
        <f>VLOOKUP($A45,'Data shares'!$C:$FA,125)</f>
        <v>0.98</v>
      </c>
      <c r="G45" s="143">
        <f>VLOOKUP($A45,'Data shares'!$C:$FA,127)*100</f>
        <v>-36.730000000000004</v>
      </c>
      <c r="H45" s="103">
        <f>VLOOKUP($A45,'OI(Volume)'!$A$7:$O$445,8)</f>
        <v>4845375</v>
      </c>
      <c r="I45" s="103">
        <f>VLOOKUP($A45,'OI(Volume)'!$A$7:$O$445,9)</f>
        <v>655125</v>
      </c>
      <c r="J45" s="103">
        <f>VLOOKUP($A45,'OI(Volume)'!$A$7:$O$445,11)</f>
        <v>4018500</v>
      </c>
      <c r="K45" s="103">
        <f>VLOOKUP($A45,'OI(Volume)'!$A$7:$O$445,12)</f>
        <v>210750</v>
      </c>
      <c r="L45" s="103">
        <f>VLOOKUP($A45,'OI(Value)'!$A$7:$O$329,8,0)</f>
        <v>1799</v>
      </c>
      <c r="M45" s="103">
        <f>VLOOKUP($A45,'OI(Value)'!$A$7:$O$329,9,0)</f>
        <v>243</v>
      </c>
      <c r="N45" s="103">
        <f>VLOOKUP($A45,'OI(Value)'!$A$7:$O$329,11,0)</f>
        <v>1492</v>
      </c>
      <c r="O45" s="103">
        <f>VLOOKUP($A45,'OI(Value)'!$A$7:$O$329,12,0)</f>
        <v>78</v>
      </c>
      <c r="P45" s="179">
        <f>VLOOKUP(A45,'OI(Value)'!A45:O269,8,0)</f>
        <v>1799</v>
      </c>
      <c r="Q45" s="179">
        <f>VLOOKUP(A45,'OI(Value)'!A45:O269,9,0)</f>
        <v>243</v>
      </c>
      <c r="R45" s="179">
        <f>VLOOKUP(A45,'OI(Value)'!A45:O269,11,0)</f>
        <v>1492</v>
      </c>
      <c r="S45" s="179">
        <f>VLOOKUP(A45,'OI(Value)'!A45:O269,11,0)</f>
        <v>1492</v>
      </c>
    </row>
    <row r="46" spans="1:19" x14ac:dyDescent="0.25">
      <c r="A46" s="105" t="str">
        <f>'Data Vlaue (Cr)'!C41</f>
        <v>CAMS</v>
      </c>
      <c r="B46" s="143">
        <f>VLOOKUP($A46,'Data shares'!$C:$FA,118)</f>
        <v>0.85</v>
      </c>
      <c r="C46" s="143">
        <f>VLOOKUP($A46,'Data shares'!$C:$FA,119)</f>
        <v>0.85</v>
      </c>
      <c r="D46" s="143">
        <f>VLOOKUP($A46,'Data shares'!$C:$FA,121)*100</f>
        <v>0</v>
      </c>
      <c r="E46" s="143">
        <f>VLOOKUP($A46,'Data shares'!$C:$FA,124)</f>
        <v>0.78</v>
      </c>
      <c r="F46" s="143">
        <f>VLOOKUP($A46,'Data shares'!$C:$FA,125)</f>
        <v>1.32</v>
      </c>
      <c r="G46" s="143">
        <f>VLOOKUP($A46,'Data shares'!$C:$FA,127)*100</f>
        <v>-40.910000000000004</v>
      </c>
      <c r="H46" s="103">
        <f>VLOOKUP($A46,'OI(Volume)'!$A$7:$O$445,8)</f>
        <v>2742000</v>
      </c>
      <c r="I46" s="103">
        <f>VLOOKUP($A46,'OI(Volume)'!$A$7:$O$445,9)</f>
        <v>1145250</v>
      </c>
      <c r="J46" s="103">
        <f>VLOOKUP($A46,'OI(Volume)'!$A$7:$O$445,11)</f>
        <v>2324250</v>
      </c>
      <c r="K46" s="103">
        <f>VLOOKUP($A46,'OI(Volume)'!$A$7:$O$445,12)</f>
        <v>972750</v>
      </c>
      <c r="L46" s="103">
        <f>VLOOKUP($A46,'OI(Value)'!$A$7:$O$329,8,0)</f>
        <v>199</v>
      </c>
      <c r="M46" s="103">
        <f>VLOOKUP($A46,'OI(Value)'!$A$7:$O$329,9,0)</f>
        <v>83</v>
      </c>
      <c r="N46" s="103">
        <f>VLOOKUP($A46,'OI(Value)'!$A$7:$O$329,11,0)</f>
        <v>168</v>
      </c>
      <c r="O46" s="103">
        <f>VLOOKUP($A46,'OI(Value)'!$A$7:$O$329,12,0)</f>
        <v>71</v>
      </c>
      <c r="P46" s="179">
        <f>VLOOKUP(A46,'OI(Value)'!A46:O270,8,0)</f>
        <v>199</v>
      </c>
      <c r="Q46" s="179">
        <f>VLOOKUP(A46,'OI(Value)'!A46:O270,9,0)</f>
        <v>83</v>
      </c>
      <c r="R46" s="179">
        <f>VLOOKUP(A46,'OI(Value)'!A46:O270,11,0)</f>
        <v>168</v>
      </c>
      <c r="S46" s="179">
        <f>VLOOKUP(A46,'OI(Value)'!A46:O270,11,0)</f>
        <v>168</v>
      </c>
    </row>
    <row r="47" spans="1:19" x14ac:dyDescent="0.25">
      <c r="A47" s="105" t="str">
        <f>'Data Vlaue (Cr)'!C42</f>
        <v>CANBK</v>
      </c>
      <c r="B47" s="143">
        <f>VLOOKUP($A47,'Data shares'!$C:$FA,118)</f>
        <v>0.98</v>
      </c>
      <c r="C47" s="143">
        <f>VLOOKUP($A47,'Data shares'!$C:$FA,119)</f>
        <v>1.04</v>
      </c>
      <c r="D47" s="143">
        <f>VLOOKUP($A47,'Data shares'!$C:$FA,121)*100</f>
        <v>-5.7700000000000005</v>
      </c>
      <c r="E47" s="143">
        <f>VLOOKUP($A47,'Data shares'!$C:$FA,124)</f>
        <v>0.61</v>
      </c>
      <c r="F47" s="143">
        <f>VLOOKUP($A47,'Data shares'!$C:$FA,125)</f>
        <v>0.8</v>
      </c>
      <c r="G47" s="143">
        <f>VLOOKUP($A47,'Data shares'!$C:$FA,127)*100</f>
        <v>-23.75</v>
      </c>
      <c r="H47" s="103">
        <f>VLOOKUP($A47,'OI(Volume)'!$A$7:$O$445,8)</f>
        <v>63456750</v>
      </c>
      <c r="I47" s="103">
        <f>VLOOKUP($A47,'OI(Volume)'!$A$7:$O$445,9)</f>
        <v>8383500</v>
      </c>
      <c r="J47" s="103">
        <f>VLOOKUP($A47,'OI(Volume)'!$A$7:$O$445,11)</f>
        <v>62214750</v>
      </c>
      <c r="K47" s="103">
        <f>VLOOKUP($A47,'OI(Volume)'!$A$7:$O$445,12)</f>
        <v>5130000</v>
      </c>
      <c r="L47" s="103">
        <f>VLOOKUP($A47,'OI(Value)'!$A$7:$O$329,8,0)</f>
        <v>858</v>
      </c>
      <c r="M47" s="103">
        <f>VLOOKUP($A47,'OI(Value)'!$A$7:$O$329,9,0)</f>
        <v>113</v>
      </c>
      <c r="N47" s="103">
        <f>VLOOKUP($A47,'OI(Value)'!$A$7:$O$329,11,0)</f>
        <v>841</v>
      </c>
      <c r="O47" s="103">
        <f>VLOOKUP($A47,'OI(Value)'!$A$7:$O$329,12,0)</f>
        <v>69</v>
      </c>
      <c r="P47" s="179">
        <f>VLOOKUP(A47,'OI(Value)'!A47:O271,8,0)</f>
        <v>858</v>
      </c>
      <c r="Q47" s="179">
        <f>VLOOKUP(A47,'OI(Value)'!A47:O271,9,0)</f>
        <v>113</v>
      </c>
      <c r="R47" s="179">
        <f>VLOOKUP(A47,'OI(Value)'!A47:O271,11,0)</f>
        <v>841</v>
      </c>
      <c r="S47" s="179">
        <f>VLOOKUP(A47,'OI(Value)'!A47:O271,11,0)</f>
        <v>841</v>
      </c>
    </row>
    <row r="48" spans="1:19" x14ac:dyDescent="0.25">
      <c r="A48" s="105" t="str">
        <f>'Data Vlaue (Cr)'!C43</f>
        <v>CDSL</v>
      </c>
      <c r="B48" s="143">
        <f>VLOOKUP($A48,'Data shares'!$C:$FA,118)</f>
        <v>0.74</v>
      </c>
      <c r="C48" s="143">
        <f>VLOOKUP($A48,'Data shares'!$C:$FA,119)</f>
        <v>0.92</v>
      </c>
      <c r="D48" s="143">
        <f>VLOOKUP($A48,'Data shares'!$C:$FA,121)*100</f>
        <v>-19.57</v>
      </c>
      <c r="E48" s="143">
        <f>VLOOKUP($A48,'Data shares'!$C:$FA,124)</f>
        <v>0.88</v>
      </c>
      <c r="F48" s="143">
        <f>VLOOKUP($A48,'Data shares'!$C:$FA,125)</f>
        <v>0.79</v>
      </c>
      <c r="G48" s="143">
        <f>VLOOKUP($A48,'Data shares'!$C:$FA,127)*100</f>
        <v>11.39</v>
      </c>
      <c r="H48" s="103">
        <f>VLOOKUP($A48,'OI(Volume)'!$A$7:$O$445,8)</f>
        <v>6059575</v>
      </c>
      <c r="I48" s="103">
        <f>VLOOKUP($A48,'OI(Volume)'!$A$7:$O$445,9)</f>
        <v>1574625</v>
      </c>
      <c r="J48" s="103">
        <f>VLOOKUP($A48,'OI(Volume)'!$A$7:$O$445,11)</f>
        <v>4487800</v>
      </c>
      <c r="K48" s="103">
        <f>VLOOKUP($A48,'OI(Volume)'!$A$7:$O$445,12)</f>
        <v>342950</v>
      </c>
      <c r="L48" s="103">
        <f>VLOOKUP($A48,'OI(Value)'!$A$7:$O$329,8,0)</f>
        <v>752</v>
      </c>
      <c r="M48" s="103">
        <f>VLOOKUP($A48,'OI(Value)'!$A$7:$O$329,9,0)</f>
        <v>195</v>
      </c>
      <c r="N48" s="103">
        <f>VLOOKUP($A48,'OI(Value)'!$A$7:$O$329,11,0)</f>
        <v>557</v>
      </c>
      <c r="O48" s="103">
        <f>VLOOKUP($A48,'OI(Value)'!$A$7:$O$329,12,0)</f>
        <v>43</v>
      </c>
      <c r="P48" s="179">
        <f>VLOOKUP(A48,'OI(Value)'!A48:O272,8,0)</f>
        <v>752</v>
      </c>
      <c r="Q48" s="179">
        <f>VLOOKUP(A48,'OI(Value)'!A48:O272,9,0)</f>
        <v>195</v>
      </c>
      <c r="R48" s="179">
        <f>VLOOKUP(A48,'OI(Value)'!A48:O272,11,0)</f>
        <v>557</v>
      </c>
      <c r="S48" s="179">
        <f>VLOOKUP(A48,'OI(Value)'!A48:O272,11,0)</f>
        <v>557</v>
      </c>
    </row>
    <row r="49" spans="1:19" x14ac:dyDescent="0.25">
      <c r="A49" s="105" t="str">
        <f>'Data Vlaue (Cr)'!C44</f>
        <v>CGPOWER</v>
      </c>
      <c r="B49" s="143">
        <f>VLOOKUP($A49,'Data shares'!$C:$FA,118)</f>
        <v>0.64</v>
      </c>
      <c r="C49" s="143">
        <f>VLOOKUP($A49,'Data shares'!$C:$FA,119)</f>
        <v>0.83</v>
      </c>
      <c r="D49" s="143">
        <f>VLOOKUP($A49,'Data shares'!$C:$FA,121)*100</f>
        <v>-22.89</v>
      </c>
      <c r="E49" s="143">
        <f>VLOOKUP($A49,'Data shares'!$C:$FA,124)</f>
        <v>0.42</v>
      </c>
      <c r="F49" s="143">
        <f>VLOOKUP($A49,'Data shares'!$C:$FA,125)</f>
        <v>0.7</v>
      </c>
      <c r="G49" s="143">
        <f>VLOOKUP($A49,'Data shares'!$C:$FA,127)*100</f>
        <v>-40</v>
      </c>
      <c r="H49" s="103">
        <f>VLOOKUP($A49,'OI(Volume)'!$A$7:$O$445,8)</f>
        <v>3305650</v>
      </c>
      <c r="I49" s="103">
        <f>VLOOKUP($A49,'OI(Volume)'!$A$7:$O$445,9)</f>
        <v>1039550</v>
      </c>
      <c r="J49" s="103">
        <f>VLOOKUP($A49,'OI(Volume)'!$A$7:$O$445,11)</f>
        <v>2103750</v>
      </c>
      <c r="K49" s="103">
        <f>VLOOKUP($A49,'OI(Volume)'!$A$7:$O$445,12)</f>
        <v>232900</v>
      </c>
      <c r="L49" s="103">
        <f>VLOOKUP($A49,'OI(Value)'!$A$7:$O$329,8,0)</f>
        <v>267</v>
      </c>
      <c r="M49" s="103">
        <f>VLOOKUP($A49,'OI(Value)'!$A$7:$O$329,9,0)</f>
        <v>84</v>
      </c>
      <c r="N49" s="103">
        <f>VLOOKUP($A49,'OI(Value)'!$A$7:$O$329,11,0)</f>
        <v>170</v>
      </c>
      <c r="O49" s="103">
        <f>VLOOKUP($A49,'OI(Value)'!$A$7:$O$329,12,0)</f>
        <v>19</v>
      </c>
      <c r="P49" s="179">
        <f>VLOOKUP(A49,'OI(Value)'!A49:O273,8,0)</f>
        <v>267</v>
      </c>
      <c r="Q49" s="179">
        <f>VLOOKUP(A49,'OI(Value)'!A49:O273,9,0)</f>
        <v>84</v>
      </c>
      <c r="R49" s="179">
        <f>VLOOKUP(A49,'OI(Value)'!A49:O273,11,0)</f>
        <v>170</v>
      </c>
      <c r="S49" s="179">
        <f>VLOOKUP(A49,'OI(Value)'!A49:O273,11,0)</f>
        <v>170</v>
      </c>
    </row>
    <row r="50" spans="1:19" x14ac:dyDescent="0.25">
      <c r="A50" s="105" t="str">
        <f>'Data Vlaue (Cr)'!C45</f>
        <v>CHOLAFIN</v>
      </c>
      <c r="B50" s="143">
        <f>VLOOKUP($A50,'Data shares'!$C:$FA,118)</f>
        <v>0.86</v>
      </c>
      <c r="C50" s="143">
        <f>VLOOKUP($A50,'Data shares'!$C:$FA,119)</f>
        <v>0.72</v>
      </c>
      <c r="D50" s="143">
        <f>VLOOKUP($A50,'Data shares'!$C:$FA,121)*100</f>
        <v>19.439999999999998</v>
      </c>
      <c r="E50" s="143">
        <f>VLOOKUP($A50,'Data shares'!$C:$FA,124)</f>
        <v>0.48</v>
      </c>
      <c r="F50" s="143">
        <f>VLOOKUP($A50,'Data shares'!$C:$FA,125)</f>
        <v>0.56999999999999995</v>
      </c>
      <c r="G50" s="143">
        <f>VLOOKUP($A50,'Data shares'!$C:$FA,127)*100</f>
        <v>-15.790000000000001</v>
      </c>
      <c r="H50" s="103">
        <f>VLOOKUP($A50,'OI(Volume)'!$A$7:$O$445,8)</f>
        <v>2582500</v>
      </c>
      <c r="I50" s="103">
        <f>VLOOKUP($A50,'OI(Volume)'!$A$7:$O$445,9)</f>
        <v>-33750</v>
      </c>
      <c r="J50" s="103">
        <f>VLOOKUP($A50,'OI(Volume)'!$A$7:$O$445,11)</f>
        <v>2221875</v>
      </c>
      <c r="K50" s="103">
        <f>VLOOKUP($A50,'OI(Volume)'!$A$7:$O$445,12)</f>
        <v>346875</v>
      </c>
      <c r="L50" s="103">
        <f>VLOOKUP($A50,'OI(Value)'!$A$7:$O$329,8,0)</f>
        <v>425</v>
      </c>
      <c r="M50" s="103">
        <f>VLOOKUP($A50,'OI(Value)'!$A$7:$O$329,9,0)</f>
        <v>-6</v>
      </c>
      <c r="N50" s="103">
        <f>VLOOKUP($A50,'OI(Value)'!$A$7:$O$329,11,0)</f>
        <v>365</v>
      </c>
      <c r="O50" s="103">
        <f>VLOOKUP($A50,'OI(Value)'!$A$7:$O$329,12,0)</f>
        <v>57</v>
      </c>
      <c r="P50" s="179">
        <f>VLOOKUP(A50,'OI(Value)'!A50:O274,8,0)</f>
        <v>425</v>
      </c>
      <c r="Q50" s="179">
        <f>VLOOKUP(A50,'OI(Value)'!A50:O274,9,0)</f>
        <v>-6</v>
      </c>
      <c r="R50" s="179">
        <f>VLOOKUP(A50,'OI(Value)'!A50:O274,11,0)</f>
        <v>365</v>
      </c>
      <c r="S50" s="179">
        <f>VLOOKUP(A50,'OI(Value)'!A50:O274,11,0)</f>
        <v>365</v>
      </c>
    </row>
    <row r="51" spans="1:19" x14ac:dyDescent="0.25">
      <c r="A51" s="105" t="str">
        <f>'Data Vlaue (Cr)'!C46</f>
        <v>CIPLA</v>
      </c>
      <c r="B51" s="143">
        <f>VLOOKUP($A51,'Data shares'!$C:$FA,118)</f>
        <v>0.69</v>
      </c>
      <c r="C51" s="143">
        <f>VLOOKUP($A51,'Data shares'!$C:$FA,119)</f>
        <v>0.69</v>
      </c>
      <c r="D51" s="143">
        <f>VLOOKUP($A51,'Data shares'!$C:$FA,121)*100</f>
        <v>0</v>
      </c>
      <c r="E51" s="143">
        <f>VLOOKUP($A51,'Data shares'!$C:$FA,124)</f>
        <v>0.37</v>
      </c>
      <c r="F51" s="143">
        <f>VLOOKUP($A51,'Data shares'!$C:$FA,125)</f>
        <v>0.34</v>
      </c>
      <c r="G51" s="143">
        <f>VLOOKUP($A51,'Data shares'!$C:$FA,127)*100</f>
        <v>8.82</v>
      </c>
      <c r="H51" s="103">
        <f>VLOOKUP($A51,'OI(Volume)'!$A$7:$O$445,8)</f>
        <v>3997500</v>
      </c>
      <c r="I51" s="103">
        <f>VLOOKUP($A51,'OI(Volume)'!$A$7:$O$445,9)</f>
        <v>457500</v>
      </c>
      <c r="J51" s="103">
        <f>VLOOKUP($A51,'OI(Volume)'!$A$7:$O$445,11)</f>
        <v>2763750</v>
      </c>
      <c r="K51" s="103">
        <f>VLOOKUP($A51,'OI(Volume)'!$A$7:$O$445,12)</f>
        <v>321750</v>
      </c>
      <c r="L51" s="103">
        <f>VLOOKUP($A51,'OI(Value)'!$A$7:$O$329,8,0)</f>
        <v>535</v>
      </c>
      <c r="M51" s="103">
        <f>VLOOKUP($A51,'OI(Value)'!$A$7:$O$329,9,0)</f>
        <v>61</v>
      </c>
      <c r="N51" s="103">
        <f>VLOOKUP($A51,'OI(Value)'!$A$7:$O$329,11,0)</f>
        <v>370</v>
      </c>
      <c r="O51" s="103">
        <f>VLOOKUP($A51,'OI(Value)'!$A$7:$O$329,12,0)</f>
        <v>43</v>
      </c>
      <c r="P51" s="179">
        <f>VLOOKUP(A51,'OI(Value)'!A51:O275,8,0)</f>
        <v>535</v>
      </c>
      <c r="Q51" s="179">
        <f>VLOOKUP(A51,'OI(Value)'!A51:O275,9,0)</f>
        <v>61</v>
      </c>
      <c r="R51" s="179">
        <f>VLOOKUP(A51,'OI(Value)'!A51:O275,11,0)</f>
        <v>370</v>
      </c>
      <c r="S51" s="179">
        <f>VLOOKUP(A51,'OI(Value)'!A51:O275,11,0)</f>
        <v>370</v>
      </c>
    </row>
    <row r="52" spans="1:19" x14ac:dyDescent="0.25">
      <c r="A52" s="105" t="str">
        <f>'Data Vlaue (Cr)'!C47</f>
        <v>COALINDIA</v>
      </c>
      <c r="B52" s="143">
        <f>VLOOKUP($A52,'Data shares'!$C:$FA,118)</f>
        <v>0.68</v>
      </c>
      <c r="C52" s="143">
        <f>VLOOKUP($A52,'Data shares'!$C:$FA,119)</f>
        <v>0.71</v>
      </c>
      <c r="D52" s="143">
        <f>VLOOKUP($A52,'Data shares'!$C:$FA,121)*100</f>
        <v>-4.2299999999999995</v>
      </c>
      <c r="E52" s="143">
        <f>VLOOKUP($A52,'Data shares'!$C:$FA,124)</f>
        <v>0.71</v>
      </c>
      <c r="F52" s="143">
        <f>VLOOKUP($A52,'Data shares'!$C:$FA,125)</f>
        <v>0.46</v>
      </c>
      <c r="G52" s="143">
        <f>VLOOKUP($A52,'Data shares'!$C:$FA,127)*100</f>
        <v>54.35</v>
      </c>
      <c r="H52" s="103">
        <f>VLOOKUP($A52,'OI(Volume)'!$A$7:$O$445,8)</f>
        <v>26017200</v>
      </c>
      <c r="I52" s="103">
        <f>VLOOKUP($A52,'OI(Volume)'!$A$7:$O$445,9)</f>
        <v>708750</v>
      </c>
      <c r="J52" s="103">
        <f>VLOOKUP($A52,'OI(Volume)'!$A$7:$O$445,11)</f>
        <v>17752500</v>
      </c>
      <c r="K52" s="103">
        <f>VLOOKUP($A52,'OI(Volume)'!$A$7:$O$445,12)</f>
        <v>-297000</v>
      </c>
      <c r="L52" s="103">
        <f>VLOOKUP($A52,'OI(Value)'!$A$7:$O$329,8,0)</f>
        <v>1252</v>
      </c>
      <c r="M52" s="103">
        <f>VLOOKUP($A52,'OI(Value)'!$A$7:$O$329,9,0)</f>
        <v>34</v>
      </c>
      <c r="N52" s="103">
        <f>VLOOKUP($A52,'OI(Value)'!$A$7:$O$329,11,0)</f>
        <v>854</v>
      </c>
      <c r="O52" s="103">
        <f>VLOOKUP($A52,'OI(Value)'!$A$7:$O$329,12,0)</f>
        <v>-14</v>
      </c>
      <c r="P52" s="179">
        <f>VLOOKUP(A52,'OI(Value)'!A52:O276,8,0)</f>
        <v>1252</v>
      </c>
      <c r="Q52" s="179">
        <f>VLOOKUP(A52,'OI(Value)'!A52:O276,9,0)</f>
        <v>34</v>
      </c>
      <c r="R52" s="179">
        <f>VLOOKUP(A52,'OI(Value)'!A52:O276,11,0)</f>
        <v>854</v>
      </c>
      <c r="S52" s="179">
        <f>VLOOKUP(A52,'OI(Value)'!A52:O276,11,0)</f>
        <v>854</v>
      </c>
    </row>
    <row r="53" spans="1:19" x14ac:dyDescent="0.25">
      <c r="A53" s="105" t="str">
        <f>'Data Vlaue (Cr)'!C48</f>
        <v>COCHINSHIP</v>
      </c>
      <c r="B53" s="143">
        <f>VLOOKUP($A53,'Data shares'!$C:$FA,118)</f>
        <v>0.67</v>
      </c>
      <c r="C53" s="143">
        <f>VLOOKUP($A53,'Data shares'!$C:$FA,119)</f>
        <v>0.69</v>
      </c>
      <c r="D53" s="143">
        <f>VLOOKUP($A53,'Data shares'!$C:$FA,121)*100</f>
        <v>-2.9000000000000004</v>
      </c>
      <c r="E53" s="143">
        <f>VLOOKUP($A53,'Data shares'!$C:$FA,124)</f>
        <v>0.38</v>
      </c>
      <c r="F53" s="143">
        <f>VLOOKUP($A53,'Data shares'!$C:$FA,125)</f>
        <v>0.59</v>
      </c>
      <c r="G53" s="143">
        <f>VLOOKUP($A53,'Data shares'!$C:$FA,127)*100</f>
        <v>-35.589999999999996</v>
      </c>
      <c r="H53" s="103">
        <f>VLOOKUP($A53,'OI(Volume)'!$A$7:$O$445,8)</f>
        <v>1179600</v>
      </c>
      <c r="I53" s="103">
        <f>VLOOKUP($A53,'OI(Volume)'!$A$7:$O$445,9)</f>
        <v>69200</v>
      </c>
      <c r="J53" s="103">
        <f>VLOOKUP($A53,'OI(Volume)'!$A$7:$O$445,11)</f>
        <v>788000</v>
      </c>
      <c r="K53" s="103">
        <f>VLOOKUP($A53,'OI(Volume)'!$A$7:$O$445,12)</f>
        <v>27200</v>
      </c>
      <c r="L53" s="103">
        <f>VLOOKUP($A53,'OI(Value)'!$A$7:$O$329,8,0)</f>
        <v>204</v>
      </c>
      <c r="M53" s="103">
        <f>VLOOKUP($A53,'OI(Value)'!$A$7:$O$329,9,0)</f>
        <v>12</v>
      </c>
      <c r="N53" s="103">
        <f>VLOOKUP($A53,'OI(Value)'!$A$7:$O$329,11,0)</f>
        <v>136</v>
      </c>
      <c r="O53" s="103">
        <f>VLOOKUP($A53,'OI(Value)'!$A$7:$O$329,12,0)</f>
        <v>5</v>
      </c>
      <c r="P53" s="179">
        <f>VLOOKUP(A53,'OI(Value)'!A53:O277,8,0)</f>
        <v>204</v>
      </c>
      <c r="Q53" s="179">
        <f>VLOOKUP(A53,'OI(Value)'!A53:O277,9,0)</f>
        <v>12</v>
      </c>
      <c r="R53" s="179">
        <f>VLOOKUP(A53,'OI(Value)'!A53:O277,11,0)</f>
        <v>136</v>
      </c>
      <c r="S53" s="179">
        <f>VLOOKUP(A53,'OI(Value)'!A53:O277,11,0)</f>
        <v>136</v>
      </c>
    </row>
    <row r="54" spans="1:19" x14ac:dyDescent="0.25">
      <c r="A54" s="105" t="str">
        <f>'Data Vlaue (Cr)'!C49</f>
        <v>COFORGE</v>
      </c>
      <c r="B54" s="143">
        <f>VLOOKUP($A54,'Data shares'!$C:$FA,118)</f>
        <v>0.61</v>
      </c>
      <c r="C54" s="143">
        <f>VLOOKUP($A54,'Data shares'!$C:$FA,119)</f>
        <v>0.63</v>
      </c>
      <c r="D54" s="143">
        <f>VLOOKUP($A54,'Data shares'!$C:$FA,121)*100</f>
        <v>-3.17</v>
      </c>
      <c r="E54" s="143">
        <f>VLOOKUP($A54,'Data shares'!$C:$FA,124)</f>
        <v>0.57999999999999996</v>
      </c>
      <c r="F54" s="143">
        <f>VLOOKUP($A54,'Data shares'!$C:$FA,125)</f>
        <v>0.84</v>
      </c>
      <c r="G54" s="143">
        <f>VLOOKUP($A54,'Data shares'!$C:$FA,127)*100</f>
        <v>-30.95</v>
      </c>
      <c r="H54" s="103">
        <f>VLOOKUP($A54,'OI(Volume)'!$A$7:$O$445,8)</f>
        <v>6297000</v>
      </c>
      <c r="I54" s="103">
        <f>VLOOKUP($A54,'OI(Volume)'!$A$7:$O$445,9)</f>
        <v>812250</v>
      </c>
      <c r="J54" s="103">
        <f>VLOOKUP($A54,'OI(Volume)'!$A$7:$O$445,11)</f>
        <v>3843000</v>
      </c>
      <c r="K54" s="103">
        <f>VLOOKUP($A54,'OI(Volume)'!$A$7:$O$445,12)</f>
        <v>365250</v>
      </c>
      <c r="L54" s="103">
        <f>VLOOKUP($A54,'OI(Value)'!$A$7:$O$329,8,0)</f>
        <v>727</v>
      </c>
      <c r="M54" s="103">
        <f>VLOOKUP($A54,'OI(Value)'!$A$7:$O$329,9,0)</f>
        <v>94</v>
      </c>
      <c r="N54" s="103">
        <f>VLOOKUP($A54,'OI(Value)'!$A$7:$O$329,11,0)</f>
        <v>444</v>
      </c>
      <c r="O54" s="103">
        <f>VLOOKUP($A54,'OI(Value)'!$A$7:$O$329,12,0)</f>
        <v>42</v>
      </c>
      <c r="P54" s="179">
        <f>VLOOKUP(A54,'OI(Value)'!A54:O278,8,0)</f>
        <v>727</v>
      </c>
      <c r="Q54" s="179">
        <f>VLOOKUP(A54,'OI(Value)'!A54:O278,9,0)</f>
        <v>94</v>
      </c>
      <c r="R54" s="179">
        <f>VLOOKUP(A54,'OI(Value)'!A54:O278,11,0)</f>
        <v>444</v>
      </c>
      <c r="S54" s="179">
        <f>VLOOKUP(A54,'OI(Value)'!A54:O278,11,0)</f>
        <v>444</v>
      </c>
    </row>
    <row r="55" spans="1:19" x14ac:dyDescent="0.25">
      <c r="A55" s="105" t="str">
        <f>'Data Vlaue (Cr)'!C50</f>
        <v>COLPAL</v>
      </c>
      <c r="B55" s="143">
        <f>VLOOKUP($A55,'Data shares'!$C:$FA,118)</f>
        <v>0.66</v>
      </c>
      <c r="C55" s="143">
        <f>VLOOKUP($A55,'Data shares'!$C:$FA,119)</f>
        <v>0.69</v>
      </c>
      <c r="D55" s="143">
        <f>VLOOKUP($A55,'Data shares'!$C:$FA,121)*100</f>
        <v>-4.3499999999999996</v>
      </c>
      <c r="E55" s="143">
        <f>VLOOKUP($A55,'Data shares'!$C:$FA,124)</f>
        <v>0.31</v>
      </c>
      <c r="F55" s="143">
        <f>VLOOKUP($A55,'Data shares'!$C:$FA,125)</f>
        <v>0.84</v>
      </c>
      <c r="G55" s="143">
        <f>VLOOKUP($A55,'Data shares'!$C:$FA,127)*100</f>
        <v>-63.1</v>
      </c>
      <c r="H55" s="103">
        <f>VLOOKUP($A55,'OI(Volume)'!$A$7:$O$445,8)</f>
        <v>1210050</v>
      </c>
      <c r="I55" s="103">
        <f>VLOOKUP($A55,'OI(Volume)'!$A$7:$O$445,9)</f>
        <v>102600</v>
      </c>
      <c r="J55" s="103">
        <f>VLOOKUP($A55,'OI(Volume)'!$A$7:$O$445,11)</f>
        <v>794250</v>
      </c>
      <c r="K55" s="103">
        <f>VLOOKUP($A55,'OI(Volume)'!$A$7:$O$445,12)</f>
        <v>28350</v>
      </c>
      <c r="L55" s="103">
        <f>VLOOKUP($A55,'OI(Value)'!$A$7:$O$329,8,0)</f>
        <v>262</v>
      </c>
      <c r="M55" s="103">
        <f>VLOOKUP($A55,'OI(Value)'!$A$7:$O$329,9,0)</f>
        <v>22</v>
      </c>
      <c r="N55" s="103">
        <f>VLOOKUP($A55,'OI(Value)'!$A$7:$O$329,11,0)</f>
        <v>172</v>
      </c>
      <c r="O55" s="103">
        <f>VLOOKUP($A55,'OI(Value)'!$A$7:$O$329,12,0)</f>
        <v>6</v>
      </c>
      <c r="P55" s="179">
        <f>VLOOKUP(A55,'OI(Value)'!A55:O279,8,0)</f>
        <v>262</v>
      </c>
      <c r="Q55" s="179">
        <f>VLOOKUP(A55,'OI(Value)'!A55:O279,9,0)</f>
        <v>22</v>
      </c>
      <c r="R55" s="179">
        <f>VLOOKUP(A55,'OI(Value)'!A55:O279,11,0)</f>
        <v>172</v>
      </c>
      <c r="S55" s="179">
        <f>VLOOKUP(A55,'OI(Value)'!A55:O279,11,0)</f>
        <v>172</v>
      </c>
    </row>
    <row r="56" spans="1:19" x14ac:dyDescent="0.25">
      <c r="A56" s="105" t="str">
        <f>'Data Vlaue (Cr)'!C51</f>
        <v>CONCOR</v>
      </c>
      <c r="B56" s="143">
        <f>VLOOKUP($A56,'Data shares'!$C:$FA,118)</f>
        <v>0.71</v>
      </c>
      <c r="C56" s="143">
        <f>VLOOKUP($A56,'Data shares'!$C:$FA,119)</f>
        <v>0.75</v>
      </c>
      <c r="D56" s="143">
        <f>VLOOKUP($A56,'Data shares'!$C:$FA,121)*100</f>
        <v>-5.33</v>
      </c>
      <c r="E56" s="143">
        <f>VLOOKUP($A56,'Data shares'!$C:$FA,124)</f>
        <v>0.33</v>
      </c>
      <c r="F56" s="143">
        <f>VLOOKUP($A56,'Data shares'!$C:$FA,125)</f>
        <v>0.43</v>
      </c>
      <c r="G56" s="143">
        <f>VLOOKUP($A56,'Data shares'!$C:$FA,127)*100</f>
        <v>-23.26</v>
      </c>
      <c r="H56" s="103">
        <f>VLOOKUP($A56,'OI(Volume)'!$A$7:$O$445,8)</f>
        <v>4861250</v>
      </c>
      <c r="I56" s="103">
        <f>VLOOKUP($A56,'OI(Volume)'!$A$7:$O$445,9)</f>
        <v>283750</v>
      </c>
      <c r="J56" s="103">
        <f>VLOOKUP($A56,'OI(Volume)'!$A$7:$O$445,11)</f>
        <v>3438750</v>
      </c>
      <c r="K56" s="103">
        <f>VLOOKUP($A56,'OI(Volume)'!$A$7:$O$445,12)</f>
        <v>-5000</v>
      </c>
      <c r="L56" s="103">
        <f>VLOOKUP($A56,'OI(Value)'!$A$7:$O$329,8,0)</f>
        <v>253</v>
      </c>
      <c r="M56" s="103">
        <f>VLOOKUP($A56,'OI(Value)'!$A$7:$O$329,9,0)</f>
        <v>15</v>
      </c>
      <c r="N56" s="103">
        <f>VLOOKUP($A56,'OI(Value)'!$A$7:$O$329,11,0)</f>
        <v>179</v>
      </c>
      <c r="O56" s="103">
        <f>VLOOKUP($A56,'OI(Value)'!$A$7:$O$329,12,0)</f>
        <v>0</v>
      </c>
      <c r="P56" s="179">
        <f>VLOOKUP(A56,'OI(Value)'!A56:O280,8,0)</f>
        <v>253</v>
      </c>
      <c r="Q56" s="179">
        <f>VLOOKUP(A56,'OI(Value)'!A56:O280,9,0)</f>
        <v>15</v>
      </c>
      <c r="R56" s="179">
        <f>VLOOKUP(A56,'OI(Value)'!A56:O280,11,0)</f>
        <v>179</v>
      </c>
      <c r="S56" s="179">
        <f>VLOOKUP(A56,'OI(Value)'!A56:O280,11,0)</f>
        <v>179</v>
      </c>
    </row>
    <row r="57" spans="1:19" x14ac:dyDescent="0.25">
      <c r="A57" s="105" t="str">
        <f>'Data Vlaue (Cr)'!C52</f>
        <v>CROMPTON</v>
      </c>
      <c r="B57" s="143">
        <f>VLOOKUP($A57,'Data shares'!$C:$FA,118)</f>
        <v>0.46</v>
      </c>
      <c r="C57" s="143">
        <f>VLOOKUP($A57,'Data shares'!$C:$FA,119)</f>
        <v>0.46</v>
      </c>
      <c r="D57" s="143">
        <f>VLOOKUP($A57,'Data shares'!$C:$FA,121)*100</f>
        <v>0</v>
      </c>
      <c r="E57" s="143">
        <f>VLOOKUP($A57,'Data shares'!$C:$FA,124)</f>
        <v>0.45</v>
      </c>
      <c r="F57" s="143">
        <f>VLOOKUP($A57,'Data shares'!$C:$FA,125)</f>
        <v>0.49</v>
      </c>
      <c r="G57" s="143">
        <f>VLOOKUP($A57,'Data shares'!$C:$FA,127)*100</f>
        <v>-8.16</v>
      </c>
      <c r="H57" s="103">
        <f>VLOOKUP($A57,'OI(Volume)'!$A$7:$O$445,8)</f>
        <v>14025600</v>
      </c>
      <c r="I57" s="103">
        <f>VLOOKUP($A57,'OI(Volume)'!$A$7:$O$445,9)</f>
        <v>1321200</v>
      </c>
      <c r="J57" s="103">
        <f>VLOOKUP($A57,'OI(Volume)'!$A$7:$O$445,11)</f>
        <v>6507000</v>
      </c>
      <c r="K57" s="103">
        <f>VLOOKUP($A57,'OI(Volume)'!$A$7:$O$445,12)</f>
        <v>687600</v>
      </c>
      <c r="L57" s="103">
        <f>VLOOKUP($A57,'OI(Value)'!$A$7:$O$329,8,0)</f>
        <v>391</v>
      </c>
      <c r="M57" s="103">
        <f>VLOOKUP($A57,'OI(Value)'!$A$7:$O$329,9,0)</f>
        <v>37</v>
      </c>
      <c r="N57" s="103">
        <f>VLOOKUP($A57,'OI(Value)'!$A$7:$O$329,11,0)</f>
        <v>181</v>
      </c>
      <c r="O57" s="103">
        <f>VLOOKUP($A57,'OI(Value)'!$A$7:$O$329,12,0)</f>
        <v>19</v>
      </c>
      <c r="P57" s="179">
        <f>VLOOKUP(A57,'OI(Value)'!A57:O281,8,0)</f>
        <v>391</v>
      </c>
      <c r="Q57" s="179">
        <f>VLOOKUP(A57,'OI(Value)'!A57:O281,9,0)</f>
        <v>37</v>
      </c>
      <c r="R57" s="179">
        <f>VLOOKUP(A57,'OI(Value)'!A57:O281,11,0)</f>
        <v>181</v>
      </c>
      <c r="S57" s="179">
        <f>VLOOKUP(A57,'OI(Value)'!A57:O281,11,0)</f>
        <v>181</v>
      </c>
    </row>
    <row r="58" spans="1:19" x14ac:dyDescent="0.25">
      <c r="A58" s="105" t="str">
        <f>'Data Vlaue (Cr)'!C53</f>
        <v>CUMMINSIND</v>
      </c>
      <c r="B58" s="143">
        <f>VLOOKUP($A58,'Data shares'!$C:$FA,118)</f>
        <v>0.71</v>
      </c>
      <c r="C58" s="143">
        <f>VLOOKUP($A58,'Data shares'!$C:$FA,119)</f>
        <v>0.87</v>
      </c>
      <c r="D58" s="143">
        <f>VLOOKUP($A58,'Data shares'!$C:$FA,121)*100</f>
        <v>-18.39</v>
      </c>
      <c r="E58" s="143">
        <f>VLOOKUP($A58,'Data shares'!$C:$FA,124)</f>
        <v>0.38</v>
      </c>
      <c r="F58" s="143">
        <f>VLOOKUP($A58,'Data shares'!$C:$FA,125)</f>
        <v>0.82</v>
      </c>
      <c r="G58" s="143">
        <f>VLOOKUP($A58,'Data shares'!$C:$FA,127)*100</f>
        <v>-53.66</v>
      </c>
      <c r="H58" s="103">
        <f>VLOOKUP($A58,'OI(Volume)'!$A$7:$O$445,8)</f>
        <v>569400</v>
      </c>
      <c r="I58" s="103">
        <f>VLOOKUP($A58,'OI(Volume)'!$A$7:$O$445,9)</f>
        <v>108000</v>
      </c>
      <c r="J58" s="103">
        <f>VLOOKUP($A58,'OI(Volume)'!$A$7:$O$445,11)</f>
        <v>403800</v>
      </c>
      <c r="K58" s="103">
        <f>VLOOKUP($A58,'OI(Volume)'!$A$7:$O$445,12)</f>
        <v>4400</v>
      </c>
      <c r="L58" s="103">
        <f>VLOOKUP($A58,'OI(Value)'!$A$7:$O$329,8,0)</f>
        <v>301</v>
      </c>
      <c r="M58" s="103">
        <f>VLOOKUP($A58,'OI(Value)'!$A$7:$O$329,9,0)</f>
        <v>57</v>
      </c>
      <c r="N58" s="103">
        <f>VLOOKUP($A58,'OI(Value)'!$A$7:$O$329,11,0)</f>
        <v>214</v>
      </c>
      <c r="O58" s="103">
        <f>VLOOKUP($A58,'OI(Value)'!$A$7:$O$329,12,0)</f>
        <v>2</v>
      </c>
      <c r="P58" s="179">
        <f>VLOOKUP(A58,'OI(Value)'!A58:O282,8,0)</f>
        <v>301</v>
      </c>
      <c r="Q58" s="179">
        <f>VLOOKUP(A58,'OI(Value)'!A58:O282,9,0)</f>
        <v>57</v>
      </c>
      <c r="R58" s="179">
        <f>VLOOKUP(A58,'OI(Value)'!A58:O282,11,0)</f>
        <v>214</v>
      </c>
      <c r="S58" s="179">
        <f>VLOOKUP(A58,'OI(Value)'!A58:O282,11,0)</f>
        <v>214</v>
      </c>
    </row>
    <row r="59" spans="1:19" x14ac:dyDescent="0.25">
      <c r="A59" s="105" t="str">
        <f>'Data Vlaue (Cr)'!C54</f>
        <v>DABUR</v>
      </c>
      <c r="B59" s="143">
        <f>VLOOKUP($A59,'Data shares'!$C:$FA,118)</f>
        <v>0.64</v>
      </c>
      <c r="C59" s="143">
        <f>VLOOKUP($A59,'Data shares'!$C:$FA,119)</f>
        <v>0.68</v>
      </c>
      <c r="D59" s="143">
        <f>VLOOKUP($A59,'Data shares'!$C:$FA,121)*100</f>
        <v>-5.88</v>
      </c>
      <c r="E59" s="143">
        <f>VLOOKUP($A59,'Data shares'!$C:$FA,124)</f>
        <v>0.42</v>
      </c>
      <c r="F59" s="143">
        <f>VLOOKUP($A59,'Data shares'!$C:$FA,125)</f>
        <v>0.49</v>
      </c>
      <c r="G59" s="143">
        <f>VLOOKUP($A59,'Data shares'!$C:$FA,127)*100</f>
        <v>-14.29</v>
      </c>
      <c r="H59" s="103">
        <f>VLOOKUP($A59,'OI(Volume)'!$A$7:$O$445,8)</f>
        <v>6370000</v>
      </c>
      <c r="I59" s="103">
        <f>VLOOKUP($A59,'OI(Volume)'!$A$7:$O$445,9)</f>
        <v>905000</v>
      </c>
      <c r="J59" s="103">
        <f>VLOOKUP($A59,'OI(Volume)'!$A$7:$O$445,11)</f>
        <v>4060000</v>
      </c>
      <c r="K59" s="103">
        <f>VLOOKUP($A59,'OI(Volume)'!$A$7:$O$445,12)</f>
        <v>320000</v>
      </c>
      <c r="L59" s="103">
        <f>VLOOKUP($A59,'OI(Value)'!$A$7:$O$329,8,0)</f>
        <v>285</v>
      </c>
      <c r="M59" s="103">
        <f>VLOOKUP($A59,'OI(Value)'!$A$7:$O$329,9,0)</f>
        <v>40</v>
      </c>
      <c r="N59" s="103">
        <f>VLOOKUP($A59,'OI(Value)'!$A$7:$O$329,11,0)</f>
        <v>182</v>
      </c>
      <c r="O59" s="103">
        <f>VLOOKUP($A59,'OI(Value)'!$A$7:$O$329,12,0)</f>
        <v>14</v>
      </c>
      <c r="P59" s="179">
        <f>VLOOKUP(A59,'OI(Value)'!A59:O283,8,0)</f>
        <v>285</v>
      </c>
      <c r="Q59" s="179">
        <f>VLOOKUP(A59,'OI(Value)'!A59:O283,9,0)</f>
        <v>40</v>
      </c>
      <c r="R59" s="179">
        <f>VLOOKUP(A59,'OI(Value)'!A59:O283,11,0)</f>
        <v>182</v>
      </c>
      <c r="S59" s="179">
        <f>VLOOKUP(A59,'OI(Value)'!A59:O283,11,0)</f>
        <v>182</v>
      </c>
    </row>
    <row r="60" spans="1:19" x14ac:dyDescent="0.25">
      <c r="A60" s="105" t="str">
        <f>'Data Vlaue (Cr)'!C55</f>
        <v>DALBHARAT</v>
      </c>
      <c r="B60" s="143">
        <f>VLOOKUP($A60,'Data shares'!$C:$FA,118)</f>
        <v>0.64</v>
      </c>
      <c r="C60" s="143">
        <f>VLOOKUP($A60,'Data shares'!$C:$FA,119)</f>
        <v>0.63</v>
      </c>
      <c r="D60" s="143">
        <f>VLOOKUP($A60,'Data shares'!$C:$FA,121)*100</f>
        <v>1.59</v>
      </c>
      <c r="E60" s="143">
        <f>VLOOKUP($A60,'Data shares'!$C:$FA,124)</f>
        <v>0.52</v>
      </c>
      <c r="F60" s="143">
        <f>VLOOKUP($A60,'Data shares'!$C:$FA,125)</f>
        <v>0.8</v>
      </c>
      <c r="G60" s="143">
        <f>VLOOKUP($A60,'Data shares'!$C:$FA,127)*100</f>
        <v>-35</v>
      </c>
      <c r="H60" s="103">
        <f>VLOOKUP($A60,'OI(Volume)'!$A$7:$O$445,8)</f>
        <v>790075</v>
      </c>
      <c r="I60" s="103">
        <f>VLOOKUP($A60,'OI(Volume)'!$A$7:$O$445,9)</f>
        <v>40950</v>
      </c>
      <c r="J60" s="103">
        <f>VLOOKUP($A60,'OI(Volume)'!$A$7:$O$445,11)</f>
        <v>507000</v>
      </c>
      <c r="K60" s="103">
        <f>VLOOKUP($A60,'OI(Volume)'!$A$7:$O$445,12)</f>
        <v>34450</v>
      </c>
      <c r="L60" s="103">
        <f>VLOOKUP($A60,'OI(Value)'!$A$7:$O$329,8,0)</f>
        <v>157</v>
      </c>
      <c r="M60" s="103">
        <f>VLOOKUP($A60,'OI(Value)'!$A$7:$O$329,9,0)</f>
        <v>8</v>
      </c>
      <c r="N60" s="103">
        <f>VLOOKUP($A60,'OI(Value)'!$A$7:$O$329,11,0)</f>
        <v>101</v>
      </c>
      <c r="O60" s="103">
        <f>VLOOKUP($A60,'OI(Value)'!$A$7:$O$329,12,0)</f>
        <v>7</v>
      </c>
      <c r="P60" s="179">
        <f>VLOOKUP(A60,'OI(Value)'!A60:O284,8,0)</f>
        <v>157</v>
      </c>
      <c r="Q60" s="179">
        <f>VLOOKUP(A60,'OI(Value)'!A60:O284,9,0)</f>
        <v>8</v>
      </c>
      <c r="R60" s="179">
        <f>VLOOKUP(A60,'OI(Value)'!A60:O284,11,0)</f>
        <v>101</v>
      </c>
      <c r="S60" s="179">
        <f>VLOOKUP(A60,'OI(Value)'!A60:O284,11,0)</f>
        <v>101</v>
      </c>
    </row>
    <row r="61" spans="1:19" x14ac:dyDescent="0.25">
      <c r="A61" s="105" t="str">
        <f>'Data Vlaue (Cr)'!C56</f>
        <v>DELHIVERY</v>
      </c>
      <c r="B61" s="143">
        <f>VLOOKUP($A61,'Data shares'!$C:$FA,118)</f>
        <v>0.38</v>
      </c>
      <c r="C61" s="143">
        <f>VLOOKUP($A61,'Data shares'!$C:$FA,119)</f>
        <v>0.39</v>
      </c>
      <c r="D61" s="143">
        <f>VLOOKUP($A61,'Data shares'!$C:$FA,121)*100</f>
        <v>-2.56</v>
      </c>
      <c r="E61" s="143">
        <f>VLOOKUP($A61,'Data shares'!$C:$FA,124)</f>
        <v>0.33</v>
      </c>
      <c r="F61" s="143">
        <f>VLOOKUP($A61,'Data shares'!$C:$FA,125)</f>
        <v>0.41</v>
      </c>
      <c r="G61" s="143">
        <f>VLOOKUP($A61,'Data shares'!$C:$FA,127)*100</f>
        <v>-19.509999999999998</v>
      </c>
      <c r="H61" s="103">
        <f>VLOOKUP($A61,'OI(Volume)'!$A$7:$O$445,8)</f>
        <v>5563075</v>
      </c>
      <c r="I61" s="103">
        <f>VLOOKUP($A61,'OI(Volume)'!$A$7:$O$445,9)</f>
        <v>348600</v>
      </c>
      <c r="J61" s="103">
        <f>VLOOKUP($A61,'OI(Volume)'!$A$7:$O$445,11)</f>
        <v>2118575</v>
      </c>
      <c r="K61" s="103">
        <f>VLOOKUP($A61,'OI(Volume)'!$A$7:$O$445,12)</f>
        <v>87150</v>
      </c>
      <c r="L61" s="103">
        <f>VLOOKUP($A61,'OI(Value)'!$A$7:$O$329,8,0)</f>
        <v>261</v>
      </c>
      <c r="M61" s="103">
        <f>VLOOKUP($A61,'OI(Value)'!$A$7:$O$329,9,0)</f>
        <v>16</v>
      </c>
      <c r="N61" s="103">
        <f>VLOOKUP($A61,'OI(Value)'!$A$7:$O$329,11,0)</f>
        <v>99</v>
      </c>
      <c r="O61" s="103">
        <f>VLOOKUP($A61,'OI(Value)'!$A$7:$O$329,12,0)</f>
        <v>4</v>
      </c>
      <c r="P61" s="179">
        <f>VLOOKUP(A61,'OI(Value)'!A61:O285,8,0)</f>
        <v>261</v>
      </c>
      <c r="Q61" s="179">
        <f>VLOOKUP(A61,'OI(Value)'!A61:O285,9,0)</f>
        <v>16</v>
      </c>
      <c r="R61" s="179">
        <f>VLOOKUP(A61,'OI(Value)'!A61:O285,11,0)</f>
        <v>99</v>
      </c>
      <c r="S61" s="179">
        <f>VLOOKUP(A61,'OI(Value)'!A61:O285,11,0)</f>
        <v>99</v>
      </c>
    </row>
    <row r="62" spans="1:19" x14ac:dyDescent="0.25">
      <c r="A62" s="105" t="str">
        <f>'Data Vlaue (Cr)'!C57</f>
        <v>DIVISLAB</v>
      </c>
      <c r="B62" s="143">
        <f>VLOOKUP($A62,'Data shares'!$C:$FA,118)</f>
        <v>0.74</v>
      </c>
      <c r="C62" s="143">
        <f>VLOOKUP($A62,'Data shares'!$C:$FA,119)</f>
        <v>0.75</v>
      </c>
      <c r="D62" s="143">
        <f>VLOOKUP($A62,'Data shares'!$C:$FA,121)*100</f>
        <v>-1.3299999999999998</v>
      </c>
      <c r="E62" s="143">
        <f>VLOOKUP($A62,'Data shares'!$C:$FA,124)</f>
        <v>0.35</v>
      </c>
      <c r="F62" s="143">
        <f>VLOOKUP($A62,'Data shares'!$C:$FA,125)</f>
        <v>0.47</v>
      </c>
      <c r="G62" s="143">
        <f>VLOOKUP($A62,'Data shares'!$C:$FA,127)*100</f>
        <v>-25.53</v>
      </c>
      <c r="H62" s="103">
        <f>VLOOKUP($A62,'OI(Volume)'!$A$7:$O$445,8)</f>
        <v>562100</v>
      </c>
      <c r="I62" s="103">
        <f>VLOOKUP($A62,'OI(Volume)'!$A$7:$O$445,9)</f>
        <v>109700</v>
      </c>
      <c r="J62" s="103">
        <f>VLOOKUP($A62,'OI(Volume)'!$A$7:$O$445,11)</f>
        <v>415000</v>
      </c>
      <c r="K62" s="103">
        <f>VLOOKUP($A62,'OI(Volume)'!$A$7:$O$445,12)</f>
        <v>77600</v>
      </c>
      <c r="L62" s="103">
        <f>VLOOKUP($A62,'OI(Value)'!$A$7:$O$329,8,0)</f>
        <v>373</v>
      </c>
      <c r="M62" s="103">
        <f>VLOOKUP($A62,'OI(Value)'!$A$7:$O$329,9,0)</f>
        <v>73</v>
      </c>
      <c r="N62" s="103">
        <f>VLOOKUP($A62,'OI(Value)'!$A$7:$O$329,11,0)</f>
        <v>276</v>
      </c>
      <c r="O62" s="103">
        <f>VLOOKUP($A62,'OI(Value)'!$A$7:$O$329,12,0)</f>
        <v>52</v>
      </c>
      <c r="P62" s="179">
        <f>VLOOKUP(A62,'OI(Value)'!A62:O286,8,0)</f>
        <v>373</v>
      </c>
      <c r="Q62" s="179">
        <f>VLOOKUP(A62,'OI(Value)'!A62:O286,9,0)</f>
        <v>73</v>
      </c>
      <c r="R62" s="179">
        <f>VLOOKUP(A62,'OI(Value)'!A62:O286,11,0)</f>
        <v>276</v>
      </c>
      <c r="S62" s="179">
        <f>VLOOKUP(A62,'OI(Value)'!A62:O286,11,0)</f>
        <v>276</v>
      </c>
    </row>
    <row r="63" spans="1:19" x14ac:dyDescent="0.25">
      <c r="A63" s="105" t="str">
        <f>'Data Vlaue (Cr)'!C58</f>
        <v>DIXON</v>
      </c>
      <c r="B63" s="143">
        <f>VLOOKUP($A63,'Data shares'!$C:$FA,118)</f>
        <v>0.94</v>
      </c>
      <c r="C63" s="143">
        <f>VLOOKUP($A63,'Data shares'!$C:$FA,119)</f>
        <v>0.92</v>
      </c>
      <c r="D63" s="143">
        <f>VLOOKUP($A63,'Data shares'!$C:$FA,121)*100</f>
        <v>2.17</v>
      </c>
      <c r="E63" s="143">
        <f>VLOOKUP($A63,'Data shares'!$C:$FA,124)</f>
        <v>0.74</v>
      </c>
      <c r="F63" s="143">
        <f>VLOOKUP($A63,'Data shares'!$C:$FA,125)</f>
        <v>0.67</v>
      </c>
      <c r="G63" s="143">
        <f>VLOOKUP($A63,'Data shares'!$C:$FA,127)*100</f>
        <v>10.45</v>
      </c>
      <c r="H63" s="103">
        <f>VLOOKUP($A63,'OI(Volume)'!$A$7:$O$445,8)</f>
        <v>949650</v>
      </c>
      <c r="I63" s="103">
        <f>VLOOKUP($A63,'OI(Volume)'!$A$7:$O$445,9)</f>
        <v>23150</v>
      </c>
      <c r="J63" s="103">
        <f>VLOOKUP($A63,'OI(Volume)'!$A$7:$O$445,11)</f>
        <v>889250</v>
      </c>
      <c r="K63" s="103">
        <f>VLOOKUP($A63,'OI(Volume)'!$A$7:$O$445,12)</f>
        <v>39450</v>
      </c>
      <c r="L63" s="103">
        <f>VLOOKUP($A63,'OI(Value)'!$A$7:$O$329,8,0)</f>
        <v>1089</v>
      </c>
      <c r="M63" s="103">
        <f>VLOOKUP($A63,'OI(Value)'!$A$7:$O$329,9,0)</f>
        <v>27</v>
      </c>
      <c r="N63" s="103">
        <f>VLOOKUP($A63,'OI(Value)'!$A$7:$O$329,11,0)</f>
        <v>1020</v>
      </c>
      <c r="O63" s="103">
        <f>VLOOKUP($A63,'OI(Value)'!$A$7:$O$329,12,0)</f>
        <v>45</v>
      </c>
      <c r="P63" s="179">
        <f>VLOOKUP(A63,'OI(Value)'!A63:O287,8,0)</f>
        <v>1089</v>
      </c>
      <c r="Q63" s="179">
        <f>VLOOKUP(A63,'OI(Value)'!A63:O287,9,0)</f>
        <v>27</v>
      </c>
      <c r="R63" s="179">
        <f>VLOOKUP(A63,'OI(Value)'!A63:O287,11,0)</f>
        <v>1020</v>
      </c>
      <c r="S63" s="179">
        <f>VLOOKUP(A63,'OI(Value)'!A63:O287,11,0)</f>
        <v>1020</v>
      </c>
    </row>
    <row r="64" spans="1:19" x14ac:dyDescent="0.25">
      <c r="A64" s="105" t="str">
        <f>'Data Vlaue (Cr)'!C59</f>
        <v>DLF</v>
      </c>
      <c r="B64" s="143">
        <f>VLOOKUP($A64,'Data shares'!$C:$FA,118)</f>
        <v>0.81</v>
      </c>
      <c r="C64" s="143">
        <f>VLOOKUP($A64,'Data shares'!$C:$FA,119)</f>
        <v>0.88</v>
      </c>
      <c r="D64" s="143">
        <f>VLOOKUP($A64,'Data shares'!$C:$FA,121)*100</f>
        <v>-7.95</v>
      </c>
      <c r="E64" s="143">
        <f>VLOOKUP($A64,'Data shares'!$C:$FA,124)</f>
        <v>0.42</v>
      </c>
      <c r="F64" s="143">
        <f>VLOOKUP($A64,'Data shares'!$C:$FA,125)</f>
        <v>1.32</v>
      </c>
      <c r="G64" s="143">
        <f>VLOOKUP($A64,'Data shares'!$C:$FA,127)*100</f>
        <v>-68.179999999999993</v>
      </c>
      <c r="H64" s="103">
        <f>VLOOKUP($A64,'OI(Volume)'!$A$7:$O$445,8)</f>
        <v>7092525</v>
      </c>
      <c r="I64" s="103">
        <f>VLOOKUP($A64,'OI(Volume)'!$A$7:$O$445,9)</f>
        <v>929775</v>
      </c>
      <c r="J64" s="103">
        <f>VLOOKUP($A64,'OI(Volume)'!$A$7:$O$445,11)</f>
        <v>5711475</v>
      </c>
      <c r="K64" s="103">
        <f>VLOOKUP($A64,'OI(Volume)'!$A$7:$O$445,12)</f>
        <v>310200</v>
      </c>
      <c r="L64" s="103">
        <f>VLOOKUP($A64,'OI(Value)'!$A$7:$O$329,8,0)</f>
        <v>432</v>
      </c>
      <c r="M64" s="103">
        <f>VLOOKUP($A64,'OI(Value)'!$A$7:$O$329,9,0)</f>
        <v>57</v>
      </c>
      <c r="N64" s="103">
        <f>VLOOKUP($A64,'OI(Value)'!$A$7:$O$329,11,0)</f>
        <v>348</v>
      </c>
      <c r="O64" s="103">
        <f>VLOOKUP($A64,'OI(Value)'!$A$7:$O$329,12,0)</f>
        <v>19</v>
      </c>
      <c r="P64" s="179">
        <f>VLOOKUP(A64,'OI(Value)'!A64:O288,8,0)</f>
        <v>432</v>
      </c>
      <c r="Q64" s="179">
        <f>VLOOKUP(A64,'OI(Value)'!A64:O288,9,0)</f>
        <v>57</v>
      </c>
      <c r="R64" s="179">
        <f>VLOOKUP(A64,'OI(Value)'!A64:O288,11,0)</f>
        <v>348</v>
      </c>
      <c r="S64" s="179">
        <f>VLOOKUP(A64,'OI(Value)'!A64:O288,11,0)</f>
        <v>348</v>
      </c>
    </row>
    <row r="65" spans="1:19" x14ac:dyDescent="0.25">
      <c r="A65" s="105" t="str">
        <f>'Data Vlaue (Cr)'!C60</f>
        <v>DMART</v>
      </c>
      <c r="B65" s="143">
        <f>VLOOKUP($A65,'Data shares'!$C:$FA,118)</f>
        <v>0.48</v>
      </c>
      <c r="C65" s="143">
        <f>VLOOKUP($A65,'Data shares'!$C:$FA,119)</f>
        <v>0.69</v>
      </c>
      <c r="D65" s="143">
        <f>VLOOKUP($A65,'Data shares'!$C:$FA,121)*100</f>
        <v>-30.43</v>
      </c>
      <c r="E65" s="143">
        <f>VLOOKUP($A65,'Data shares'!$C:$FA,124)</f>
        <v>0.49</v>
      </c>
      <c r="F65" s="143">
        <f>VLOOKUP($A65,'Data shares'!$C:$FA,125)</f>
        <v>0.56000000000000005</v>
      </c>
      <c r="G65" s="143">
        <f>VLOOKUP($A65,'Data shares'!$C:$FA,127)*100</f>
        <v>-12.5</v>
      </c>
      <c r="H65" s="103">
        <f>VLOOKUP($A65,'OI(Volume)'!$A$7:$O$445,8)</f>
        <v>1853700</v>
      </c>
      <c r="I65" s="103">
        <f>VLOOKUP($A65,'OI(Volume)'!$A$7:$O$445,9)</f>
        <v>1137450</v>
      </c>
      <c r="J65" s="103">
        <f>VLOOKUP($A65,'OI(Volume)'!$A$7:$O$445,11)</f>
        <v>889350</v>
      </c>
      <c r="K65" s="103">
        <f>VLOOKUP($A65,'OI(Volume)'!$A$7:$O$445,12)</f>
        <v>392700</v>
      </c>
      <c r="L65" s="103">
        <f>VLOOKUP($A65,'OI(Value)'!$A$7:$O$329,8,0)</f>
        <v>809</v>
      </c>
      <c r="M65" s="103">
        <f>VLOOKUP($A65,'OI(Value)'!$A$7:$O$329,9,0)</f>
        <v>496</v>
      </c>
      <c r="N65" s="103">
        <f>VLOOKUP($A65,'OI(Value)'!$A$7:$O$329,11,0)</f>
        <v>388</v>
      </c>
      <c r="O65" s="103">
        <f>VLOOKUP($A65,'OI(Value)'!$A$7:$O$329,12,0)</f>
        <v>171</v>
      </c>
      <c r="P65" s="179">
        <f>VLOOKUP(A65,'OI(Value)'!A65:O289,8,0)</f>
        <v>809</v>
      </c>
      <c r="Q65" s="179">
        <f>VLOOKUP(A65,'OI(Value)'!A65:O289,9,0)</f>
        <v>496</v>
      </c>
      <c r="R65" s="179">
        <f>VLOOKUP(A65,'OI(Value)'!A65:O289,11,0)</f>
        <v>388</v>
      </c>
      <c r="S65" s="179">
        <f>VLOOKUP(A65,'OI(Value)'!A65:O289,11,0)</f>
        <v>388</v>
      </c>
    </row>
    <row r="66" spans="1:19" x14ac:dyDescent="0.25">
      <c r="A66" s="105" t="str">
        <f>'Data Vlaue (Cr)'!C61</f>
        <v>DRREDDY</v>
      </c>
      <c r="B66" s="143">
        <f>VLOOKUP($A66,'Data shares'!$C:$FA,118)</f>
        <v>0.51</v>
      </c>
      <c r="C66" s="143">
        <f>VLOOKUP($A66,'Data shares'!$C:$FA,119)</f>
        <v>0.57999999999999996</v>
      </c>
      <c r="D66" s="143">
        <f>VLOOKUP($A66,'Data shares'!$C:$FA,121)*100</f>
        <v>-12.07</v>
      </c>
      <c r="E66" s="143">
        <f>VLOOKUP($A66,'Data shares'!$C:$FA,124)</f>
        <v>0.6</v>
      </c>
      <c r="F66" s="143">
        <f>VLOOKUP($A66,'Data shares'!$C:$FA,125)</f>
        <v>0.68</v>
      </c>
      <c r="G66" s="143">
        <f>VLOOKUP($A66,'Data shares'!$C:$FA,127)*100</f>
        <v>-11.76</v>
      </c>
      <c r="H66" s="103">
        <f>VLOOKUP($A66,'OI(Volume)'!$A$7:$O$445,8)</f>
        <v>8417500</v>
      </c>
      <c r="I66" s="103">
        <f>VLOOKUP($A66,'OI(Volume)'!$A$7:$O$445,9)</f>
        <v>1568750</v>
      </c>
      <c r="J66" s="103">
        <f>VLOOKUP($A66,'OI(Volume)'!$A$7:$O$445,11)</f>
        <v>4275000</v>
      </c>
      <c r="K66" s="103">
        <f>VLOOKUP($A66,'OI(Volume)'!$A$7:$O$445,12)</f>
        <v>304375</v>
      </c>
      <c r="L66" s="103">
        <f>VLOOKUP($A66,'OI(Value)'!$A$7:$O$329,8,0)</f>
        <v>1078</v>
      </c>
      <c r="M66" s="103">
        <f>VLOOKUP($A66,'OI(Value)'!$A$7:$O$329,9,0)</f>
        <v>201</v>
      </c>
      <c r="N66" s="103">
        <f>VLOOKUP($A66,'OI(Value)'!$A$7:$O$329,11,0)</f>
        <v>548</v>
      </c>
      <c r="O66" s="103">
        <f>VLOOKUP($A66,'OI(Value)'!$A$7:$O$329,12,0)</f>
        <v>39</v>
      </c>
      <c r="P66" s="179">
        <f>VLOOKUP(A66,'OI(Value)'!A66:O290,8,0)</f>
        <v>1078</v>
      </c>
      <c r="Q66" s="179">
        <f>VLOOKUP(A66,'OI(Value)'!A66:O290,9,0)</f>
        <v>201</v>
      </c>
      <c r="R66" s="179">
        <f>VLOOKUP(A66,'OI(Value)'!A66:O290,11,0)</f>
        <v>548</v>
      </c>
      <c r="S66" s="179">
        <f>VLOOKUP(A66,'OI(Value)'!A66:O290,11,0)</f>
        <v>548</v>
      </c>
    </row>
    <row r="67" spans="1:19" x14ac:dyDescent="0.25">
      <c r="A67" s="105" t="str">
        <f>'Data Vlaue (Cr)'!C62</f>
        <v>EICHERMOT</v>
      </c>
      <c r="B67" s="143">
        <f>VLOOKUP($A67,'Data shares'!$C:$FA,118)</f>
        <v>0.79</v>
      </c>
      <c r="C67" s="143">
        <f>VLOOKUP($A67,'Data shares'!$C:$FA,119)</f>
        <v>0.87</v>
      </c>
      <c r="D67" s="143">
        <f>VLOOKUP($A67,'Data shares'!$C:$FA,121)*100</f>
        <v>-9.1999999999999993</v>
      </c>
      <c r="E67" s="143">
        <f>VLOOKUP($A67,'Data shares'!$C:$FA,124)</f>
        <v>0.34</v>
      </c>
      <c r="F67" s="143">
        <f>VLOOKUP($A67,'Data shares'!$C:$FA,125)</f>
        <v>0.93</v>
      </c>
      <c r="G67" s="143">
        <f>VLOOKUP($A67,'Data shares'!$C:$FA,127)*100</f>
        <v>-63.44</v>
      </c>
      <c r="H67" s="103">
        <f>VLOOKUP($A67,'OI(Volume)'!$A$7:$O$445,8)</f>
        <v>979500</v>
      </c>
      <c r="I67" s="103">
        <f>VLOOKUP($A67,'OI(Volume)'!$A$7:$O$445,9)</f>
        <v>141700</v>
      </c>
      <c r="J67" s="103">
        <f>VLOOKUP($A67,'OI(Volume)'!$A$7:$O$445,11)</f>
        <v>778200</v>
      </c>
      <c r="K67" s="103">
        <f>VLOOKUP($A67,'OI(Volume)'!$A$7:$O$445,12)</f>
        <v>52500</v>
      </c>
      <c r="L67" s="103">
        <f>VLOOKUP($A67,'OI(Value)'!$A$7:$O$329,8,0)</f>
        <v>720</v>
      </c>
      <c r="M67" s="103">
        <f>VLOOKUP($A67,'OI(Value)'!$A$7:$O$329,9,0)</f>
        <v>104</v>
      </c>
      <c r="N67" s="103">
        <f>VLOOKUP($A67,'OI(Value)'!$A$7:$O$329,11,0)</f>
        <v>572</v>
      </c>
      <c r="O67" s="103">
        <f>VLOOKUP($A67,'OI(Value)'!$A$7:$O$329,12,0)</f>
        <v>39</v>
      </c>
      <c r="P67" s="179">
        <f>VLOOKUP(A67,'OI(Value)'!A67:O291,8,0)</f>
        <v>720</v>
      </c>
      <c r="Q67" s="179">
        <f>VLOOKUP(A67,'OI(Value)'!A67:O291,9,0)</f>
        <v>104</v>
      </c>
      <c r="R67" s="179">
        <f>VLOOKUP(A67,'OI(Value)'!A67:O291,11,0)</f>
        <v>572</v>
      </c>
      <c r="S67" s="179">
        <f>VLOOKUP(A67,'OI(Value)'!A67:O291,11,0)</f>
        <v>572</v>
      </c>
    </row>
    <row r="68" spans="1:19" x14ac:dyDescent="0.25">
      <c r="A68" s="105" t="str">
        <f>'Data Vlaue (Cr)'!C63</f>
        <v>ETERNAL</v>
      </c>
      <c r="B68" s="143">
        <f>VLOOKUP($A68,'Data shares'!$C:$FA,118)</f>
        <v>0.54</v>
      </c>
      <c r="C68" s="143">
        <f>VLOOKUP($A68,'Data shares'!$C:$FA,119)</f>
        <v>0.53</v>
      </c>
      <c r="D68" s="143">
        <f>VLOOKUP($A68,'Data shares'!$C:$FA,121)*100</f>
        <v>1.8900000000000001</v>
      </c>
      <c r="E68" s="143">
        <f>VLOOKUP($A68,'Data shares'!$C:$FA,124)</f>
        <v>0.51</v>
      </c>
      <c r="F68" s="143">
        <f>VLOOKUP($A68,'Data shares'!$C:$FA,125)</f>
        <v>0.55000000000000004</v>
      </c>
      <c r="G68" s="143">
        <f>VLOOKUP($A68,'Data shares'!$C:$FA,127)*100</f>
        <v>-7.2700000000000005</v>
      </c>
      <c r="H68" s="103">
        <f>VLOOKUP($A68,'OI(Volume)'!$A$7:$O$445,8)</f>
        <v>93343100</v>
      </c>
      <c r="I68" s="103">
        <f>VLOOKUP($A68,'OI(Volume)'!$A$7:$O$445,9)</f>
        <v>771150</v>
      </c>
      <c r="J68" s="103">
        <f>VLOOKUP($A68,'OI(Volume)'!$A$7:$O$445,11)</f>
        <v>50847400</v>
      </c>
      <c r="K68" s="103">
        <f>VLOOKUP($A68,'OI(Volume)'!$A$7:$O$445,12)</f>
        <v>1404075</v>
      </c>
      <c r="L68" s="103">
        <f>VLOOKUP($A68,'OI(Value)'!$A$7:$O$329,8,0)</f>
        <v>2365</v>
      </c>
      <c r="M68" s="103">
        <f>VLOOKUP($A68,'OI(Value)'!$A$7:$O$329,9,0)</f>
        <v>20</v>
      </c>
      <c r="N68" s="103">
        <f>VLOOKUP($A68,'OI(Value)'!$A$7:$O$329,11,0)</f>
        <v>1288</v>
      </c>
      <c r="O68" s="103">
        <f>VLOOKUP($A68,'OI(Value)'!$A$7:$O$329,12,0)</f>
        <v>36</v>
      </c>
      <c r="P68" s="179">
        <f>VLOOKUP(A68,'OI(Value)'!A68:O292,8,0)</f>
        <v>2365</v>
      </c>
      <c r="Q68" s="179">
        <f>VLOOKUP(A68,'OI(Value)'!A68:O292,9,0)</f>
        <v>20</v>
      </c>
      <c r="R68" s="179">
        <f>VLOOKUP(A68,'OI(Value)'!A68:O292,11,0)</f>
        <v>1288</v>
      </c>
      <c r="S68" s="179">
        <f>VLOOKUP(A68,'OI(Value)'!A68:O292,11,0)</f>
        <v>1288</v>
      </c>
    </row>
    <row r="69" spans="1:19" x14ac:dyDescent="0.25">
      <c r="A69" s="105" t="str">
        <f>'Data Vlaue (Cr)'!C64</f>
        <v>EXIDEIND</v>
      </c>
      <c r="B69" s="143">
        <f>VLOOKUP($A69,'Data shares'!$C:$FA,118)</f>
        <v>0.62</v>
      </c>
      <c r="C69" s="143">
        <f>VLOOKUP($A69,'Data shares'!$C:$FA,119)</f>
        <v>0.67</v>
      </c>
      <c r="D69" s="143">
        <f>VLOOKUP($A69,'Data shares'!$C:$FA,121)*100</f>
        <v>-7.46</v>
      </c>
      <c r="E69" s="143">
        <f>VLOOKUP($A69,'Data shares'!$C:$FA,124)</f>
        <v>0.49</v>
      </c>
      <c r="F69" s="143">
        <f>VLOOKUP($A69,'Data shares'!$C:$FA,125)</f>
        <v>0.47</v>
      </c>
      <c r="G69" s="143">
        <f>VLOOKUP($A69,'Data shares'!$C:$FA,127)*100</f>
        <v>4.26</v>
      </c>
      <c r="H69" s="103">
        <f>VLOOKUP($A69,'OI(Volume)'!$A$7:$O$445,8)</f>
        <v>14580000</v>
      </c>
      <c r="I69" s="103">
        <f>VLOOKUP($A69,'OI(Volume)'!$A$7:$O$445,9)</f>
        <v>5034600</v>
      </c>
      <c r="J69" s="103">
        <f>VLOOKUP($A69,'OI(Volume)'!$A$7:$O$445,11)</f>
        <v>9021600</v>
      </c>
      <c r="K69" s="103">
        <f>VLOOKUP($A69,'OI(Volume)'!$A$7:$O$445,12)</f>
        <v>2581200</v>
      </c>
      <c r="L69" s="103">
        <f>VLOOKUP($A69,'OI(Value)'!$A$7:$O$329,8,0)</f>
        <v>525</v>
      </c>
      <c r="M69" s="103">
        <f>VLOOKUP($A69,'OI(Value)'!$A$7:$O$329,9,0)</f>
        <v>181</v>
      </c>
      <c r="N69" s="103">
        <f>VLOOKUP($A69,'OI(Value)'!$A$7:$O$329,11,0)</f>
        <v>325</v>
      </c>
      <c r="O69" s="103">
        <f>VLOOKUP($A69,'OI(Value)'!$A$7:$O$329,12,0)</f>
        <v>93</v>
      </c>
      <c r="P69" s="179">
        <f>VLOOKUP(A69,'OI(Value)'!A69:O293,8,0)</f>
        <v>525</v>
      </c>
      <c r="Q69" s="179">
        <f>VLOOKUP(A69,'OI(Value)'!A69:O293,9,0)</f>
        <v>181</v>
      </c>
      <c r="R69" s="179">
        <f>VLOOKUP(A69,'OI(Value)'!A69:O293,11,0)</f>
        <v>325</v>
      </c>
      <c r="S69" s="179">
        <f>VLOOKUP(A69,'OI(Value)'!A69:O293,11,0)</f>
        <v>325</v>
      </c>
    </row>
    <row r="70" spans="1:19" x14ac:dyDescent="0.25">
      <c r="A70" s="105" t="str">
        <f>'Data Vlaue (Cr)'!C65</f>
        <v>FEDERALBNK</v>
      </c>
      <c r="B70" s="143">
        <f>VLOOKUP($A70,'Data shares'!$C:$FA,118)</f>
        <v>0.54</v>
      </c>
      <c r="C70" s="143">
        <f>VLOOKUP($A70,'Data shares'!$C:$FA,119)</f>
        <v>0.51</v>
      </c>
      <c r="D70" s="143">
        <f>VLOOKUP($A70,'Data shares'!$C:$FA,121)*100</f>
        <v>5.88</v>
      </c>
      <c r="E70" s="143">
        <f>VLOOKUP($A70,'Data shares'!$C:$FA,124)</f>
        <v>0.46</v>
      </c>
      <c r="F70" s="143">
        <f>VLOOKUP($A70,'Data shares'!$C:$FA,125)</f>
        <v>0.4</v>
      </c>
      <c r="G70" s="143">
        <f>VLOOKUP($A70,'Data shares'!$C:$FA,127)*100</f>
        <v>15</v>
      </c>
      <c r="H70" s="103">
        <f>VLOOKUP($A70,'OI(Volume)'!$A$7:$O$445,8)</f>
        <v>36250000</v>
      </c>
      <c r="I70" s="103">
        <f>VLOOKUP($A70,'OI(Volume)'!$A$7:$O$445,9)</f>
        <v>-2062500</v>
      </c>
      <c r="J70" s="103">
        <f>VLOOKUP($A70,'OI(Volume)'!$A$7:$O$445,11)</f>
        <v>19615000</v>
      </c>
      <c r="K70" s="103">
        <f>VLOOKUP($A70,'OI(Volume)'!$A$7:$O$445,12)</f>
        <v>40000</v>
      </c>
      <c r="L70" s="103">
        <f>VLOOKUP($A70,'OI(Value)'!$A$7:$O$329,8,0)</f>
        <v>1054</v>
      </c>
      <c r="M70" s="103">
        <f>VLOOKUP($A70,'OI(Value)'!$A$7:$O$329,9,0)</f>
        <v>-60</v>
      </c>
      <c r="N70" s="103">
        <f>VLOOKUP($A70,'OI(Value)'!$A$7:$O$329,11,0)</f>
        <v>570</v>
      </c>
      <c r="O70" s="103">
        <f>VLOOKUP($A70,'OI(Value)'!$A$7:$O$329,12,0)</f>
        <v>1</v>
      </c>
      <c r="P70" s="179">
        <f>VLOOKUP(A70,'OI(Value)'!A70:O294,8,0)</f>
        <v>1054</v>
      </c>
      <c r="Q70" s="179">
        <f>VLOOKUP(A70,'OI(Value)'!A70:O294,9,0)</f>
        <v>-60</v>
      </c>
      <c r="R70" s="179">
        <f>VLOOKUP(A70,'OI(Value)'!A70:O294,11,0)</f>
        <v>570</v>
      </c>
      <c r="S70" s="179">
        <f>VLOOKUP(A70,'OI(Value)'!A70:O294,11,0)</f>
        <v>570</v>
      </c>
    </row>
    <row r="71" spans="1:19" x14ac:dyDescent="0.25">
      <c r="A71" s="105" t="str">
        <f>'Data Vlaue (Cr)'!C66</f>
        <v>FINNIFTY</v>
      </c>
      <c r="B71" s="143">
        <f>VLOOKUP($A71,'Data shares'!$C:$FA,118)</f>
        <v>0.61</v>
      </c>
      <c r="C71" s="143">
        <f>VLOOKUP($A71,'Data shares'!$C:$FA,119)</f>
        <v>0.44</v>
      </c>
      <c r="D71" s="143">
        <f>VLOOKUP($A71,'Data shares'!$C:$FA,121)*100</f>
        <v>38.64</v>
      </c>
      <c r="E71" s="143">
        <f>VLOOKUP($A71,'Data shares'!$C:$FA,124)</f>
        <v>0.62</v>
      </c>
      <c r="F71" s="143">
        <f>VLOOKUP($A71,'Data shares'!$C:$FA,125)</f>
        <v>0.76</v>
      </c>
      <c r="G71" s="143">
        <f>VLOOKUP($A71,'Data shares'!$C:$FA,127)*100</f>
        <v>-18.420000000000002</v>
      </c>
      <c r="H71" s="103">
        <f>VLOOKUP($A71,'OI(Volume)'!$A$7:$O$445,8)</f>
        <v>145620</v>
      </c>
      <c r="I71" s="103">
        <f>VLOOKUP($A71,'OI(Volume)'!$A$7:$O$445,9)</f>
        <v>38340</v>
      </c>
      <c r="J71" s="103">
        <f>VLOOKUP($A71,'OI(Volume)'!$A$7:$O$445,11)</f>
        <v>88740</v>
      </c>
      <c r="K71" s="103">
        <f>VLOOKUP($A71,'OI(Volume)'!$A$7:$O$445,12)</f>
        <v>41040</v>
      </c>
      <c r="L71" s="103">
        <f>VLOOKUP($A71,'OI(Value)'!$A$7:$O$329,8,0)</f>
        <v>378</v>
      </c>
      <c r="M71" s="103">
        <f>VLOOKUP($A71,'OI(Value)'!$A$7:$O$329,9,0)</f>
        <v>99</v>
      </c>
      <c r="N71" s="103">
        <f>VLOOKUP($A71,'OI(Value)'!$A$7:$O$329,11,0)</f>
        <v>230</v>
      </c>
      <c r="O71" s="103">
        <f>VLOOKUP($A71,'OI(Value)'!$A$7:$O$329,12,0)</f>
        <v>106</v>
      </c>
      <c r="P71" s="179">
        <f>VLOOKUP(A71,'OI(Value)'!A71:O295,8,0)</f>
        <v>378</v>
      </c>
      <c r="Q71" s="179">
        <f>VLOOKUP(A71,'OI(Value)'!A71:O295,9,0)</f>
        <v>99</v>
      </c>
      <c r="R71" s="179">
        <f>VLOOKUP(A71,'OI(Value)'!A71:O295,11,0)</f>
        <v>230</v>
      </c>
      <c r="S71" s="179">
        <f>VLOOKUP(A71,'OI(Value)'!A71:O295,11,0)</f>
        <v>230</v>
      </c>
    </row>
    <row r="72" spans="1:19" x14ac:dyDescent="0.25">
      <c r="A72" s="105" t="str">
        <f>'Data Vlaue (Cr)'!C67</f>
        <v>FORCEMOT</v>
      </c>
      <c r="B72" s="143">
        <f>VLOOKUP($A72,'Data shares'!$C:$FA,118)</f>
        <v>0.34</v>
      </c>
      <c r="C72" s="143">
        <f>VLOOKUP($A72,'Data shares'!$C:$FA,119)</f>
        <v>0.4</v>
      </c>
      <c r="D72" s="143">
        <f>VLOOKUP($A72,'Data shares'!$C:$FA,121)*100</f>
        <v>-15</v>
      </c>
      <c r="E72" s="143">
        <f>VLOOKUP($A72,'Data shares'!$C:$FA,124)</f>
        <v>0.27</v>
      </c>
      <c r="F72" s="143">
        <f>VLOOKUP($A72,'Data shares'!$C:$FA,125)</f>
        <v>0.56999999999999995</v>
      </c>
      <c r="G72" s="143">
        <f>VLOOKUP($A72,'Data shares'!$C:$FA,127)*100</f>
        <v>-52.629999999999995</v>
      </c>
      <c r="H72" s="103">
        <f>VLOOKUP($A72,'OI(Volume)'!$A$7:$O$445,8)</f>
        <v>150225</v>
      </c>
      <c r="I72" s="103">
        <f>VLOOKUP($A72,'OI(Volume)'!$A$7:$O$445,9)</f>
        <v>28800</v>
      </c>
      <c r="J72" s="103">
        <f>VLOOKUP($A72,'OI(Volume)'!$A$7:$O$445,11)</f>
        <v>50350</v>
      </c>
      <c r="K72" s="103">
        <f>VLOOKUP($A72,'OI(Volume)'!$A$7:$O$445,12)</f>
        <v>2075</v>
      </c>
      <c r="L72" s="103">
        <f>VLOOKUP($A72,'OI(Value)'!$A$7:$O$329,8,0)</f>
        <v>287</v>
      </c>
      <c r="M72" s="103">
        <f>VLOOKUP($A72,'OI(Value)'!$A$7:$O$329,9,0)</f>
        <v>55</v>
      </c>
      <c r="N72" s="103">
        <f>VLOOKUP($A72,'OI(Value)'!$A$7:$O$329,11,0)</f>
        <v>96</v>
      </c>
      <c r="O72" s="103">
        <f>VLOOKUP($A72,'OI(Value)'!$A$7:$O$329,12,0)</f>
        <v>4</v>
      </c>
      <c r="P72" s="179">
        <f>VLOOKUP(A72,'OI(Value)'!A72:O296,8,0)</f>
        <v>287</v>
      </c>
      <c r="Q72" s="179">
        <f>VLOOKUP(A72,'OI(Value)'!A72:O296,9,0)</f>
        <v>55</v>
      </c>
      <c r="R72" s="179">
        <f>VLOOKUP(A72,'OI(Value)'!A72:O296,11,0)</f>
        <v>96</v>
      </c>
      <c r="S72" s="179">
        <f>VLOOKUP(A72,'OI(Value)'!A72:O296,11,0)</f>
        <v>96</v>
      </c>
    </row>
    <row r="73" spans="1:19" x14ac:dyDescent="0.25">
      <c r="A73" s="105" t="str">
        <f>'Data Vlaue (Cr)'!C68</f>
        <v>FORTIS</v>
      </c>
      <c r="B73" s="143">
        <f>VLOOKUP($A73,'Data shares'!$C:$FA,118)</f>
        <v>0.53</v>
      </c>
      <c r="C73" s="143">
        <f>VLOOKUP($A73,'Data shares'!$C:$FA,119)</f>
        <v>0.56000000000000005</v>
      </c>
      <c r="D73" s="143">
        <f>VLOOKUP($A73,'Data shares'!$C:$FA,121)*100</f>
        <v>-5.36</v>
      </c>
      <c r="E73" s="143">
        <f>VLOOKUP($A73,'Data shares'!$C:$FA,124)</f>
        <v>0.37</v>
      </c>
      <c r="F73" s="143">
        <f>VLOOKUP($A73,'Data shares'!$C:$FA,125)</f>
        <v>1.06</v>
      </c>
      <c r="G73" s="143">
        <f>VLOOKUP($A73,'Data shares'!$C:$FA,127)*100</f>
        <v>-65.09</v>
      </c>
      <c r="H73" s="103">
        <f>VLOOKUP($A73,'OI(Volume)'!$A$7:$O$445,8)</f>
        <v>1518225</v>
      </c>
      <c r="I73" s="103">
        <f>VLOOKUP($A73,'OI(Volume)'!$A$7:$O$445,9)</f>
        <v>375100</v>
      </c>
      <c r="J73" s="103">
        <f>VLOOKUP($A73,'OI(Volume)'!$A$7:$O$445,11)</f>
        <v>808325</v>
      </c>
      <c r="K73" s="103">
        <f>VLOOKUP($A73,'OI(Volume)'!$A$7:$O$445,12)</f>
        <v>164300</v>
      </c>
      <c r="L73" s="103">
        <f>VLOOKUP($A73,'OI(Value)'!$A$7:$O$329,8,0)</f>
        <v>145</v>
      </c>
      <c r="M73" s="103">
        <f>VLOOKUP($A73,'OI(Value)'!$A$7:$O$329,9,0)</f>
        <v>36</v>
      </c>
      <c r="N73" s="103">
        <f>VLOOKUP($A73,'OI(Value)'!$A$7:$O$329,11,0)</f>
        <v>77</v>
      </c>
      <c r="O73" s="103">
        <f>VLOOKUP($A73,'OI(Value)'!$A$7:$O$329,12,0)</f>
        <v>16</v>
      </c>
      <c r="P73" s="179">
        <f>VLOOKUP(A73,'OI(Value)'!A73:O297,8,0)</f>
        <v>145</v>
      </c>
      <c r="Q73" s="179">
        <f>VLOOKUP(A73,'OI(Value)'!A73:O297,9,0)</f>
        <v>36</v>
      </c>
      <c r="R73" s="179">
        <f>VLOOKUP(A73,'OI(Value)'!A73:O297,11,0)</f>
        <v>77</v>
      </c>
      <c r="S73" s="179">
        <f>VLOOKUP(A73,'OI(Value)'!A73:O297,11,0)</f>
        <v>77</v>
      </c>
    </row>
    <row r="74" spans="1:19" x14ac:dyDescent="0.25">
      <c r="A74" s="105" t="str">
        <f>'Data Vlaue (Cr)'!C69</f>
        <v>GAIL</v>
      </c>
      <c r="B74" s="143">
        <f>VLOOKUP($A74,'Data shares'!$C:$FA,118)</f>
        <v>1.06</v>
      </c>
      <c r="C74" s="143">
        <f>VLOOKUP($A74,'Data shares'!$C:$FA,119)</f>
        <v>1.07</v>
      </c>
      <c r="D74" s="143">
        <f>VLOOKUP($A74,'Data shares'!$C:$FA,121)*100</f>
        <v>-0.92999999999999994</v>
      </c>
      <c r="E74" s="143">
        <f>VLOOKUP($A74,'Data shares'!$C:$FA,124)</f>
        <v>0.47</v>
      </c>
      <c r="F74" s="143">
        <f>VLOOKUP($A74,'Data shares'!$C:$FA,125)</f>
        <v>0.71</v>
      </c>
      <c r="G74" s="143">
        <f>VLOOKUP($A74,'Data shares'!$C:$FA,127)*100</f>
        <v>-33.800000000000004</v>
      </c>
      <c r="H74" s="103">
        <f>VLOOKUP($A74,'OI(Volume)'!$A$7:$O$445,8)</f>
        <v>16855650</v>
      </c>
      <c r="I74" s="103">
        <f>VLOOKUP($A74,'OI(Volume)'!$A$7:$O$445,9)</f>
        <v>434700</v>
      </c>
      <c r="J74" s="103">
        <f>VLOOKUP($A74,'OI(Volume)'!$A$7:$O$445,11)</f>
        <v>17847900</v>
      </c>
      <c r="K74" s="103">
        <f>VLOOKUP($A74,'OI(Volume)'!$A$7:$O$445,12)</f>
        <v>299250</v>
      </c>
      <c r="L74" s="103">
        <f>VLOOKUP($A74,'OI(Value)'!$A$7:$O$329,8,0)</f>
        <v>279</v>
      </c>
      <c r="M74" s="103">
        <f>VLOOKUP($A74,'OI(Value)'!$A$7:$O$329,9,0)</f>
        <v>7</v>
      </c>
      <c r="N74" s="103">
        <f>VLOOKUP($A74,'OI(Value)'!$A$7:$O$329,11,0)</f>
        <v>295</v>
      </c>
      <c r="O74" s="103">
        <f>VLOOKUP($A74,'OI(Value)'!$A$7:$O$329,12,0)</f>
        <v>5</v>
      </c>
      <c r="P74" s="179">
        <f>VLOOKUP(A74,'OI(Value)'!A74:O298,8,0)</f>
        <v>279</v>
      </c>
      <c r="Q74" s="179">
        <f>VLOOKUP(A74,'OI(Value)'!A74:O298,9,0)</f>
        <v>7</v>
      </c>
      <c r="R74" s="179">
        <f>VLOOKUP(A74,'OI(Value)'!A74:O298,11,0)</f>
        <v>295</v>
      </c>
      <c r="S74" s="179">
        <f>VLOOKUP(A74,'OI(Value)'!A74:O298,11,0)</f>
        <v>295</v>
      </c>
    </row>
    <row r="75" spans="1:19" x14ac:dyDescent="0.25">
      <c r="A75" s="105" t="str">
        <f>'Data Vlaue (Cr)'!C70</f>
        <v>GLENMARK</v>
      </c>
      <c r="B75" s="143">
        <f>VLOOKUP($A75,'Data shares'!$C:$FA,118)</f>
        <v>0.54</v>
      </c>
      <c r="C75" s="143">
        <f>VLOOKUP($A75,'Data shares'!$C:$FA,119)</f>
        <v>0.56999999999999995</v>
      </c>
      <c r="D75" s="143">
        <f>VLOOKUP($A75,'Data shares'!$C:$FA,121)*100</f>
        <v>-5.26</v>
      </c>
      <c r="E75" s="143">
        <f>VLOOKUP($A75,'Data shares'!$C:$FA,124)</f>
        <v>0.56000000000000005</v>
      </c>
      <c r="F75" s="143">
        <f>VLOOKUP($A75,'Data shares'!$C:$FA,125)</f>
        <v>0.43</v>
      </c>
      <c r="G75" s="143">
        <f>VLOOKUP($A75,'Data shares'!$C:$FA,127)*100</f>
        <v>30.23</v>
      </c>
      <c r="H75" s="103">
        <f>VLOOKUP($A75,'OI(Volume)'!$A$7:$O$445,8)</f>
        <v>1700625</v>
      </c>
      <c r="I75" s="103">
        <f>VLOOKUP($A75,'OI(Volume)'!$A$7:$O$445,9)</f>
        <v>142500</v>
      </c>
      <c r="J75" s="103">
        <f>VLOOKUP($A75,'OI(Volume)'!$A$7:$O$445,11)</f>
        <v>925875</v>
      </c>
      <c r="K75" s="103">
        <f>VLOOKUP($A75,'OI(Volume)'!$A$7:$O$445,12)</f>
        <v>33000</v>
      </c>
      <c r="L75" s="103">
        <f>VLOOKUP($A75,'OI(Value)'!$A$7:$O$329,8,0)</f>
        <v>409</v>
      </c>
      <c r="M75" s="103">
        <f>VLOOKUP($A75,'OI(Value)'!$A$7:$O$329,9,0)</f>
        <v>34</v>
      </c>
      <c r="N75" s="103">
        <f>VLOOKUP($A75,'OI(Value)'!$A$7:$O$329,11,0)</f>
        <v>223</v>
      </c>
      <c r="O75" s="103">
        <f>VLOOKUP($A75,'OI(Value)'!$A$7:$O$329,12,0)</f>
        <v>8</v>
      </c>
      <c r="P75" s="179">
        <f>VLOOKUP(A75,'OI(Value)'!A75:O299,8,0)</f>
        <v>409</v>
      </c>
      <c r="Q75" s="179">
        <f>VLOOKUP(A75,'OI(Value)'!A75:O299,9,0)</f>
        <v>34</v>
      </c>
      <c r="R75" s="179">
        <f>VLOOKUP(A75,'OI(Value)'!A75:O299,11,0)</f>
        <v>223</v>
      </c>
      <c r="S75" s="179">
        <f>VLOOKUP(A75,'OI(Value)'!A75:O299,11,0)</f>
        <v>223</v>
      </c>
    </row>
    <row r="76" spans="1:19" x14ac:dyDescent="0.25">
      <c r="A76" s="105" t="str">
        <f>'Data Vlaue (Cr)'!C71</f>
        <v>GMRAIRPORT</v>
      </c>
      <c r="B76" s="143">
        <f>VLOOKUP($A76,'Data shares'!$C:$FA,118)</f>
        <v>0.59</v>
      </c>
      <c r="C76" s="143">
        <f>VLOOKUP($A76,'Data shares'!$C:$FA,119)</f>
        <v>0.6</v>
      </c>
      <c r="D76" s="143">
        <f>VLOOKUP($A76,'Data shares'!$C:$FA,121)*100</f>
        <v>-1.67</v>
      </c>
      <c r="E76" s="143">
        <f>VLOOKUP($A76,'Data shares'!$C:$FA,124)</f>
        <v>0.43</v>
      </c>
      <c r="F76" s="143">
        <f>VLOOKUP($A76,'Data shares'!$C:$FA,125)</f>
        <v>0.56000000000000005</v>
      </c>
      <c r="G76" s="143">
        <f>VLOOKUP($A76,'Data shares'!$C:$FA,127)*100</f>
        <v>-23.21</v>
      </c>
      <c r="H76" s="103">
        <f>VLOOKUP($A76,'OI(Volume)'!$A$7:$O$445,8)</f>
        <v>59524650</v>
      </c>
      <c r="I76" s="103">
        <f>VLOOKUP($A76,'OI(Volume)'!$A$7:$O$445,9)</f>
        <v>9353475</v>
      </c>
      <c r="J76" s="103">
        <f>VLOOKUP($A76,'OI(Volume)'!$A$7:$O$445,11)</f>
        <v>35174925</v>
      </c>
      <c r="K76" s="103">
        <f>VLOOKUP($A76,'OI(Volume)'!$A$7:$O$445,12)</f>
        <v>4833675</v>
      </c>
      <c r="L76" s="103">
        <f>VLOOKUP($A76,'OI(Value)'!$A$7:$O$329,8,0)</f>
        <v>590</v>
      </c>
      <c r="M76" s="103">
        <f>VLOOKUP($A76,'OI(Value)'!$A$7:$O$329,9,0)</f>
        <v>93</v>
      </c>
      <c r="N76" s="103">
        <f>VLOOKUP($A76,'OI(Value)'!$A$7:$O$329,11,0)</f>
        <v>349</v>
      </c>
      <c r="O76" s="103">
        <f>VLOOKUP($A76,'OI(Value)'!$A$7:$O$329,12,0)</f>
        <v>48</v>
      </c>
      <c r="P76" s="179">
        <f>VLOOKUP(A76,'OI(Value)'!A76:O300,8,0)</f>
        <v>590</v>
      </c>
      <c r="Q76" s="179">
        <f>VLOOKUP(A76,'OI(Value)'!A76:O300,9,0)</f>
        <v>93</v>
      </c>
      <c r="R76" s="179">
        <f>VLOOKUP(A76,'OI(Value)'!A76:O300,11,0)</f>
        <v>349</v>
      </c>
      <c r="S76" s="179">
        <f>VLOOKUP(A76,'OI(Value)'!A76:O300,11,0)</f>
        <v>349</v>
      </c>
    </row>
    <row r="77" spans="1:19" x14ac:dyDescent="0.25">
      <c r="A77" s="105" t="str">
        <f>'Data Vlaue (Cr)'!C72</f>
        <v>GODFRYPHLP</v>
      </c>
      <c r="B77" s="143">
        <f>VLOOKUP($A77,'Data shares'!$C:$FA,118)</f>
        <v>0.4</v>
      </c>
      <c r="C77" s="143">
        <f>VLOOKUP($A77,'Data shares'!$C:$FA,119)</f>
        <v>0.41</v>
      </c>
      <c r="D77" s="143">
        <f>VLOOKUP($A77,'Data shares'!$C:$FA,121)*100</f>
        <v>-2.44</v>
      </c>
      <c r="E77" s="143">
        <f>VLOOKUP($A77,'Data shares'!$C:$FA,124)</f>
        <v>0.28000000000000003</v>
      </c>
      <c r="F77" s="143">
        <f>VLOOKUP($A77,'Data shares'!$C:$FA,125)</f>
        <v>0.28000000000000003</v>
      </c>
      <c r="G77" s="143">
        <f>VLOOKUP($A77,'Data shares'!$C:$FA,127)*100</f>
        <v>0</v>
      </c>
      <c r="H77" s="103">
        <f>VLOOKUP($A77,'OI(Volume)'!$A$7:$O$445,8)</f>
        <v>562925</v>
      </c>
      <c r="I77" s="103">
        <f>VLOOKUP($A77,'OI(Volume)'!$A$7:$O$445,9)</f>
        <v>20900</v>
      </c>
      <c r="J77" s="103">
        <f>VLOOKUP($A77,'OI(Volume)'!$A$7:$O$445,11)</f>
        <v>223025</v>
      </c>
      <c r="K77" s="103">
        <f>VLOOKUP($A77,'OI(Volume)'!$A$7:$O$445,12)</f>
        <v>3025</v>
      </c>
      <c r="L77" s="103">
        <f>VLOOKUP($A77,'OI(Value)'!$A$7:$O$329,8,0)</f>
        <v>125</v>
      </c>
      <c r="M77" s="103">
        <f>VLOOKUP($A77,'OI(Value)'!$A$7:$O$329,9,0)</f>
        <v>5</v>
      </c>
      <c r="N77" s="103">
        <f>VLOOKUP($A77,'OI(Value)'!$A$7:$O$329,11,0)</f>
        <v>49</v>
      </c>
      <c r="O77" s="103">
        <f>VLOOKUP($A77,'OI(Value)'!$A$7:$O$329,12,0)</f>
        <v>1</v>
      </c>
      <c r="P77" s="179">
        <f>VLOOKUP(A77,'OI(Value)'!A77:O301,8,0)</f>
        <v>125</v>
      </c>
      <c r="Q77" s="179">
        <f>VLOOKUP(A77,'OI(Value)'!A77:O301,9,0)</f>
        <v>5</v>
      </c>
      <c r="R77" s="179">
        <f>VLOOKUP(A77,'OI(Value)'!A77:O301,11,0)</f>
        <v>49</v>
      </c>
      <c r="S77" s="179">
        <f>VLOOKUP(A77,'OI(Value)'!A77:O301,11,0)</f>
        <v>49</v>
      </c>
    </row>
    <row r="78" spans="1:19" x14ac:dyDescent="0.25">
      <c r="A78" s="105" t="str">
        <f>'Data Vlaue (Cr)'!C73</f>
        <v>GODREJCP</v>
      </c>
      <c r="B78" s="143">
        <f>VLOOKUP($A78,'Data shares'!$C:$FA,118)</f>
        <v>0.76</v>
      </c>
      <c r="C78" s="143">
        <f>VLOOKUP($A78,'Data shares'!$C:$FA,119)</f>
        <v>0.94</v>
      </c>
      <c r="D78" s="143">
        <f>VLOOKUP($A78,'Data shares'!$C:$FA,121)*100</f>
        <v>-19.149999999999999</v>
      </c>
      <c r="E78" s="143">
        <f>VLOOKUP($A78,'Data shares'!$C:$FA,124)</f>
        <v>0.35</v>
      </c>
      <c r="F78" s="143">
        <f>VLOOKUP($A78,'Data shares'!$C:$FA,125)</f>
        <v>1.07</v>
      </c>
      <c r="G78" s="143">
        <f>VLOOKUP($A78,'Data shares'!$C:$FA,127)*100</f>
        <v>-67.290000000000006</v>
      </c>
      <c r="H78" s="103">
        <f>VLOOKUP($A78,'OI(Volume)'!$A$7:$O$445,8)</f>
        <v>1075500</v>
      </c>
      <c r="I78" s="103">
        <f>VLOOKUP($A78,'OI(Volume)'!$A$7:$O$445,9)</f>
        <v>229000</v>
      </c>
      <c r="J78" s="103">
        <f>VLOOKUP($A78,'OI(Volume)'!$A$7:$O$445,11)</f>
        <v>819000</v>
      </c>
      <c r="K78" s="103">
        <f>VLOOKUP($A78,'OI(Volume)'!$A$7:$O$445,12)</f>
        <v>24500</v>
      </c>
      <c r="L78" s="103">
        <f>VLOOKUP($A78,'OI(Value)'!$A$7:$O$329,8,0)</f>
        <v>115</v>
      </c>
      <c r="M78" s="103">
        <f>VLOOKUP($A78,'OI(Value)'!$A$7:$O$329,9,0)</f>
        <v>25</v>
      </c>
      <c r="N78" s="103">
        <f>VLOOKUP($A78,'OI(Value)'!$A$7:$O$329,11,0)</f>
        <v>88</v>
      </c>
      <c r="O78" s="103">
        <f>VLOOKUP($A78,'OI(Value)'!$A$7:$O$329,12,0)</f>
        <v>3</v>
      </c>
      <c r="P78" s="179">
        <f>VLOOKUP(A78,'OI(Value)'!A78:O302,8,0)</f>
        <v>115</v>
      </c>
      <c r="Q78" s="179">
        <f>VLOOKUP(A78,'OI(Value)'!A78:O302,9,0)</f>
        <v>25</v>
      </c>
      <c r="R78" s="179">
        <f>VLOOKUP(A78,'OI(Value)'!A78:O302,11,0)</f>
        <v>88</v>
      </c>
      <c r="S78" s="179">
        <f>VLOOKUP(A78,'OI(Value)'!A78:O302,11,0)</f>
        <v>88</v>
      </c>
    </row>
    <row r="79" spans="1:19" x14ac:dyDescent="0.25">
      <c r="A79" s="105" t="str">
        <f>'Data Vlaue (Cr)'!C74</f>
        <v>GODREJPROP</v>
      </c>
      <c r="B79" s="143">
        <f>VLOOKUP($A79,'Data shares'!$C:$FA,118)</f>
        <v>0.6</v>
      </c>
      <c r="C79" s="143">
        <f>VLOOKUP($A79,'Data shares'!$C:$FA,119)</f>
        <v>0.81</v>
      </c>
      <c r="D79" s="143">
        <f>VLOOKUP($A79,'Data shares'!$C:$FA,121)*100</f>
        <v>-25.929999999999996</v>
      </c>
      <c r="E79" s="143">
        <f>VLOOKUP($A79,'Data shares'!$C:$FA,124)</f>
        <v>0.35</v>
      </c>
      <c r="F79" s="143">
        <f>VLOOKUP($A79,'Data shares'!$C:$FA,125)</f>
        <v>1.03</v>
      </c>
      <c r="G79" s="143">
        <f>VLOOKUP($A79,'Data shares'!$C:$FA,127)*100</f>
        <v>-66.02</v>
      </c>
      <c r="H79" s="103">
        <f>VLOOKUP($A79,'OI(Volume)'!$A$7:$O$445,8)</f>
        <v>2487700</v>
      </c>
      <c r="I79" s="103">
        <f>VLOOKUP($A79,'OI(Volume)'!$A$7:$O$445,9)</f>
        <v>1155325</v>
      </c>
      <c r="J79" s="103">
        <f>VLOOKUP($A79,'OI(Volume)'!$A$7:$O$445,11)</f>
        <v>1486650</v>
      </c>
      <c r="K79" s="103">
        <f>VLOOKUP($A79,'OI(Volume)'!$A$7:$O$445,12)</f>
        <v>400950</v>
      </c>
      <c r="L79" s="103">
        <f>VLOOKUP($A79,'OI(Value)'!$A$7:$O$329,8,0)</f>
        <v>475</v>
      </c>
      <c r="M79" s="103">
        <f>VLOOKUP($A79,'OI(Value)'!$A$7:$O$329,9,0)</f>
        <v>221</v>
      </c>
      <c r="N79" s="103">
        <f>VLOOKUP($A79,'OI(Value)'!$A$7:$O$329,11,0)</f>
        <v>284</v>
      </c>
      <c r="O79" s="103">
        <f>VLOOKUP($A79,'OI(Value)'!$A$7:$O$329,12,0)</f>
        <v>77</v>
      </c>
      <c r="P79" s="179">
        <f>VLOOKUP(A79,'OI(Value)'!A79:O303,8,0)</f>
        <v>475</v>
      </c>
      <c r="Q79" s="179">
        <f>VLOOKUP(A79,'OI(Value)'!A79:O303,9,0)</f>
        <v>221</v>
      </c>
      <c r="R79" s="179">
        <f>VLOOKUP(A79,'OI(Value)'!A79:O303,11,0)</f>
        <v>284</v>
      </c>
      <c r="S79" s="179">
        <f>VLOOKUP(A79,'OI(Value)'!A79:O303,11,0)</f>
        <v>284</v>
      </c>
    </row>
    <row r="80" spans="1:19" x14ac:dyDescent="0.25">
      <c r="A80" s="105" t="str">
        <f>'Data Vlaue (Cr)'!C75</f>
        <v>GRASIM</v>
      </c>
      <c r="B80" s="143">
        <f>VLOOKUP($A80,'Data shares'!$C:$FA,118)</f>
        <v>0.73</v>
      </c>
      <c r="C80" s="143">
        <f>VLOOKUP($A80,'Data shares'!$C:$FA,119)</f>
        <v>0.81</v>
      </c>
      <c r="D80" s="143">
        <f>VLOOKUP($A80,'Data shares'!$C:$FA,121)*100</f>
        <v>-9.879999999999999</v>
      </c>
      <c r="E80" s="143">
        <f>VLOOKUP($A80,'Data shares'!$C:$FA,124)</f>
        <v>0.3</v>
      </c>
      <c r="F80" s="143">
        <f>VLOOKUP($A80,'Data shares'!$C:$FA,125)</f>
        <v>0.5</v>
      </c>
      <c r="G80" s="143">
        <f>VLOOKUP($A80,'Data shares'!$C:$FA,127)*100</f>
        <v>-40</v>
      </c>
      <c r="H80" s="103">
        <f>VLOOKUP($A80,'OI(Volume)'!$A$7:$O$445,8)</f>
        <v>1065500</v>
      </c>
      <c r="I80" s="103">
        <f>VLOOKUP($A80,'OI(Volume)'!$A$7:$O$445,9)</f>
        <v>133500</v>
      </c>
      <c r="J80" s="103">
        <f>VLOOKUP($A80,'OI(Volume)'!$A$7:$O$445,11)</f>
        <v>776750</v>
      </c>
      <c r="K80" s="103">
        <f>VLOOKUP($A80,'OI(Volume)'!$A$7:$O$445,12)</f>
        <v>18750</v>
      </c>
      <c r="L80" s="103">
        <f>VLOOKUP($A80,'OI(Value)'!$A$7:$O$329,8,0)</f>
        <v>306</v>
      </c>
      <c r="M80" s="103">
        <f>VLOOKUP($A80,'OI(Value)'!$A$7:$O$329,9,0)</f>
        <v>38</v>
      </c>
      <c r="N80" s="103">
        <f>VLOOKUP($A80,'OI(Value)'!$A$7:$O$329,11,0)</f>
        <v>223</v>
      </c>
      <c r="O80" s="103">
        <f>VLOOKUP($A80,'OI(Value)'!$A$7:$O$329,12,0)</f>
        <v>5</v>
      </c>
      <c r="P80" s="179">
        <f>VLOOKUP(A80,'OI(Value)'!A80:O304,8,0)</f>
        <v>306</v>
      </c>
      <c r="Q80" s="179">
        <f>VLOOKUP(A80,'OI(Value)'!A80:O304,9,0)</f>
        <v>38</v>
      </c>
      <c r="R80" s="179">
        <f>VLOOKUP(A80,'OI(Value)'!A80:O304,11,0)</f>
        <v>223</v>
      </c>
      <c r="S80" s="179">
        <f>VLOOKUP(A80,'OI(Value)'!A80:O304,11,0)</f>
        <v>223</v>
      </c>
    </row>
    <row r="81" spans="1:19" x14ac:dyDescent="0.25">
      <c r="A81" s="105" t="str">
        <f>'Data Vlaue (Cr)'!C76</f>
        <v>HAL</v>
      </c>
      <c r="B81" s="143">
        <f>VLOOKUP($A81,'Data shares'!$C:$FA,118)</f>
        <v>0.86</v>
      </c>
      <c r="C81" s="143">
        <f>VLOOKUP($A81,'Data shares'!$C:$FA,119)</f>
        <v>0.87</v>
      </c>
      <c r="D81" s="143">
        <f>VLOOKUP($A81,'Data shares'!$C:$FA,121)*100</f>
        <v>-1.1499999999999999</v>
      </c>
      <c r="E81" s="143">
        <f>VLOOKUP($A81,'Data shares'!$C:$FA,124)</f>
        <v>0.39</v>
      </c>
      <c r="F81" s="143">
        <f>VLOOKUP($A81,'Data shares'!$C:$FA,125)</f>
        <v>0.7</v>
      </c>
      <c r="G81" s="143">
        <f>VLOOKUP($A81,'Data shares'!$C:$FA,127)*100</f>
        <v>-44.29</v>
      </c>
      <c r="H81" s="103">
        <f>VLOOKUP($A81,'OI(Volume)'!$A$7:$O$445,8)</f>
        <v>2231100</v>
      </c>
      <c r="I81" s="103">
        <f>VLOOKUP($A81,'OI(Volume)'!$A$7:$O$445,9)</f>
        <v>482700</v>
      </c>
      <c r="J81" s="103">
        <f>VLOOKUP($A81,'OI(Volume)'!$A$7:$O$445,11)</f>
        <v>1924800</v>
      </c>
      <c r="K81" s="103">
        <f>VLOOKUP($A81,'OI(Volume)'!$A$7:$O$445,12)</f>
        <v>395550</v>
      </c>
      <c r="L81" s="103">
        <f>VLOOKUP($A81,'OI(Value)'!$A$7:$O$329,8,0)</f>
        <v>1022</v>
      </c>
      <c r="M81" s="103">
        <f>VLOOKUP($A81,'OI(Value)'!$A$7:$O$329,9,0)</f>
        <v>221</v>
      </c>
      <c r="N81" s="103">
        <f>VLOOKUP($A81,'OI(Value)'!$A$7:$O$329,11,0)</f>
        <v>882</v>
      </c>
      <c r="O81" s="103">
        <f>VLOOKUP($A81,'OI(Value)'!$A$7:$O$329,12,0)</f>
        <v>181</v>
      </c>
      <c r="P81" s="179">
        <f>VLOOKUP(A81,'OI(Value)'!A81:O305,8,0)</f>
        <v>1022</v>
      </c>
      <c r="Q81" s="179">
        <f>VLOOKUP(A81,'OI(Value)'!A81:O305,9,0)</f>
        <v>221</v>
      </c>
      <c r="R81" s="179">
        <f>VLOOKUP(A81,'OI(Value)'!A81:O305,11,0)</f>
        <v>882</v>
      </c>
      <c r="S81" s="179">
        <f>VLOOKUP(A81,'OI(Value)'!A81:O305,11,0)</f>
        <v>882</v>
      </c>
    </row>
    <row r="82" spans="1:19" x14ac:dyDescent="0.25">
      <c r="A82" s="105" t="str">
        <f>'Data Vlaue (Cr)'!C77</f>
        <v>HAVELLS</v>
      </c>
      <c r="B82" s="143">
        <f>VLOOKUP($A82,'Data shares'!$C:$FA,118)</f>
        <v>0.48</v>
      </c>
      <c r="C82" s="143">
        <f>VLOOKUP($A82,'Data shares'!$C:$FA,119)</f>
        <v>0.49</v>
      </c>
      <c r="D82" s="143">
        <f>VLOOKUP($A82,'Data shares'!$C:$FA,121)*100</f>
        <v>-2.04</v>
      </c>
      <c r="E82" s="143">
        <f>VLOOKUP($A82,'Data shares'!$C:$FA,124)</f>
        <v>0.33</v>
      </c>
      <c r="F82" s="143">
        <f>VLOOKUP($A82,'Data shares'!$C:$FA,125)</f>
        <v>0.42</v>
      </c>
      <c r="G82" s="143">
        <f>VLOOKUP($A82,'Data shares'!$C:$FA,127)*100</f>
        <v>-21.43</v>
      </c>
      <c r="H82" s="103">
        <f>VLOOKUP($A82,'OI(Volume)'!$A$7:$O$445,8)</f>
        <v>4876500</v>
      </c>
      <c r="I82" s="103">
        <f>VLOOKUP($A82,'OI(Volume)'!$A$7:$O$445,9)</f>
        <v>205000</v>
      </c>
      <c r="J82" s="103">
        <f>VLOOKUP($A82,'OI(Volume)'!$A$7:$O$445,11)</f>
        <v>2320500</v>
      </c>
      <c r="K82" s="103">
        <f>VLOOKUP($A82,'OI(Volume)'!$A$7:$O$445,12)</f>
        <v>23000</v>
      </c>
      <c r="L82" s="103">
        <f>VLOOKUP($A82,'OI(Value)'!$A$7:$O$329,8,0)</f>
        <v>613</v>
      </c>
      <c r="M82" s="103">
        <f>VLOOKUP($A82,'OI(Value)'!$A$7:$O$329,9,0)</f>
        <v>26</v>
      </c>
      <c r="N82" s="103">
        <f>VLOOKUP($A82,'OI(Value)'!$A$7:$O$329,11,0)</f>
        <v>292</v>
      </c>
      <c r="O82" s="103">
        <f>VLOOKUP($A82,'OI(Value)'!$A$7:$O$329,12,0)</f>
        <v>3</v>
      </c>
      <c r="P82" s="179">
        <f>VLOOKUP(A82,'OI(Value)'!A82:O306,8,0)</f>
        <v>613</v>
      </c>
      <c r="Q82" s="179">
        <f>VLOOKUP(A82,'OI(Value)'!A82:O306,9,0)</f>
        <v>26</v>
      </c>
      <c r="R82" s="179">
        <f>VLOOKUP(A82,'OI(Value)'!A82:O306,11,0)</f>
        <v>292</v>
      </c>
      <c r="S82" s="179">
        <f>VLOOKUP(A82,'OI(Value)'!A82:O306,11,0)</f>
        <v>292</v>
      </c>
    </row>
    <row r="83" spans="1:19" x14ac:dyDescent="0.25">
      <c r="A83" s="105" t="str">
        <f>'Data Vlaue (Cr)'!C78</f>
        <v>HCLTECH</v>
      </c>
      <c r="B83" s="143">
        <f>VLOOKUP($A83,'Data shares'!$C:$FA,118)</f>
        <v>0.52</v>
      </c>
      <c r="C83" s="143">
        <f>VLOOKUP($A83,'Data shares'!$C:$FA,119)</f>
        <v>0.54</v>
      </c>
      <c r="D83" s="143">
        <f>VLOOKUP($A83,'Data shares'!$C:$FA,121)*100</f>
        <v>-3.6999999999999997</v>
      </c>
      <c r="E83" s="143">
        <f>VLOOKUP($A83,'Data shares'!$C:$FA,124)</f>
        <v>0.45</v>
      </c>
      <c r="F83" s="143">
        <f>VLOOKUP($A83,'Data shares'!$C:$FA,125)</f>
        <v>0.52</v>
      </c>
      <c r="G83" s="143">
        <f>VLOOKUP($A83,'Data shares'!$C:$FA,127)*100</f>
        <v>-13.459999999999999</v>
      </c>
      <c r="H83" s="103">
        <f>VLOOKUP($A83,'OI(Volume)'!$A$7:$O$445,8)</f>
        <v>22062550</v>
      </c>
      <c r="I83" s="103">
        <f>VLOOKUP($A83,'OI(Volume)'!$A$7:$O$445,9)</f>
        <v>1259950</v>
      </c>
      <c r="J83" s="103">
        <f>VLOOKUP($A83,'OI(Volume)'!$A$7:$O$445,11)</f>
        <v>11525500</v>
      </c>
      <c r="K83" s="103">
        <f>VLOOKUP($A83,'OI(Volume)'!$A$7:$O$445,12)</f>
        <v>318500</v>
      </c>
      <c r="L83" s="103">
        <f>VLOOKUP($A83,'OI(Value)'!$A$7:$O$329,8,0)</f>
        <v>2651</v>
      </c>
      <c r="M83" s="103">
        <f>VLOOKUP($A83,'OI(Value)'!$A$7:$O$329,9,0)</f>
        <v>151</v>
      </c>
      <c r="N83" s="103">
        <f>VLOOKUP($A83,'OI(Value)'!$A$7:$O$329,11,0)</f>
        <v>1385</v>
      </c>
      <c r="O83" s="103">
        <f>VLOOKUP($A83,'OI(Value)'!$A$7:$O$329,12,0)</f>
        <v>38</v>
      </c>
      <c r="P83" s="179">
        <f>VLOOKUP(A83,'OI(Value)'!A83:O307,8,0)</f>
        <v>2651</v>
      </c>
      <c r="Q83" s="179">
        <f>VLOOKUP(A83,'OI(Value)'!A83:O307,9,0)</f>
        <v>151</v>
      </c>
      <c r="R83" s="179">
        <f>VLOOKUP(A83,'OI(Value)'!A83:O307,11,0)</f>
        <v>1385</v>
      </c>
      <c r="S83" s="179">
        <f>VLOOKUP(A83,'OI(Value)'!A83:O307,11,0)</f>
        <v>1385</v>
      </c>
    </row>
    <row r="84" spans="1:19" x14ac:dyDescent="0.25">
      <c r="A84" s="105" t="str">
        <f>'Data Vlaue (Cr)'!C79</f>
        <v>HDFCAMC</v>
      </c>
      <c r="B84" s="143">
        <f>VLOOKUP($A84,'Data shares'!$C:$FA,118)</f>
        <v>0.7</v>
      </c>
      <c r="C84" s="143">
        <f>VLOOKUP($A84,'Data shares'!$C:$FA,119)</f>
        <v>0.74</v>
      </c>
      <c r="D84" s="143">
        <f>VLOOKUP($A84,'Data shares'!$C:$FA,121)*100</f>
        <v>-5.41</v>
      </c>
      <c r="E84" s="143">
        <f>VLOOKUP($A84,'Data shares'!$C:$FA,124)</f>
        <v>0.56000000000000005</v>
      </c>
      <c r="F84" s="143">
        <f>VLOOKUP($A84,'Data shares'!$C:$FA,125)</f>
        <v>0.69</v>
      </c>
      <c r="G84" s="143">
        <f>VLOOKUP($A84,'Data shares'!$C:$FA,127)*100</f>
        <v>-18.84</v>
      </c>
      <c r="H84" s="103">
        <f>VLOOKUP($A84,'OI(Volume)'!$A$7:$O$445,8)</f>
        <v>840900</v>
      </c>
      <c r="I84" s="103">
        <f>VLOOKUP($A84,'OI(Volume)'!$A$7:$O$445,9)</f>
        <v>99900</v>
      </c>
      <c r="J84" s="103">
        <f>VLOOKUP($A84,'OI(Volume)'!$A$7:$O$445,11)</f>
        <v>584700</v>
      </c>
      <c r="K84" s="103">
        <f>VLOOKUP($A84,'OI(Volume)'!$A$7:$O$445,12)</f>
        <v>39600</v>
      </c>
      <c r="L84" s="103">
        <f>VLOOKUP($A84,'OI(Value)'!$A$7:$O$329,8,0)</f>
        <v>233</v>
      </c>
      <c r="M84" s="103">
        <f>VLOOKUP($A84,'OI(Value)'!$A$7:$O$329,9,0)</f>
        <v>28</v>
      </c>
      <c r="N84" s="103">
        <f>VLOOKUP($A84,'OI(Value)'!$A$7:$O$329,11,0)</f>
        <v>162</v>
      </c>
      <c r="O84" s="103">
        <f>VLOOKUP($A84,'OI(Value)'!$A$7:$O$329,12,0)</f>
        <v>11</v>
      </c>
      <c r="P84" s="179">
        <f>VLOOKUP(A84,'OI(Value)'!A84:O308,8,0)</f>
        <v>233</v>
      </c>
      <c r="Q84" s="179">
        <f>VLOOKUP(A84,'OI(Value)'!A84:O308,9,0)</f>
        <v>28</v>
      </c>
      <c r="R84" s="179">
        <f>VLOOKUP(A84,'OI(Value)'!A84:O308,11,0)</f>
        <v>162</v>
      </c>
      <c r="S84" s="179">
        <f>VLOOKUP(A84,'OI(Value)'!A84:O308,11,0)</f>
        <v>162</v>
      </c>
    </row>
    <row r="85" spans="1:19" x14ac:dyDescent="0.25">
      <c r="A85" s="105" t="str">
        <f>'Data Vlaue (Cr)'!C80</f>
        <v>HDFCBANK</v>
      </c>
      <c r="B85" s="143">
        <f>VLOOKUP($A85,'Data shares'!$C:$FA,118)</f>
        <v>0.55000000000000004</v>
      </c>
      <c r="C85" s="143">
        <f>VLOOKUP($A85,'Data shares'!$C:$FA,119)</f>
        <v>0.55000000000000004</v>
      </c>
      <c r="D85" s="143">
        <f>VLOOKUP($A85,'Data shares'!$C:$FA,121)*100</f>
        <v>0</v>
      </c>
      <c r="E85" s="143">
        <f>VLOOKUP($A85,'Data shares'!$C:$FA,124)</f>
        <v>0.59</v>
      </c>
      <c r="F85" s="143">
        <f>VLOOKUP($A85,'Data shares'!$C:$FA,125)</f>
        <v>0.5</v>
      </c>
      <c r="G85" s="143">
        <f>VLOOKUP($A85,'Data shares'!$C:$FA,127)*100</f>
        <v>18</v>
      </c>
      <c r="H85" s="103">
        <f>VLOOKUP($A85,'OI(Volume)'!$A$7:$O$445,8)</f>
        <v>66805150</v>
      </c>
      <c r="I85" s="103">
        <f>VLOOKUP($A85,'OI(Volume)'!$A$7:$O$445,9)</f>
        <v>4819250</v>
      </c>
      <c r="J85" s="103">
        <f>VLOOKUP($A85,'OI(Volume)'!$A$7:$O$445,11)</f>
        <v>36439800</v>
      </c>
      <c r="K85" s="103">
        <f>VLOOKUP($A85,'OI(Volume)'!$A$7:$O$445,12)</f>
        <v>2178500</v>
      </c>
      <c r="L85" s="103">
        <f>VLOOKUP($A85,'OI(Value)'!$A$7:$O$329,8,0)</f>
        <v>5229</v>
      </c>
      <c r="M85" s="103">
        <f>VLOOKUP($A85,'OI(Value)'!$A$7:$O$329,9,0)</f>
        <v>377</v>
      </c>
      <c r="N85" s="103">
        <f>VLOOKUP($A85,'OI(Value)'!$A$7:$O$329,11,0)</f>
        <v>2852</v>
      </c>
      <c r="O85" s="103">
        <f>VLOOKUP($A85,'OI(Value)'!$A$7:$O$329,12,0)</f>
        <v>171</v>
      </c>
      <c r="P85" s="179">
        <f>VLOOKUP(A85,'OI(Value)'!A85:O309,8,0)</f>
        <v>5229</v>
      </c>
      <c r="Q85" s="179">
        <f>VLOOKUP(A85,'OI(Value)'!A85:O309,9,0)</f>
        <v>377</v>
      </c>
      <c r="R85" s="179">
        <f>VLOOKUP(A85,'OI(Value)'!A85:O309,11,0)</f>
        <v>2852</v>
      </c>
      <c r="S85" s="179">
        <f>VLOOKUP(A85,'OI(Value)'!A85:O309,11,0)</f>
        <v>2852</v>
      </c>
    </row>
    <row r="86" spans="1:19" x14ac:dyDescent="0.25">
      <c r="A86" s="105" t="str">
        <f>'Data Vlaue (Cr)'!C81</f>
        <v>HDFCLIFE</v>
      </c>
      <c r="B86" s="143">
        <f>VLOOKUP($A86,'Data shares'!$C:$FA,118)</f>
        <v>0.61</v>
      </c>
      <c r="C86" s="143">
        <f>VLOOKUP($A86,'Data shares'!$C:$FA,119)</f>
        <v>0.63</v>
      </c>
      <c r="D86" s="143">
        <f>VLOOKUP($A86,'Data shares'!$C:$FA,121)*100</f>
        <v>-3.17</v>
      </c>
      <c r="E86" s="143">
        <f>VLOOKUP($A86,'Data shares'!$C:$FA,124)</f>
        <v>0.52</v>
      </c>
      <c r="F86" s="143">
        <f>VLOOKUP($A86,'Data shares'!$C:$FA,125)</f>
        <v>0.54</v>
      </c>
      <c r="G86" s="143">
        <f>VLOOKUP($A86,'Data shares'!$C:$FA,127)*100</f>
        <v>-3.6999999999999997</v>
      </c>
      <c r="H86" s="103">
        <f>VLOOKUP($A86,'OI(Volume)'!$A$7:$O$445,8)</f>
        <v>13722500</v>
      </c>
      <c r="I86" s="103">
        <f>VLOOKUP($A86,'OI(Volume)'!$A$7:$O$445,9)</f>
        <v>1281500</v>
      </c>
      <c r="J86" s="103">
        <f>VLOOKUP($A86,'OI(Volume)'!$A$7:$O$445,11)</f>
        <v>8415000</v>
      </c>
      <c r="K86" s="103">
        <f>VLOOKUP($A86,'OI(Volume)'!$A$7:$O$445,12)</f>
        <v>630300</v>
      </c>
      <c r="L86" s="103">
        <f>VLOOKUP($A86,'OI(Value)'!$A$7:$O$329,8,0)</f>
        <v>812</v>
      </c>
      <c r="M86" s="103">
        <f>VLOOKUP($A86,'OI(Value)'!$A$7:$O$329,9,0)</f>
        <v>76</v>
      </c>
      <c r="N86" s="103">
        <f>VLOOKUP($A86,'OI(Value)'!$A$7:$O$329,11,0)</f>
        <v>498</v>
      </c>
      <c r="O86" s="103">
        <f>VLOOKUP($A86,'OI(Value)'!$A$7:$O$329,12,0)</f>
        <v>37</v>
      </c>
      <c r="P86" s="179">
        <f>VLOOKUP(A86,'OI(Value)'!A86:O310,8,0)</f>
        <v>812</v>
      </c>
      <c r="Q86" s="179">
        <f>VLOOKUP(A86,'OI(Value)'!A86:O310,9,0)</f>
        <v>76</v>
      </c>
      <c r="R86" s="179">
        <f>VLOOKUP(A86,'OI(Value)'!A86:O310,11,0)</f>
        <v>498</v>
      </c>
      <c r="S86" s="179">
        <f>VLOOKUP(A86,'OI(Value)'!A86:O310,11,0)</f>
        <v>498</v>
      </c>
    </row>
    <row r="87" spans="1:19" x14ac:dyDescent="0.25">
      <c r="A87" s="105" t="str">
        <f>'Data Vlaue (Cr)'!C82</f>
        <v>HEROMOTOCO</v>
      </c>
      <c r="B87" s="143">
        <f>VLOOKUP($A87,'Data shares'!$C:$FA,118)</f>
        <v>0.59</v>
      </c>
      <c r="C87" s="143">
        <f>VLOOKUP($A87,'Data shares'!$C:$FA,119)</f>
        <v>0.65</v>
      </c>
      <c r="D87" s="143">
        <f>VLOOKUP($A87,'Data shares'!$C:$FA,121)*100</f>
        <v>-9.2299999999999986</v>
      </c>
      <c r="E87" s="143">
        <f>VLOOKUP($A87,'Data shares'!$C:$FA,124)</f>
        <v>0.34</v>
      </c>
      <c r="F87" s="143">
        <f>VLOOKUP($A87,'Data shares'!$C:$FA,125)</f>
        <v>0.45</v>
      </c>
      <c r="G87" s="143">
        <f>VLOOKUP($A87,'Data shares'!$C:$FA,127)*100</f>
        <v>-24.44</v>
      </c>
      <c r="H87" s="103">
        <f>VLOOKUP($A87,'OI(Volume)'!$A$7:$O$445,8)</f>
        <v>1510500</v>
      </c>
      <c r="I87" s="103">
        <f>VLOOKUP($A87,'OI(Volume)'!$A$7:$O$445,9)</f>
        <v>352650</v>
      </c>
      <c r="J87" s="103">
        <f>VLOOKUP($A87,'OI(Volume)'!$A$7:$O$445,11)</f>
        <v>892800</v>
      </c>
      <c r="K87" s="103">
        <f>VLOOKUP($A87,'OI(Volume)'!$A$7:$O$445,12)</f>
        <v>145500</v>
      </c>
      <c r="L87" s="103">
        <f>VLOOKUP($A87,'OI(Value)'!$A$7:$O$329,8,0)</f>
        <v>768</v>
      </c>
      <c r="M87" s="103">
        <f>VLOOKUP($A87,'OI(Value)'!$A$7:$O$329,9,0)</f>
        <v>179</v>
      </c>
      <c r="N87" s="103">
        <f>VLOOKUP($A87,'OI(Value)'!$A$7:$O$329,11,0)</f>
        <v>454</v>
      </c>
      <c r="O87" s="103">
        <f>VLOOKUP($A87,'OI(Value)'!$A$7:$O$329,12,0)</f>
        <v>74</v>
      </c>
      <c r="P87" s="179">
        <f>VLOOKUP(A87,'OI(Value)'!A87:O311,8,0)</f>
        <v>768</v>
      </c>
      <c r="Q87" s="179">
        <f>VLOOKUP(A87,'OI(Value)'!A87:O311,9,0)</f>
        <v>179</v>
      </c>
      <c r="R87" s="179">
        <f>VLOOKUP(A87,'OI(Value)'!A87:O311,11,0)</f>
        <v>454</v>
      </c>
      <c r="S87" s="179">
        <f>VLOOKUP(A87,'OI(Value)'!A87:O311,11,0)</f>
        <v>454</v>
      </c>
    </row>
    <row r="88" spans="1:19" x14ac:dyDescent="0.25">
      <c r="A88" s="105" t="str">
        <f>'Data Vlaue (Cr)'!C83</f>
        <v>HINDALCO</v>
      </c>
      <c r="B88" s="143">
        <f>VLOOKUP($A88,'Data shares'!$C:$FA,118)</f>
        <v>0.76</v>
      </c>
      <c r="C88" s="143">
        <f>VLOOKUP($A88,'Data shares'!$C:$FA,119)</f>
        <v>0.76</v>
      </c>
      <c r="D88" s="143">
        <f>VLOOKUP($A88,'Data shares'!$C:$FA,121)*100</f>
        <v>0</v>
      </c>
      <c r="E88" s="143">
        <f>VLOOKUP($A88,'Data shares'!$C:$FA,124)</f>
        <v>0.6</v>
      </c>
      <c r="F88" s="143">
        <f>VLOOKUP($A88,'Data shares'!$C:$FA,125)</f>
        <v>0.85</v>
      </c>
      <c r="G88" s="143">
        <f>VLOOKUP($A88,'Data shares'!$C:$FA,127)*100</f>
        <v>-29.409999999999997</v>
      </c>
      <c r="H88" s="103">
        <f>VLOOKUP($A88,'OI(Volume)'!$A$7:$O$445,8)</f>
        <v>6256600</v>
      </c>
      <c r="I88" s="103">
        <f>VLOOKUP($A88,'OI(Volume)'!$A$7:$O$445,9)</f>
        <v>822500</v>
      </c>
      <c r="J88" s="103">
        <f>VLOOKUP($A88,'OI(Volume)'!$A$7:$O$445,11)</f>
        <v>4745300</v>
      </c>
      <c r="K88" s="103">
        <f>VLOOKUP($A88,'OI(Volume)'!$A$7:$O$445,12)</f>
        <v>637000</v>
      </c>
      <c r="L88" s="103">
        <f>VLOOKUP($A88,'OI(Value)'!$A$7:$O$329,8,0)</f>
        <v>656</v>
      </c>
      <c r="M88" s="103">
        <f>VLOOKUP($A88,'OI(Value)'!$A$7:$O$329,9,0)</f>
        <v>86</v>
      </c>
      <c r="N88" s="103">
        <f>VLOOKUP($A88,'OI(Value)'!$A$7:$O$329,11,0)</f>
        <v>498</v>
      </c>
      <c r="O88" s="103">
        <f>VLOOKUP($A88,'OI(Value)'!$A$7:$O$329,12,0)</f>
        <v>67</v>
      </c>
      <c r="P88" s="179">
        <f>VLOOKUP(A88,'OI(Value)'!A88:O312,8,0)</f>
        <v>656</v>
      </c>
      <c r="Q88" s="179">
        <f>VLOOKUP(A88,'OI(Value)'!A88:O312,9,0)</f>
        <v>86</v>
      </c>
      <c r="R88" s="179">
        <f>VLOOKUP(A88,'OI(Value)'!A88:O312,11,0)</f>
        <v>498</v>
      </c>
      <c r="S88" s="179">
        <f>VLOOKUP(A88,'OI(Value)'!A88:O312,11,0)</f>
        <v>498</v>
      </c>
    </row>
    <row r="89" spans="1:19" x14ac:dyDescent="0.25">
      <c r="A89" s="105" t="str">
        <f>'Data Vlaue (Cr)'!C84</f>
        <v>HINDPETRO</v>
      </c>
      <c r="B89" s="143">
        <f>VLOOKUP($A89,'Data shares'!$C:$FA,118)</f>
        <v>1.1499999999999999</v>
      </c>
      <c r="C89" s="143">
        <f>VLOOKUP($A89,'Data shares'!$C:$FA,119)</f>
        <v>1.05</v>
      </c>
      <c r="D89" s="143">
        <f>VLOOKUP($A89,'Data shares'!$C:$FA,121)*100</f>
        <v>9.5200000000000014</v>
      </c>
      <c r="E89" s="143">
        <f>VLOOKUP($A89,'Data shares'!$C:$FA,124)</f>
        <v>0.95</v>
      </c>
      <c r="F89" s="143">
        <f>VLOOKUP($A89,'Data shares'!$C:$FA,125)</f>
        <v>0.85</v>
      </c>
      <c r="G89" s="143">
        <f>VLOOKUP($A89,'Data shares'!$C:$FA,127)*100</f>
        <v>11.76</v>
      </c>
      <c r="H89" s="103">
        <f>VLOOKUP($A89,'OI(Volume)'!$A$7:$O$445,8)</f>
        <v>9851625</v>
      </c>
      <c r="I89" s="103">
        <f>VLOOKUP($A89,'OI(Volume)'!$A$7:$O$445,9)</f>
        <v>1269675</v>
      </c>
      <c r="J89" s="103">
        <f>VLOOKUP($A89,'OI(Volume)'!$A$7:$O$445,11)</f>
        <v>11325825</v>
      </c>
      <c r="K89" s="103">
        <f>VLOOKUP($A89,'OI(Volume)'!$A$7:$O$445,12)</f>
        <v>2326725</v>
      </c>
      <c r="L89" s="103">
        <f>VLOOKUP($A89,'OI(Value)'!$A$7:$O$329,8,0)</f>
        <v>371</v>
      </c>
      <c r="M89" s="103">
        <f>VLOOKUP($A89,'OI(Value)'!$A$7:$O$329,9,0)</f>
        <v>48</v>
      </c>
      <c r="N89" s="103">
        <f>VLOOKUP($A89,'OI(Value)'!$A$7:$O$329,11,0)</f>
        <v>426</v>
      </c>
      <c r="O89" s="103">
        <f>VLOOKUP($A89,'OI(Value)'!$A$7:$O$329,12,0)</f>
        <v>88</v>
      </c>
      <c r="P89" s="179">
        <f>VLOOKUP(A89,'OI(Value)'!A89:O313,8,0)</f>
        <v>371</v>
      </c>
      <c r="Q89" s="179">
        <f>VLOOKUP(A89,'OI(Value)'!A89:O313,9,0)</f>
        <v>48</v>
      </c>
      <c r="R89" s="179">
        <f>VLOOKUP(A89,'OI(Value)'!A89:O313,11,0)</f>
        <v>426</v>
      </c>
      <c r="S89" s="179">
        <f>VLOOKUP(A89,'OI(Value)'!A89:O313,11,0)</f>
        <v>426</v>
      </c>
    </row>
    <row r="90" spans="1:19" x14ac:dyDescent="0.25">
      <c r="A90" s="105" t="str">
        <f>'Data Vlaue (Cr)'!C85</f>
        <v>HINDUNILVR</v>
      </c>
      <c r="B90" s="143">
        <f>VLOOKUP($A90,'Data shares'!$C:$FA,118)</f>
        <v>0.6</v>
      </c>
      <c r="C90" s="143">
        <f>VLOOKUP($A90,'Data shares'!$C:$FA,119)</f>
        <v>0.54</v>
      </c>
      <c r="D90" s="143">
        <f>VLOOKUP($A90,'Data shares'!$C:$FA,121)*100</f>
        <v>11.110000000000001</v>
      </c>
      <c r="E90" s="143">
        <f>VLOOKUP($A90,'Data shares'!$C:$FA,124)</f>
        <v>0.47</v>
      </c>
      <c r="F90" s="143">
        <f>VLOOKUP($A90,'Data shares'!$C:$FA,125)</f>
        <v>0.5</v>
      </c>
      <c r="G90" s="143">
        <f>VLOOKUP($A90,'Data shares'!$C:$FA,127)*100</f>
        <v>-6</v>
      </c>
      <c r="H90" s="103">
        <f>VLOOKUP($A90,'OI(Volume)'!$A$7:$O$445,8)</f>
        <v>7050900</v>
      </c>
      <c r="I90" s="103">
        <f>VLOOKUP($A90,'OI(Volume)'!$A$7:$O$445,9)</f>
        <v>-143400</v>
      </c>
      <c r="J90" s="103">
        <f>VLOOKUP($A90,'OI(Volume)'!$A$7:$O$445,11)</f>
        <v>4223400</v>
      </c>
      <c r="K90" s="103">
        <f>VLOOKUP($A90,'OI(Volume)'!$A$7:$O$445,12)</f>
        <v>352200</v>
      </c>
      <c r="L90" s="103">
        <f>VLOOKUP($A90,'OI(Value)'!$A$7:$O$329,8,0)</f>
        <v>1636</v>
      </c>
      <c r="M90" s="103">
        <f>VLOOKUP($A90,'OI(Value)'!$A$7:$O$329,9,0)</f>
        <v>-33</v>
      </c>
      <c r="N90" s="103">
        <f>VLOOKUP($A90,'OI(Value)'!$A$7:$O$329,11,0)</f>
        <v>980</v>
      </c>
      <c r="O90" s="103">
        <f>VLOOKUP($A90,'OI(Value)'!$A$7:$O$329,12,0)</f>
        <v>82</v>
      </c>
      <c r="P90" s="179">
        <f>VLOOKUP(A90,'OI(Value)'!A90:O314,8,0)</f>
        <v>1636</v>
      </c>
      <c r="Q90" s="179">
        <f>VLOOKUP(A90,'OI(Value)'!A90:O314,9,0)</f>
        <v>-33</v>
      </c>
      <c r="R90" s="179">
        <f>VLOOKUP(A90,'OI(Value)'!A90:O314,11,0)</f>
        <v>980</v>
      </c>
      <c r="S90" s="179">
        <f>VLOOKUP(A90,'OI(Value)'!A90:O314,11,0)</f>
        <v>980</v>
      </c>
    </row>
    <row r="91" spans="1:19" x14ac:dyDescent="0.25">
      <c r="A91" s="105" t="str">
        <f>'Data Vlaue (Cr)'!C86</f>
        <v>HINDZINC</v>
      </c>
      <c r="B91" s="143">
        <f>VLOOKUP($A91,'Data shares'!$C:$FA,118)</f>
        <v>0.63</v>
      </c>
      <c r="C91" s="143">
        <f>VLOOKUP($A91,'Data shares'!$C:$FA,119)</f>
        <v>0.63</v>
      </c>
      <c r="D91" s="143">
        <f>VLOOKUP($A91,'Data shares'!$C:$FA,121)*100</f>
        <v>0</v>
      </c>
      <c r="E91" s="143">
        <f>VLOOKUP($A91,'Data shares'!$C:$FA,124)</f>
        <v>0.53</v>
      </c>
      <c r="F91" s="143">
        <f>VLOOKUP($A91,'Data shares'!$C:$FA,125)</f>
        <v>0.62</v>
      </c>
      <c r="G91" s="143">
        <f>VLOOKUP($A91,'Data shares'!$C:$FA,127)*100</f>
        <v>-14.52</v>
      </c>
      <c r="H91" s="103">
        <f>VLOOKUP($A91,'OI(Volume)'!$A$7:$O$445,8)</f>
        <v>16277800</v>
      </c>
      <c r="I91" s="103">
        <f>VLOOKUP($A91,'OI(Volume)'!$A$7:$O$445,9)</f>
        <v>303800</v>
      </c>
      <c r="J91" s="103">
        <f>VLOOKUP($A91,'OI(Volume)'!$A$7:$O$445,11)</f>
        <v>10275300</v>
      </c>
      <c r="K91" s="103">
        <f>VLOOKUP($A91,'OI(Volume)'!$A$7:$O$445,12)</f>
        <v>220500</v>
      </c>
      <c r="L91" s="103">
        <f>VLOOKUP($A91,'OI(Value)'!$A$7:$O$329,8,0)</f>
        <v>989</v>
      </c>
      <c r="M91" s="103">
        <f>VLOOKUP($A91,'OI(Value)'!$A$7:$O$329,9,0)</f>
        <v>18</v>
      </c>
      <c r="N91" s="103">
        <f>VLOOKUP($A91,'OI(Value)'!$A$7:$O$329,11,0)</f>
        <v>624</v>
      </c>
      <c r="O91" s="103">
        <f>VLOOKUP($A91,'OI(Value)'!$A$7:$O$329,12,0)</f>
        <v>13</v>
      </c>
      <c r="P91" s="179">
        <f>VLOOKUP(A91,'OI(Value)'!A91:O315,8,0)</f>
        <v>989</v>
      </c>
      <c r="Q91" s="179">
        <f>VLOOKUP(A91,'OI(Value)'!A91:O315,9,0)</f>
        <v>18</v>
      </c>
      <c r="R91" s="179">
        <f>VLOOKUP(A91,'OI(Value)'!A91:O315,11,0)</f>
        <v>624</v>
      </c>
      <c r="S91" s="179">
        <f>VLOOKUP(A91,'OI(Value)'!A91:O315,11,0)</f>
        <v>624</v>
      </c>
    </row>
    <row r="92" spans="1:19" x14ac:dyDescent="0.25">
      <c r="A92" s="105" t="str">
        <f>'Data Vlaue (Cr)'!C87</f>
        <v>HYUNDAI</v>
      </c>
      <c r="B92" s="143">
        <f>VLOOKUP($A92,'Data shares'!$C:$FA,118)</f>
        <v>0.74</v>
      </c>
      <c r="C92" s="143">
        <f>VLOOKUP($A92,'Data shares'!$C:$FA,119)</f>
        <v>0.99</v>
      </c>
      <c r="D92" s="143">
        <f>VLOOKUP($A92,'Data shares'!$C:$FA,121)*100</f>
        <v>-25.25</v>
      </c>
      <c r="E92" s="143">
        <f>VLOOKUP($A92,'Data shares'!$C:$FA,124)</f>
        <v>0.28999999999999998</v>
      </c>
      <c r="F92" s="143">
        <f>VLOOKUP($A92,'Data shares'!$C:$FA,125)</f>
        <v>0.67</v>
      </c>
      <c r="G92" s="143">
        <f>VLOOKUP($A92,'Data shares'!$C:$FA,127)*100</f>
        <v>-56.720000000000006</v>
      </c>
      <c r="H92" s="103">
        <f>VLOOKUP($A92,'OI(Volume)'!$A$7:$O$445,8)</f>
        <v>891275</v>
      </c>
      <c r="I92" s="103">
        <f>VLOOKUP($A92,'OI(Volume)'!$A$7:$O$445,9)</f>
        <v>161425</v>
      </c>
      <c r="J92" s="103">
        <f>VLOOKUP($A92,'OI(Volume)'!$A$7:$O$445,11)</f>
        <v>655325</v>
      </c>
      <c r="K92" s="103">
        <f>VLOOKUP($A92,'OI(Volume)'!$A$7:$O$445,12)</f>
        <v>-66825</v>
      </c>
      <c r="L92" s="103">
        <f>VLOOKUP($A92,'OI(Value)'!$A$7:$O$329,8,0)</f>
        <v>162</v>
      </c>
      <c r="M92" s="103">
        <f>VLOOKUP($A92,'OI(Value)'!$A$7:$O$329,9,0)</f>
        <v>29</v>
      </c>
      <c r="N92" s="103">
        <f>VLOOKUP($A92,'OI(Value)'!$A$7:$O$329,11,0)</f>
        <v>119</v>
      </c>
      <c r="O92" s="103">
        <f>VLOOKUP($A92,'OI(Value)'!$A$7:$O$329,12,0)</f>
        <v>-12</v>
      </c>
      <c r="P92" s="179">
        <f>VLOOKUP(A92,'OI(Value)'!A92:O316,8,0)</f>
        <v>162</v>
      </c>
      <c r="Q92" s="179">
        <f>VLOOKUP(A92,'OI(Value)'!A92:O316,9,0)</f>
        <v>29</v>
      </c>
      <c r="R92" s="179">
        <f>VLOOKUP(A92,'OI(Value)'!A92:O316,11,0)</f>
        <v>119</v>
      </c>
      <c r="S92" s="179">
        <f>VLOOKUP(A92,'OI(Value)'!A92:O316,11,0)</f>
        <v>119</v>
      </c>
    </row>
    <row r="93" spans="1:19" x14ac:dyDescent="0.25">
      <c r="A93" s="105" t="str">
        <f>'Data Vlaue (Cr)'!C88</f>
        <v>ICICIBANK</v>
      </c>
      <c r="B93" s="143">
        <f>VLOOKUP($A93,'Data shares'!$C:$FA,118)</f>
        <v>0.6</v>
      </c>
      <c r="C93" s="143">
        <f>VLOOKUP($A93,'Data shares'!$C:$FA,119)</f>
        <v>0.65</v>
      </c>
      <c r="D93" s="143">
        <f>VLOOKUP($A93,'Data shares'!$C:$FA,121)*100</f>
        <v>-7.6899999999999995</v>
      </c>
      <c r="E93" s="143">
        <f>VLOOKUP($A93,'Data shares'!$C:$FA,124)</f>
        <v>0.56000000000000005</v>
      </c>
      <c r="F93" s="143">
        <f>VLOOKUP($A93,'Data shares'!$C:$FA,125)</f>
        <v>0.52</v>
      </c>
      <c r="G93" s="143">
        <f>VLOOKUP($A93,'Data shares'!$C:$FA,127)*100</f>
        <v>7.6899999999999995</v>
      </c>
      <c r="H93" s="103">
        <f>VLOOKUP($A93,'OI(Volume)'!$A$7:$O$445,8)</f>
        <v>32101300</v>
      </c>
      <c r="I93" s="103">
        <f>VLOOKUP($A93,'OI(Volume)'!$A$7:$O$445,9)</f>
        <v>3077200</v>
      </c>
      <c r="J93" s="103">
        <f>VLOOKUP($A93,'OI(Volume)'!$A$7:$O$445,11)</f>
        <v>19108600</v>
      </c>
      <c r="K93" s="103">
        <f>VLOOKUP($A93,'OI(Volume)'!$A$7:$O$445,12)</f>
        <v>368200</v>
      </c>
      <c r="L93" s="103">
        <f>VLOOKUP($A93,'OI(Value)'!$A$7:$O$329,8,0)</f>
        <v>4104</v>
      </c>
      <c r="M93" s="103">
        <f>VLOOKUP($A93,'OI(Value)'!$A$7:$O$329,9,0)</f>
        <v>393</v>
      </c>
      <c r="N93" s="103">
        <f>VLOOKUP($A93,'OI(Value)'!$A$7:$O$329,11,0)</f>
        <v>2443</v>
      </c>
      <c r="O93" s="103">
        <f>VLOOKUP($A93,'OI(Value)'!$A$7:$O$329,12,0)</f>
        <v>47</v>
      </c>
      <c r="P93" s="179">
        <f>VLOOKUP(A93,'OI(Value)'!A93:O317,8,0)</f>
        <v>4104</v>
      </c>
      <c r="Q93" s="179">
        <f>VLOOKUP(A93,'OI(Value)'!A93:O317,9,0)</f>
        <v>393</v>
      </c>
      <c r="R93" s="179">
        <f>VLOOKUP(A93,'OI(Value)'!A93:O317,11,0)</f>
        <v>2443</v>
      </c>
      <c r="S93" s="179">
        <f>VLOOKUP(A93,'OI(Value)'!A93:O317,11,0)</f>
        <v>2443</v>
      </c>
    </row>
    <row r="94" spans="1:19" x14ac:dyDescent="0.25">
      <c r="A94" s="105" t="str">
        <f>'Data Vlaue (Cr)'!C89</f>
        <v>ICICIGI</v>
      </c>
      <c r="B94" s="143">
        <f>VLOOKUP($A94,'Data shares'!$C:$FA,118)</f>
        <v>0.61</v>
      </c>
      <c r="C94" s="143">
        <f>VLOOKUP($A94,'Data shares'!$C:$FA,119)</f>
        <v>0.62</v>
      </c>
      <c r="D94" s="143">
        <f>VLOOKUP($A94,'Data shares'!$C:$FA,121)*100</f>
        <v>-1.6099999999999999</v>
      </c>
      <c r="E94" s="143">
        <f>VLOOKUP($A94,'Data shares'!$C:$FA,124)</f>
        <v>0.54</v>
      </c>
      <c r="F94" s="143">
        <f>VLOOKUP($A94,'Data shares'!$C:$FA,125)</f>
        <v>0.54</v>
      </c>
      <c r="G94" s="143">
        <f>VLOOKUP($A94,'Data shares'!$C:$FA,127)*100</f>
        <v>0</v>
      </c>
      <c r="H94" s="103">
        <f>VLOOKUP($A94,'OI(Volume)'!$A$7:$O$445,8)</f>
        <v>516425</v>
      </c>
      <c r="I94" s="103">
        <f>VLOOKUP($A94,'OI(Volume)'!$A$7:$O$445,9)</f>
        <v>87750</v>
      </c>
      <c r="J94" s="103">
        <f>VLOOKUP($A94,'OI(Volume)'!$A$7:$O$445,11)</f>
        <v>315900</v>
      </c>
      <c r="K94" s="103">
        <f>VLOOKUP($A94,'OI(Volume)'!$A$7:$O$445,12)</f>
        <v>51350</v>
      </c>
      <c r="L94" s="103">
        <f>VLOOKUP($A94,'OI(Value)'!$A$7:$O$329,8,0)</f>
        <v>91</v>
      </c>
      <c r="M94" s="103">
        <f>VLOOKUP($A94,'OI(Value)'!$A$7:$O$329,9,0)</f>
        <v>15</v>
      </c>
      <c r="N94" s="103">
        <f>VLOOKUP($A94,'OI(Value)'!$A$7:$O$329,11,0)</f>
        <v>56</v>
      </c>
      <c r="O94" s="103">
        <f>VLOOKUP($A94,'OI(Value)'!$A$7:$O$329,12,0)</f>
        <v>9</v>
      </c>
      <c r="P94" s="179">
        <f>VLOOKUP(A94,'OI(Value)'!A94:O318,8,0)</f>
        <v>91</v>
      </c>
      <c r="Q94" s="179">
        <f>VLOOKUP(A94,'OI(Value)'!A94:O318,9,0)</f>
        <v>15</v>
      </c>
      <c r="R94" s="179">
        <f>VLOOKUP(A94,'OI(Value)'!A94:O318,11,0)</f>
        <v>56</v>
      </c>
      <c r="S94" s="179">
        <f>VLOOKUP(A94,'OI(Value)'!A94:O318,11,0)</f>
        <v>56</v>
      </c>
    </row>
    <row r="95" spans="1:19" x14ac:dyDescent="0.25">
      <c r="A95" s="105" t="str">
        <f>'Data Vlaue (Cr)'!C90</f>
        <v>ICICIPRULI</v>
      </c>
      <c r="B95" s="143">
        <f>VLOOKUP($A95,'Data shares'!$C:$FA,118)</f>
        <v>0.65</v>
      </c>
      <c r="C95" s="143">
        <f>VLOOKUP($A95,'Data shares'!$C:$FA,119)</f>
        <v>0.68</v>
      </c>
      <c r="D95" s="143">
        <f>VLOOKUP($A95,'Data shares'!$C:$FA,121)*100</f>
        <v>-4.41</v>
      </c>
      <c r="E95" s="143">
        <f>VLOOKUP($A95,'Data shares'!$C:$FA,124)</f>
        <v>0.4</v>
      </c>
      <c r="F95" s="143">
        <f>VLOOKUP($A95,'Data shares'!$C:$FA,125)</f>
        <v>0.45</v>
      </c>
      <c r="G95" s="143">
        <f>VLOOKUP($A95,'Data shares'!$C:$FA,127)*100</f>
        <v>-11.110000000000001</v>
      </c>
      <c r="H95" s="103">
        <f>VLOOKUP($A95,'OI(Volume)'!$A$7:$O$445,8)</f>
        <v>3279125</v>
      </c>
      <c r="I95" s="103">
        <f>VLOOKUP($A95,'OI(Volume)'!$A$7:$O$445,9)</f>
        <v>112850</v>
      </c>
      <c r="J95" s="103">
        <f>VLOOKUP($A95,'OI(Volume)'!$A$7:$O$445,11)</f>
        <v>2140450</v>
      </c>
      <c r="K95" s="103">
        <f>VLOOKUP($A95,'OI(Volume)'!$A$7:$O$445,12)</f>
        <v>-11100</v>
      </c>
      <c r="L95" s="103">
        <f>VLOOKUP($A95,'OI(Value)'!$A$7:$O$329,8,0)</f>
        <v>176</v>
      </c>
      <c r="M95" s="103">
        <f>VLOOKUP($A95,'OI(Value)'!$A$7:$O$329,9,0)</f>
        <v>6</v>
      </c>
      <c r="N95" s="103">
        <f>VLOOKUP($A95,'OI(Value)'!$A$7:$O$329,11,0)</f>
        <v>115</v>
      </c>
      <c r="O95" s="103">
        <f>VLOOKUP($A95,'OI(Value)'!$A$7:$O$329,12,0)</f>
        <v>-1</v>
      </c>
      <c r="P95" s="179">
        <f>VLOOKUP(A95,'OI(Value)'!A95:O319,8,0)</f>
        <v>176</v>
      </c>
      <c r="Q95" s="179">
        <f>VLOOKUP(A95,'OI(Value)'!A95:O319,9,0)</f>
        <v>6</v>
      </c>
      <c r="R95" s="179">
        <f>VLOOKUP(A95,'OI(Value)'!A95:O319,11,0)</f>
        <v>115</v>
      </c>
      <c r="S95" s="179">
        <f>VLOOKUP(A95,'OI(Value)'!A95:O319,11,0)</f>
        <v>115</v>
      </c>
    </row>
    <row r="96" spans="1:19" x14ac:dyDescent="0.25">
      <c r="A96" s="105" t="str">
        <f>'Data Vlaue (Cr)'!C91</f>
        <v>IDEA</v>
      </c>
      <c r="B96" s="143">
        <f>VLOOKUP($A96,'Data shares'!$C:$FA,118)</f>
        <v>0.48</v>
      </c>
      <c r="C96" s="143">
        <f>VLOOKUP($A96,'Data shares'!$C:$FA,119)</f>
        <v>0.51</v>
      </c>
      <c r="D96" s="143">
        <f>VLOOKUP($A96,'Data shares'!$C:$FA,121)*100</f>
        <v>-5.88</v>
      </c>
      <c r="E96" s="143">
        <f>VLOOKUP($A96,'Data shares'!$C:$FA,124)</f>
        <v>0.24</v>
      </c>
      <c r="F96" s="143">
        <f>VLOOKUP($A96,'Data shares'!$C:$FA,125)</f>
        <v>0.28999999999999998</v>
      </c>
      <c r="G96" s="143">
        <f>VLOOKUP($A96,'Data shares'!$C:$FA,127)*100</f>
        <v>-17.239999999999998</v>
      </c>
      <c r="H96" s="103">
        <f>VLOOKUP($A96,'OI(Volume)'!$A$7:$O$445,8)</f>
        <v>1592391525</v>
      </c>
      <c r="I96" s="103">
        <f>VLOOKUP($A96,'OI(Volume)'!$A$7:$O$445,9)</f>
        <v>267816825</v>
      </c>
      <c r="J96" s="103">
        <f>VLOOKUP($A96,'OI(Volume)'!$A$7:$O$445,11)</f>
        <v>771858525</v>
      </c>
      <c r="K96" s="103">
        <f>VLOOKUP($A96,'OI(Volume)'!$A$7:$O$445,12)</f>
        <v>98135175</v>
      </c>
      <c r="L96" s="103">
        <f>VLOOKUP($A96,'OI(Value)'!$A$7:$O$329,8,0)</f>
        <v>1683</v>
      </c>
      <c r="M96" s="103">
        <f>VLOOKUP($A96,'OI(Value)'!$A$7:$O$329,9,0)</f>
        <v>283</v>
      </c>
      <c r="N96" s="103">
        <f>VLOOKUP($A96,'OI(Value)'!$A$7:$O$329,11,0)</f>
        <v>816</v>
      </c>
      <c r="O96" s="103">
        <f>VLOOKUP($A96,'OI(Value)'!$A$7:$O$329,12,0)</f>
        <v>104</v>
      </c>
      <c r="P96" s="179">
        <f>VLOOKUP(A96,'OI(Value)'!A96:O320,8,0)</f>
        <v>1683</v>
      </c>
      <c r="Q96" s="179">
        <f>VLOOKUP(A96,'OI(Value)'!A96:O320,9,0)</f>
        <v>283</v>
      </c>
      <c r="R96" s="179">
        <f>VLOOKUP(A96,'OI(Value)'!A96:O320,11,0)</f>
        <v>816</v>
      </c>
      <c r="S96" s="179">
        <f>VLOOKUP(A96,'OI(Value)'!A96:O320,11,0)</f>
        <v>816</v>
      </c>
    </row>
    <row r="97" spans="1:19" x14ac:dyDescent="0.25">
      <c r="A97" s="105" t="str">
        <f>'Data Vlaue (Cr)'!C92</f>
        <v>IDFCFIRSTB</v>
      </c>
      <c r="B97" s="143">
        <f>VLOOKUP($A97,'Data shares'!$C:$FA,118)</f>
        <v>0.93</v>
      </c>
      <c r="C97" s="143">
        <f>VLOOKUP($A97,'Data shares'!$C:$FA,119)</f>
        <v>0.92</v>
      </c>
      <c r="D97" s="143">
        <f>VLOOKUP($A97,'Data shares'!$C:$FA,121)*100</f>
        <v>1.0900000000000001</v>
      </c>
      <c r="E97" s="143">
        <f>VLOOKUP($A97,'Data shares'!$C:$FA,124)</f>
        <v>0.9</v>
      </c>
      <c r="F97" s="143">
        <f>VLOOKUP($A97,'Data shares'!$C:$FA,125)</f>
        <v>0.72</v>
      </c>
      <c r="G97" s="143">
        <f>VLOOKUP($A97,'Data shares'!$C:$FA,127)*100</f>
        <v>25</v>
      </c>
      <c r="H97" s="103">
        <f>VLOOKUP($A97,'OI(Volume)'!$A$7:$O$445,8)</f>
        <v>86016350</v>
      </c>
      <c r="I97" s="103">
        <f>VLOOKUP($A97,'OI(Volume)'!$A$7:$O$445,9)</f>
        <v>2708300</v>
      </c>
      <c r="J97" s="103">
        <f>VLOOKUP($A97,'OI(Volume)'!$A$7:$O$445,11)</f>
        <v>79635150</v>
      </c>
      <c r="K97" s="103">
        <f>VLOOKUP($A97,'OI(Volume)'!$A$7:$O$445,12)</f>
        <v>2717575</v>
      </c>
      <c r="L97" s="103">
        <f>VLOOKUP($A97,'OI(Value)'!$A$7:$O$329,8,0)</f>
        <v>602</v>
      </c>
      <c r="M97" s="103">
        <f>VLOOKUP($A97,'OI(Value)'!$A$7:$O$329,9,0)</f>
        <v>19</v>
      </c>
      <c r="N97" s="103">
        <f>VLOOKUP($A97,'OI(Value)'!$A$7:$O$329,11,0)</f>
        <v>557</v>
      </c>
      <c r="O97" s="103">
        <f>VLOOKUP($A97,'OI(Value)'!$A$7:$O$329,12,0)</f>
        <v>19</v>
      </c>
      <c r="P97" s="179">
        <f>VLOOKUP(A97,'OI(Value)'!A97:O321,8,0)</f>
        <v>602</v>
      </c>
      <c r="Q97" s="179">
        <f>VLOOKUP(A97,'OI(Value)'!A97:O321,9,0)</f>
        <v>19</v>
      </c>
      <c r="R97" s="179">
        <f>VLOOKUP(A97,'OI(Value)'!A97:O321,11,0)</f>
        <v>557</v>
      </c>
      <c r="S97" s="179">
        <f>VLOOKUP(A97,'OI(Value)'!A97:O321,11,0)</f>
        <v>557</v>
      </c>
    </row>
    <row r="98" spans="1:19" x14ac:dyDescent="0.25">
      <c r="A98" s="105" t="str">
        <f>'Data Vlaue (Cr)'!C93</f>
        <v>IEX</v>
      </c>
      <c r="B98" s="143">
        <f>VLOOKUP($A98,'Data shares'!$C:$FA,118)</f>
        <v>0.6</v>
      </c>
      <c r="C98" s="143">
        <f>VLOOKUP($A98,'Data shares'!$C:$FA,119)</f>
        <v>0.61</v>
      </c>
      <c r="D98" s="143">
        <f>VLOOKUP($A98,'Data shares'!$C:$FA,121)*100</f>
        <v>-1.6400000000000001</v>
      </c>
      <c r="E98" s="143">
        <f>VLOOKUP($A98,'Data shares'!$C:$FA,124)</f>
        <v>0.45</v>
      </c>
      <c r="F98" s="143">
        <f>VLOOKUP($A98,'Data shares'!$C:$FA,125)</f>
        <v>0.35</v>
      </c>
      <c r="G98" s="143">
        <f>VLOOKUP($A98,'Data shares'!$C:$FA,127)*100</f>
        <v>28.57</v>
      </c>
      <c r="H98" s="103">
        <f>VLOOKUP($A98,'OI(Volume)'!$A$7:$O$445,8)</f>
        <v>43470000</v>
      </c>
      <c r="I98" s="103">
        <f>VLOOKUP($A98,'OI(Volume)'!$A$7:$O$445,9)</f>
        <v>3697500</v>
      </c>
      <c r="J98" s="103">
        <f>VLOOKUP($A98,'OI(Volume)'!$A$7:$O$445,11)</f>
        <v>26235000</v>
      </c>
      <c r="K98" s="103">
        <f>VLOOKUP($A98,'OI(Volume)'!$A$7:$O$445,12)</f>
        <v>1908750</v>
      </c>
      <c r="L98" s="103">
        <f>VLOOKUP($A98,'OI(Value)'!$A$7:$O$329,8,0)</f>
        <v>547</v>
      </c>
      <c r="M98" s="103">
        <f>VLOOKUP($A98,'OI(Value)'!$A$7:$O$329,9,0)</f>
        <v>46</v>
      </c>
      <c r="N98" s="103">
        <f>VLOOKUP($A98,'OI(Value)'!$A$7:$O$329,11,0)</f>
        <v>330</v>
      </c>
      <c r="O98" s="103">
        <f>VLOOKUP($A98,'OI(Value)'!$A$7:$O$329,12,0)</f>
        <v>24</v>
      </c>
      <c r="P98" s="179">
        <f>VLOOKUP(A98,'OI(Value)'!A98:O322,8,0)</f>
        <v>547</v>
      </c>
      <c r="Q98" s="179">
        <f>VLOOKUP(A98,'OI(Value)'!A98:O322,9,0)</f>
        <v>46</v>
      </c>
      <c r="R98" s="179">
        <f>VLOOKUP(A98,'OI(Value)'!A98:O322,11,0)</f>
        <v>330</v>
      </c>
      <c r="S98" s="179">
        <f>VLOOKUP(A98,'OI(Value)'!A98:O322,11,0)</f>
        <v>330</v>
      </c>
    </row>
    <row r="99" spans="1:19" x14ac:dyDescent="0.25">
      <c r="A99" s="105" t="str">
        <f>'Data Vlaue (Cr)'!C94</f>
        <v>INDHOTEL</v>
      </c>
      <c r="B99" s="143">
        <f>VLOOKUP($A99,'Data shares'!$C:$FA,118)</f>
        <v>1.23</v>
      </c>
      <c r="C99" s="143">
        <f>VLOOKUP($A99,'Data shares'!$C:$FA,119)</f>
        <v>1.31</v>
      </c>
      <c r="D99" s="143">
        <f>VLOOKUP($A99,'Data shares'!$C:$FA,121)*100</f>
        <v>-6.11</v>
      </c>
      <c r="E99" s="143">
        <f>VLOOKUP($A99,'Data shares'!$C:$FA,124)</f>
        <v>0.73</v>
      </c>
      <c r="F99" s="143">
        <f>VLOOKUP($A99,'Data shares'!$C:$FA,125)</f>
        <v>0.82</v>
      </c>
      <c r="G99" s="143">
        <f>VLOOKUP($A99,'Data shares'!$C:$FA,127)*100</f>
        <v>-10.979999999999999</v>
      </c>
      <c r="H99" s="103">
        <f>VLOOKUP($A99,'OI(Volume)'!$A$7:$O$445,8)</f>
        <v>4078000</v>
      </c>
      <c r="I99" s="103">
        <f>VLOOKUP($A99,'OI(Volume)'!$A$7:$O$445,9)</f>
        <v>440000</v>
      </c>
      <c r="J99" s="103">
        <f>VLOOKUP($A99,'OI(Volume)'!$A$7:$O$445,11)</f>
        <v>5012000</v>
      </c>
      <c r="K99" s="103">
        <f>VLOOKUP($A99,'OI(Volume)'!$A$7:$O$445,12)</f>
        <v>259000</v>
      </c>
      <c r="L99" s="103">
        <f>VLOOKUP($A99,'OI(Value)'!$A$7:$O$329,8,0)</f>
        <v>263</v>
      </c>
      <c r="M99" s="103">
        <f>VLOOKUP($A99,'OI(Value)'!$A$7:$O$329,9,0)</f>
        <v>28</v>
      </c>
      <c r="N99" s="103">
        <f>VLOOKUP($A99,'OI(Value)'!$A$7:$O$329,11,0)</f>
        <v>324</v>
      </c>
      <c r="O99" s="103">
        <f>VLOOKUP($A99,'OI(Value)'!$A$7:$O$329,12,0)</f>
        <v>17</v>
      </c>
      <c r="P99" s="179">
        <f>VLOOKUP(A99,'OI(Value)'!A99:O323,8,0)</f>
        <v>263</v>
      </c>
      <c r="Q99" s="179">
        <f>VLOOKUP(A99,'OI(Value)'!A99:O323,9,0)</f>
        <v>28</v>
      </c>
      <c r="R99" s="179">
        <f>VLOOKUP(A99,'OI(Value)'!A99:O323,11,0)</f>
        <v>324</v>
      </c>
      <c r="S99" s="179">
        <f>VLOOKUP(A99,'OI(Value)'!A99:O323,11,0)</f>
        <v>324</v>
      </c>
    </row>
    <row r="100" spans="1:19" x14ac:dyDescent="0.25">
      <c r="A100" s="105" t="str">
        <f>'Data Vlaue (Cr)'!C95</f>
        <v>INDIANB</v>
      </c>
      <c r="B100" s="143">
        <f>VLOOKUP($A100,'Data shares'!$C:$FA,118)</f>
        <v>0.53</v>
      </c>
      <c r="C100" s="143">
        <f>VLOOKUP($A100,'Data shares'!$C:$FA,119)</f>
        <v>0.57999999999999996</v>
      </c>
      <c r="D100" s="143">
        <f>VLOOKUP($A100,'Data shares'!$C:$FA,121)*100</f>
        <v>-8.6199999999999992</v>
      </c>
      <c r="E100" s="143">
        <f>VLOOKUP($A100,'Data shares'!$C:$FA,124)</f>
        <v>0.4</v>
      </c>
      <c r="F100" s="143">
        <f>VLOOKUP($A100,'Data shares'!$C:$FA,125)</f>
        <v>0.68</v>
      </c>
      <c r="G100" s="143">
        <f>VLOOKUP($A100,'Data shares'!$C:$FA,127)*100</f>
        <v>-41.18</v>
      </c>
      <c r="H100" s="103">
        <f>VLOOKUP($A100,'OI(Volume)'!$A$7:$O$445,8)</f>
        <v>6767000</v>
      </c>
      <c r="I100" s="103">
        <f>VLOOKUP($A100,'OI(Volume)'!$A$7:$O$445,9)</f>
        <v>946000</v>
      </c>
      <c r="J100" s="103">
        <f>VLOOKUP($A100,'OI(Volume)'!$A$7:$O$445,11)</f>
        <v>3612000</v>
      </c>
      <c r="K100" s="103">
        <f>VLOOKUP($A100,'OI(Volume)'!$A$7:$O$445,12)</f>
        <v>207000</v>
      </c>
      <c r="L100" s="103">
        <f>VLOOKUP($A100,'OI(Value)'!$A$7:$O$329,8,0)</f>
        <v>565</v>
      </c>
      <c r="M100" s="103">
        <f>VLOOKUP($A100,'OI(Value)'!$A$7:$O$329,9,0)</f>
        <v>79</v>
      </c>
      <c r="N100" s="103">
        <f>VLOOKUP($A100,'OI(Value)'!$A$7:$O$329,11,0)</f>
        <v>301</v>
      </c>
      <c r="O100" s="103">
        <f>VLOOKUP($A100,'OI(Value)'!$A$7:$O$329,12,0)</f>
        <v>17</v>
      </c>
      <c r="P100" s="179">
        <f>VLOOKUP(A100,'OI(Value)'!A100:O324,8,0)</f>
        <v>565</v>
      </c>
      <c r="Q100" s="179">
        <f>VLOOKUP(A100,'OI(Value)'!A100:O324,9,0)</f>
        <v>79</v>
      </c>
      <c r="R100" s="179">
        <f>VLOOKUP(A100,'OI(Value)'!A100:O324,11,0)</f>
        <v>301</v>
      </c>
      <c r="S100" s="179">
        <f>VLOOKUP(A100,'OI(Value)'!A100:O324,11,0)</f>
        <v>301</v>
      </c>
    </row>
    <row r="101" spans="1:19" x14ac:dyDescent="0.25">
      <c r="A101" s="105" t="str">
        <f>'Data Vlaue (Cr)'!C96</f>
        <v>INDIAVIX</v>
      </c>
      <c r="B101" s="143">
        <f>VLOOKUP($A101,'Data shares'!$C:$FA,118)</f>
        <v>0</v>
      </c>
      <c r="C101" s="143">
        <f>VLOOKUP($A101,'Data shares'!$C:$FA,119)</f>
        <v>0</v>
      </c>
      <c r="D101" s="143">
        <f>VLOOKUP($A101,'Data shares'!$C:$FA,121)*100</f>
        <v>0</v>
      </c>
      <c r="E101" s="143">
        <f>VLOOKUP($A101,'Data shares'!$C:$FA,124)</f>
        <v>0</v>
      </c>
      <c r="F101" s="143">
        <f>VLOOKUP($A101,'Data shares'!$C:$FA,125)</f>
        <v>0</v>
      </c>
      <c r="G101" s="143">
        <f>VLOOKUP($A101,'Data shares'!$C:$FA,127)*100</f>
        <v>0</v>
      </c>
      <c r="H101" s="103">
        <f>VLOOKUP($A101,'OI(Volume)'!$A$7:$O$445,8)</f>
        <v>0</v>
      </c>
      <c r="I101" s="103">
        <f>VLOOKUP($A101,'OI(Volume)'!$A$7:$O$445,9)</f>
        <v>0</v>
      </c>
      <c r="J101" s="103">
        <f>VLOOKUP($A101,'OI(Volume)'!$A$7:$O$445,11)</f>
        <v>0</v>
      </c>
      <c r="K101" s="103">
        <f>VLOOKUP($A101,'OI(Volume)'!$A$7:$O$445,12)</f>
        <v>0</v>
      </c>
      <c r="L101" s="103">
        <f>VLOOKUP($A101,'OI(Value)'!$A$7:$O$329,8,0)</f>
        <v>0</v>
      </c>
      <c r="M101" s="103">
        <f>VLOOKUP($A101,'OI(Value)'!$A$7:$O$329,9,0)</f>
        <v>0</v>
      </c>
      <c r="N101" s="103">
        <f>VLOOKUP($A101,'OI(Value)'!$A$7:$O$329,11,0)</f>
        <v>0</v>
      </c>
      <c r="O101" s="103">
        <f>VLOOKUP($A101,'OI(Value)'!$A$7:$O$329,12,0)</f>
        <v>0</v>
      </c>
      <c r="P101" s="179">
        <f>VLOOKUP(A101,'OI(Value)'!A101:O325,8,0)</f>
        <v>0</v>
      </c>
      <c r="Q101" s="179">
        <f>VLOOKUP(A101,'OI(Value)'!A101:O325,9,0)</f>
        <v>0</v>
      </c>
      <c r="R101" s="179">
        <f>VLOOKUP(A101,'OI(Value)'!A101:O325,11,0)</f>
        <v>0</v>
      </c>
      <c r="S101" s="179">
        <f>VLOOKUP(A101,'OI(Value)'!A101:O325,11,0)</f>
        <v>0</v>
      </c>
    </row>
    <row r="102" spans="1:19" x14ac:dyDescent="0.25">
      <c r="A102" s="105" t="str">
        <f>'Data Vlaue (Cr)'!C97</f>
        <v>INDIGO</v>
      </c>
      <c r="B102" s="143">
        <f>VLOOKUP($A102,'Data shares'!$C:$FA,118)</f>
        <v>0.63</v>
      </c>
      <c r="C102" s="143">
        <f>VLOOKUP($A102,'Data shares'!$C:$FA,119)</f>
        <v>0.8</v>
      </c>
      <c r="D102" s="143">
        <f>VLOOKUP($A102,'Data shares'!$C:$FA,121)*100</f>
        <v>-21.25</v>
      </c>
      <c r="E102" s="143">
        <f>VLOOKUP($A102,'Data shares'!$C:$FA,124)</f>
        <v>0.74</v>
      </c>
      <c r="F102" s="143">
        <f>VLOOKUP($A102,'Data shares'!$C:$FA,125)</f>
        <v>1.2</v>
      </c>
      <c r="G102" s="143">
        <f>VLOOKUP($A102,'Data shares'!$C:$FA,127)*100</f>
        <v>-38.33</v>
      </c>
      <c r="H102" s="103">
        <f>VLOOKUP($A102,'OI(Volume)'!$A$7:$O$445,8)</f>
        <v>3055650</v>
      </c>
      <c r="I102" s="103">
        <f>VLOOKUP($A102,'OI(Volume)'!$A$7:$O$445,9)</f>
        <v>687300</v>
      </c>
      <c r="J102" s="103">
        <f>VLOOKUP($A102,'OI(Volume)'!$A$7:$O$445,11)</f>
        <v>1936050</v>
      </c>
      <c r="K102" s="103">
        <f>VLOOKUP($A102,'OI(Volume)'!$A$7:$O$445,12)</f>
        <v>51000</v>
      </c>
      <c r="L102" s="103">
        <f>VLOOKUP($A102,'OI(Value)'!$A$7:$O$329,8,0)</f>
        <v>1309</v>
      </c>
      <c r="M102" s="103">
        <f>VLOOKUP($A102,'OI(Value)'!$A$7:$O$329,9,0)</f>
        <v>295</v>
      </c>
      <c r="N102" s="103">
        <f>VLOOKUP($A102,'OI(Value)'!$A$7:$O$329,11,0)</f>
        <v>830</v>
      </c>
      <c r="O102" s="103">
        <f>VLOOKUP($A102,'OI(Value)'!$A$7:$O$329,12,0)</f>
        <v>22</v>
      </c>
      <c r="P102" s="179">
        <f>VLOOKUP(A102,'OI(Value)'!A102:O326,8,0)</f>
        <v>1309</v>
      </c>
      <c r="Q102" s="179">
        <f>VLOOKUP(A102,'OI(Value)'!A102:O326,9,0)</f>
        <v>295</v>
      </c>
      <c r="R102" s="179">
        <f>VLOOKUP(A102,'OI(Value)'!A102:O326,11,0)</f>
        <v>830</v>
      </c>
      <c r="S102" s="179">
        <f>VLOOKUP(A102,'OI(Value)'!A102:O326,11,0)</f>
        <v>830</v>
      </c>
    </row>
    <row r="103" spans="1:19" x14ac:dyDescent="0.25">
      <c r="A103" s="105" t="str">
        <f>'Data Vlaue (Cr)'!C98</f>
        <v>INDUSINDBK</v>
      </c>
      <c r="B103" s="143">
        <f>VLOOKUP($A103,'Data shares'!$C:$FA,118)</f>
        <v>0.94</v>
      </c>
      <c r="C103" s="143">
        <f>VLOOKUP($A103,'Data shares'!$C:$FA,119)</f>
        <v>1.04</v>
      </c>
      <c r="D103" s="143">
        <f>VLOOKUP($A103,'Data shares'!$C:$FA,121)*100</f>
        <v>-9.6199999999999992</v>
      </c>
      <c r="E103" s="143">
        <f>VLOOKUP($A103,'Data shares'!$C:$FA,124)</f>
        <v>0.85</v>
      </c>
      <c r="F103" s="143">
        <f>VLOOKUP($A103,'Data shares'!$C:$FA,125)</f>
        <v>0.89</v>
      </c>
      <c r="G103" s="143">
        <f>VLOOKUP($A103,'Data shares'!$C:$FA,127)*100</f>
        <v>-4.49</v>
      </c>
      <c r="H103" s="103">
        <f>VLOOKUP($A103,'OI(Volume)'!$A$7:$O$445,8)</f>
        <v>5770100</v>
      </c>
      <c r="I103" s="103">
        <f>VLOOKUP($A103,'OI(Volume)'!$A$7:$O$445,9)</f>
        <v>581700</v>
      </c>
      <c r="J103" s="103">
        <f>VLOOKUP($A103,'OI(Volume)'!$A$7:$O$445,11)</f>
        <v>5426400</v>
      </c>
      <c r="K103" s="103">
        <f>VLOOKUP($A103,'OI(Volume)'!$A$7:$O$445,12)</f>
        <v>45500</v>
      </c>
      <c r="L103" s="103">
        <f>VLOOKUP($A103,'OI(Value)'!$A$7:$O$329,8,0)</f>
        <v>530</v>
      </c>
      <c r="M103" s="103">
        <f>VLOOKUP($A103,'OI(Value)'!$A$7:$O$329,9,0)</f>
        <v>53</v>
      </c>
      <c r="N103" s="103">
        <f>VLOOKUP($A103,'OI(Value)'!$A$7:$O$329,11,0)</f>
        <v>499</v>
      </c>
      <c r="O103" s="103">
        <f>VLOOKUP($A103,'OI(Value)'!$A$7:$O$329,12,0)</f>
        <v>4</v>
      </c>
      <c r="P103" s="179">
        <f>VLOOKUP(A103,'OI(Value)'!A103:O327,8,0)</f>
        <v>530</v>
      </c>
      <c r="Q103" s="179">
        <f>VLOOKUP(A103,'OI(Value)'!A103:O327,9,0)</f>
        <v>53</v>
      </c>
      <c r="R103" s="179">
        <f>VLOOKUP(A103,'OI(Value)'!A103:O327,11,0)</f>
        <v>499</v>
      </c>
      <c r="S103" s="179">
        <f>VLOOKUP(A103,'OI(Value)'!A103:O327,11,0)</f>
        <v>499</v>
      </c>
    </row>
    <row r="104" spans="1:19" x14ac:dyDescent="0.25">
      <c r="A104" s="105" t="str">
        <f>'Data Vlaue (Cr)'!C99</f>
        <v>INDUSTOWER</v>
      </c>
      <c r="B104" s="143">
        <f>VLOOKUP($A104,'Data shares'!$C:$FA,118)</f>
        <v>0.73</v>
      </c>
      <c r="C104" s="143">
        <f>VLOOKUP($A104,'Data shares'!$C:$FA,119)</f>
        <v>0.78</v>
      </c>
      <c r="D104" s="143">
        <f>VLOOKUP($A104,'Data shares'!$C:$FA,121)*100</f>
        <v>-6.41</v>
      </c>
      <c r="E104" s="143">
        <f>VLOOKUP($A104,'Data shares'!$C:$FA,124)</f>
        <v>0.48</v>
      </c>
      <c r="F104" s="143">
        <f>VLOOKUP($A104,'Data shares'!$C:$FA,125)</f>
        <v>0.56999999999999995</v>
      </c>
      <c r="G104" s="143">
        <f>VLOOKUP($A104,'Data shares'!$C:$FA,127)*100</f>
        <v>-15.790000000000001</v>
      </c>
      <c r="H104" s="103">
        <f>VLOOKUP($A104,'OI(Volume)'!$A$7:$O$445,8)</f>
        <v>29132900</v>
      </c>
      <c r="I104" s="103">
        <f>VLOOKUP($A104,'OI(Volume)'!$A$7:$O$445,9)</f>
        <v>6419200</v>
      </c>
      <c r="J104" s="103">
        <f>VLOOKUP($A104,'OI(Volume)'!$A$7:$O$445,11)</f>
        <v>21306100</v>
      </c>
      <c r="K104" s="103">
        <f>VLOOKUP($A104,'OI(Volume)'!$A$7:$O$445,12)</f>
        <v>3561500</v>
      </c>
      <c r="L104" s="103">
        <f>VLOOKUP($A104,'OI(Value)'!$A$7:$O$329,8,0)</f>
        <v>1173</v>
      </c>
      <c r="M104" s="103">
        <f>VLOOKUP($A104,'OI(Value)'!$A$7:$O$329,9,0)</f>
        <v>258</v>
      </c>
      <c r="N104" s="103">
        <f>VLOOKUP($A104,'OI(Value)'!$A$7:$O$329,11,0)</f>
        <v>858</v>
      </c>
      <c r="O104" s="103">
        <f>VLOOKUP($A104,'OI(Value)'!$A$7:$O$329,12,0)</f>
        <v>143</v>
      </c>
      <c r="P104" s="179">
        <f>VLOOKUP(A104,'OI(Value)'!A104:O328,8,0)</f>
        <v>1173</v>
      </c>
      <c r="Q104" s="179">
        <f>VLOOKUP(A104,'OI(Value)'!A104:O328,9,0)</f>
        <v>258</v>
      </c>
      <c r="R104" s="179">
        <f>VLOOKUP(A104,'OI(Value)'!A104:O328,11,0)</f>
        <v>858</v>
      </c>
      <c r="S104" s="179">
        <f>VLOOKUP(A104,'OI(Value)'!A104:O328,11,0)</f>
        <v>858</v>
      </c>
    </row>
    <row r="105" spans="1:19" x14ac:dyDescent="0.25">
      <c r="A105" s="105" t="str">
        <f>'Data Vlaue (Cr)'!C100</f>
        <v>INFY</v>
      </c>
      <c r="B105" s="143">
        <f>VLOOKUP($A105,'Data shares'!$C:$FA,118)</f>
        <v>0.59</v>
      </c>
      <c r="C105" s="143">
        <f>VLOOKUP($A105,'Data shares'!$C:$FA,119)</f>
        <v>0.61</v>
      </c>
      <c r="D105" s="143">
        <f>VLOOKUP($A105,'Data shares'!$C:$FA,121)*100</f>
        <v>-3.2800000000000002</v>
      </c>
      <c r="E105" s="143">
        <f>VLOOKUP($A105,'Data shares'!$C:$FA,124)</f>
        <v>0.53</v>
      </c>
      <c r="F105" s="143">
        <f>VLOOKUP($A105,'Data shares'!$C:$FA,125)</f>
        <v>0.55000000000000004</v>
      </c>
      <c r="G105" s="143">
        <f>VLOOKUP($A105,'Data shares'!$C:$FA,127)*100</f>
        <v>-3.64</v>
      </c>
      <c r="H105" s="103">
        <f>VLOOKUP($A105,'OI(Volume)'!$A$7:$O$445,8)</f>
        <v>35053200</v>
      </c>
      <c r="I105" s="103">
        <f>VLOOKUP($A105,'OI(Volume)'!$A$7:$O$445,9)</f>
        <v>2997600</v>
      </c>
      <c r="J105" s="103">
        <f>VLOOKUP($A105,'OI(Volume)'!$A$7:$O$445,11)</f>
        <v>20548000</v>
      </c>
      <c r="K105" s="103">
        <f>VLOOKUP($A105,'OI(Volume)'!$A$7:$O$445,12)</f>
        <v>864000</v>
      </c>
      <c r="L105" s="103">
        <f>VLOOKUP($A105,'OI(Value)'!$A$7:$O$329,8,0)</f>
        <v>4112</v>
      </c>
      <c r="M105" s="103">
        <f>VLOOKUP($A105,'OI(Value)'!$A$7:$O$329,9,0)</f>
        <v>352</v>
      </c>
      <c r="N105" s="103">
        <f>VLOOKUP($A105,'OI(Value)'!$A$7:$O$329,11,0)</f>
        <v>2410</v>
      </c>
      <c r="O105" s="103">
        <f>VLOOKUP($A105,'OI(Value)'!$A$7:$O$329,12,0)</f>
        <v>101</v>
      </c>
      <c r="P105" s="179">
        <f>VLOOKUP(A105,'OI(Value)'!A105:O329,8,0)</f>
        <v>4112</v>
      </c>
      <c r="Q105" s="179">
        <f>VLOOKUP(A105,'OI(Value)'!A105:O329,9,0)</f>
        <v>352</v>
      </c>
      <c r="R105" s="179">
        <f>VLOOKUP(A105,'OI(Value)'!A105:O329,11,0)</f>
        <v>2410</v>
      </c>
      <c r="S105" s="179">
        <f>VLOOKUP(A105,'OI(Value)'!A105:O329,11,0)</f>
        <v>2410</v>
      </c>
    </row>
    <row r="106" spans="1:19" x14ac:dyDescent="0.25">
      <c r="A106" s="105" t="str">
        <f>'Data Vlaue (Cr)'!C101</f>
        <v>INOXWIND</v>
      </c>
      <c r="B106" s="143">
        <f>VLOOKUP($A106,'Data shares'!$C:$FA,118)</f>
        <v>0.71</v>
      </c>
      <c r="C106" s="143">
        <f>VLOOKUP($A106,'Data shares'!$C:$FA,119)</f>
        <v>0.7</v>
      </c>
      <c r="D106" s="143">
        <f>VLOOKUP($A106,'Data shares'!$C:$FA,121)*100</f>
        <v>1.43</v>
      </c>
      <c r="E106" s="143">
        <f>VLOOKUP($A106,'Data shares'!$C:$FA,124)</f>
        <v>0.37</v>
      </c>
      <c r="F106" s="143">
        <f>VLOOKUP($A106,'Data shares'!$C:$FA,125)</f>
        <v>0.49</v>
      </c>
      <c r="G106" s="143">
        <f>VLOOKUP($A106,'Data shares'!$C:$FA,127)*100</f>
        <v>-24.490000000000002</v>
      </c>
      <c r="H106" s="103">
        <f>VLOOKUP($A106,'OI(Volume)'!$A$7:$O$445,8)</f>
        <v>16874000</v>
      </c>
      <c r="I106" s="103">
        <f>VLOOKUP($A106,'OI(Volume)'!$A$7:$O$445,9)</f>
        <v>1791075</v>
      </c>
      <c r="J106" s="103">
        <f>VLOOKUP($A106,'OI(Volume)'!$A$7:$O$445,11)</f>
        <v>11911900</v>
      </c>
      <c r="K106" s="103">
        <f>VLOOKUP($A106,'OI(Volume)'!$A$7:$O$445,12)</f>
        <v>1397825</v>
      </c>
      <c r="L106" s="103">
        <f>VLOOKUP($A106,'OI(Value)'!$A$7:$O$329,8,0)</f>
        <v>175</v>
      </c>
      <c r="M106" s="103">
        <f>VLOOKUP($A106,'OI(Value)'!$A$7:$O$329,9,0)</f>
        <v>19</v>
      </c>
      <c r="N106" s="103">
        <f>VLOOKUP($A106,'OI(Value)'!$A$7:$O$329,11,0)</f>
        <v>124</v>
      </c>
      <c r="O106" s="103">
        <f>VLOOKUP($A106,'OI(Value)'!$A$7:$O$329,12,0)</f>
        <v>15</v>
      </c>
      <c r="P106" s="179">
        <f>VLOOKUP(A106,'OI(Value)'!A106:O330,8,0)</f>
        <v>175</v>
      </c>
      <c r="Q106" s="179">
        <f>VLOOKUP(A106,'OI(Value)'!A106:O330,9,0)</f>
        <v>19</v>
      </c>
      <c r="R106" s="179">
        <f>VLOOKUP(A106,'OI(Value)'!A106:O330,11,0)</f>
        <v>124</v>
      </c>
      <c r="S106" s="179">
        <f>VLOOKUP(A106,'OI(Value)'!A106:O330,11,0)</f>
        <v>124</v>
      </c>
    </row>
    <row r="107" spans="1:19" x14ac:dyDescent="0.25">
      <c r="A107" s="105" t="str">
        <f>'Data Vlaue (Cr)'!C102</f>
        <v>IOC</v>
      </c>
      <c r="B107" s="143">
        <f>VLOOKUP($A107,'Data shares'!$C:$FA,118)</f>
        <v>0.79</v>
      </c>
      <c r="C107" s="143">
        <f>VLOOKUP($A107,'Data shares'!$C:$FA,119)</f>
        <v>0.81</v>
      </c>
      <c r="D107" s="143">
        <f>VLOOKUP($A107,'Data shares'!$C:$FA,121)*100</f>
        <v>-2.4699999999999998</v>
      </c>
      <c r="E107" s="143">
        <f>VLOOKUP($A107,'Data shares'!$C:$FA,124)</f>
        <v>0.56000000000000005</v>
      </c>
      <c r="F107" s="143">
        <f>VLOOKUP($A107,'Data shares'!$C:$FA,125)</f>
        <v>0.71</v>
      </c>
      <c r="G107" s="143">
        <f>VLOOKUP($A107,'Data shares'!$C:$FA,127)*100</f>
        <v>-21.13</v>
      </c>
      <c r="H107" s="103">
        <f>VLOOKUP($A107,'OI(Volume)'!$A$7:$O$445,8)</f>
        <v>38020125</v>
      </c>
      <c r="I107" s="103">
        <f>VLOOKUP($A107,'OI(Volume)'!$A$7:$O$445,9)</f>
        <v>3383250</v>
      </c>
      <c r="J107" s="103">
        <f>VLOOKUP($A107,'OI(Volume)'!$A$7:$O$445,11)</f>
        <v>30098250</v>
      </c>
      <c r="K107" s="103">
        <f>VLOOKUP($A107,'OI(Volume)'!$A$7:$O$445,12)</f>
        <v>2115750</v>
      </c>
      <c r="L107" s="103">
        <f>VLOOKUP($A107,'OI(Value)'!$A$7:$O$329,8,0)</f>
        <v>544</v>
      </c>
      <c r="M107" s="103">
        <f>VLOOKUP($A107,'OI(Value)'!$A$7:$O$329,9,0)</f>
        <v>48</v>
      </c>
      <c r="N107" s="103">
        <f>VLOOKUP($A107,'OI(Value)'!$A$7:$O$329,11,0)</f>
        <v>431</v>
      </c>
      <c r="O107" s="103">
        <f>VLOOKUP($A107,'OI(Value)'!$A$7:$O$329,12,0)</f>
        <v>30</v>
      </c>
      <c r="P107" s="179">
        <f>VLOOKUP(A107,'OI(Value)'!A107:O331,8,0)</f>
        <v>544</v>
      </c>
      <c r="Q107" s="179">
        <f>VLOOKUP(A107,'OI(Value)'!A107:O331,9,0)</f>
        <v>48</v>
      </c>
      <c r="R107" s="179">
        <f>VLOOKUP(A107,'OI(Value)'!A107:O331,11,0)</f>
        <v>431</v>
      </c>
      <c r="S107" s="179">
        <f>VLOOKUP(A107,'OI(Value)'!A107:O331,11,0)</f>
        <v>431</v>
      </c>
    </row>
    <row r="108" spans="1:19" x14ac:dyDescent="0.25">
      <c r="A108" s="105" t="str">
        <f>'Data Vlaue (Cr)'!C103</f>
        <v>IREDA</v>
      </c>
      <c r="B108" s="143">
        <f>VLOOKUP($A108,'Data shares'!$C:$FA,118)</f>
        <v>0.72</v>
      </c>
      <c r="C108" s="143">
        <f>VLOOKUP($A108,'Data shares'!$C:$FA,119)</f>
        <v>0.75</v>
      </c>
      <c r="D108" s="143">
        <f>VLOOKUP($A108,'Data shares'!$C:$FA,121)*100</f>
        <v>-4</v>
      </c>
      <c r="E108" s="143">
        <f>VLOOKUP($A108,'Data shares'!$C:$FA,124)</f>
        <v>0.42</v>
      </c>
      <c r="F108" s="143">
        <f>VLOOKUP($A108,'Data shares'!$C:$FA,125)</f>
        <v>0.38</v>
      </c>
      <c r="G108" s="143">
        <f>VLOOKUP($A108,'Data shares'!$C:$FA,127)*100</f>
        <v>10.530000000000001</v>
      </c>
      <c r="H108" s="103">
        <f>VLOOKUP($A108,'OI(Volume)'!$A$7:$O$445,8)</f>
        <v>16114950</v>
      </c>
      <c r="I108" s="103">
        <f>VLOOKUP($A108,'OI(Volume)'!$A$7:$O$445,9)</f>
        <v>1221300</v>
      </c>
      <c r="J108" s="103">
        <f>VLOOKUP($A108,'OI(Volume)'!$A$7:$O$445,11)</f>
        <v>11616150</v>
      </c>
      <c r="K108" s="103">
        <f>VLOOKUP($A108,'OI(Volume)'!$A$7:$O$445,12)</f>
        <v>386400</v>
      </c>
      <c r="L108" s="103">
        <f>VLOOKUP($A108,'OI(Value)'!$A$7:$O$329,8,0)</f>
        <v>219</v>
      </c>
      <c r="M108" s="103">
        <f>VLOOKUP($A108,'OI(Value)'!$A$7:$O$329,9,0)</f>
        <v>17</v>
      </c>
      <c r="N108" s="103">
        <f>VLOOKUP($A108,'OI(Value)'!$A$7:$O$329,11,0)</f>
        <v>158</v>
      </c>
      <c r="O108" s="103">
        <f>VLOOKUP($A108,'OI(Value)'!$A$7:$O$329,12,0)</f>
        <v>5</v>
      </c>
      <c r="P108" s="179">
        <f>VLOOKUP(A108,'OI(Value)'!A108:O332,8,0)</f>
        <v>219</v>
      </c>
      <c r="Q108" s="179">
        <f>VLOOKUP(A108,'OI(Value)'!A108:O332,9,0)</f>
        <v>17</v>
      </c>
      <c r="R108" s="179">
        <f>VLOOKUP(A108,'OI(Value)'!A108:O332,11,0)</f>
        <v>158</v>
      </c>
      <c r="S108" s="179">
        <f>VLOOKUP(A108,'OI(Value)'!A108:O332,11,0)</f>
        <v>158</v>
      </c>
    </row>
    <row r="109" spans="1:19" x14ac:dyDescent="0.25">
      <c r="A109" s="105" t="str">
        <f>'Data Vlaue (Cr)'!C104</f>
        <v>IRFC</v>
      </c>
      <c r="B109" s="143">
        <f>VLOOKUP($A109,'Data shares'!$C:$FA,118)</f>
        <v>0.8</v>
      </c>
      <c r="C109" s="143">
        <f>VLOOKUP($A109,'Data shares'!$C:$FA,119)</f>
        <v>0.79</v>
      </c>
      <c r="D109" s="143">
        <f>VLOOKUP($A109,'Data shares'!$C:$FA,121)*100</f>
        <v>1.27</v>
      </c>
      <c r="E109" s="143">
        <f>VLOOKUP($A109,'Data shares'!$C:$FA,124)</f>
        <v>0.51</v>
      </c>
      <c r="F109" s="143">
        <f>VLOOKUP($A109,'Data shares'!$C:$FA,125)</f>
        <v>0.62</v>
      </c>
      <c r="G109" s="143">
        <f>VLOOKUP($A109,'Data shares'!$C:$FA,127)*100</f>
        <v>-17.740000000000002</v>
      </c>
      <c r="H109" s="103">
        <f>VLOOKUP($A109,'OI(Volume)'!$A$7:$O$445,8)</f>
        <v>25844250</v>
      </c>
      <c r="I109" s="103">
        <f>VLOOKUP($A109,'OI(Volume)'!$A$7:$O$445,9)</f>
        <v>1134750</v>
      </c>
      <c r="J109" s="103">
        <f>VLOOKUP($A109,'OI(Volume)'!$A$7:$O$445,11)</f>
        <v>20795250</v>
      </c>
      <c r="K109" s="103">
        <f>VLOOKUP($A109,'OI(Volume)'!$A$7:$O$445,12)</f>
        <v>1317500</v>
      </c>
      <c r="L109" s="103">
        <f>VLOOKUP($A109,'OI(Value)'!$A$7:$O$329,8,0)</f>
        <v>271</v>
      </c>
      <c r="M109" s="103">
        <f>VLOOKUP($A109,'OI(Value)'!$A$7:$O$329,9,0)</f>
        <v>12</v>
      </c>
      <c r="N109" s="103">
        <f>VLOOKUP($A109,'OI(Value)'!$A$7:$O$329,11,0)</f>
        <v>218</v>
      </c>
      <c r="O109" s="103">
        <f>VLOOKUP($A109,'OI(Value)'!$A$7:$O$329,12,0)</f>
        <v>14</v>
      </c>
      <c r="P109" s="179">
        <f>VLOOKUP(A109,'OI(Value)'!A109:O333,8,0)</f>
        <v>271</v>
      </c>
      <c r="Q109" s="179">
        <f>VLOOKUP(A109,'OI(Value)'!A109:O333,9,0)</f>
        <v>12</v>
      </c>
      <c r="R109" s="179">
        <f>VLOOKUP(A109,'OI(Value)'!A109:O333,11,0)</f>
        <v>218</v>
      </c>
      <c r="S109" s="179">
        <f>VLOOKUP(A109,'OI(Value)'!A109:O333,11,0)</f>
        <v>218</v>
      </c>
    </row>
    <row r="110" spans="1:19" x14ac:dyDescent="0.25">
      <c r="A110" s="105" t="str">
        <f>'Data Vlaue (Cr)'!C105</f>
        <v>ITC</v>
      </c>
      <c r="B110" s="143">
        <f>VLOOKUP($A110,'Data shares'!$C:$FA,118)</f>
        <v>0.43</v>
      </c>
      <c r="C110" s="143">
        <f>VLOOKUP($A110,'Data shares'!$C:$FA,119)</f>
        <v>0.56000000000000005</v>
      </c>
      <c r="D110" s="143">
        <f>VLOOKUP($A110,'Data shares'!$C:$FA,121)*100</f>
        <v>-23.21</v>
      </c>
      <c r="E110" s="143">
        <f>VLOOKUP($A110,'Data shares'!$C:$FA,124)</f>
        <v>0.27</v>
      </c>
      <c r="F110" s="143">
        <f>VLOOKUP($A110,'Data shares'!$C:$FA,125)</f>
        <v>0.35</v>
      </c>
      <c r="G110" s="143">
        <f>VLOOKUP($A110,'Data shares'!$C:$FA,127)*100</f>
        <v>-22.86</v>
      </c>
      <c r="H110" s="103">
        <f>VLOOKUP($A110,'OI(Volume)'!$A$7:$O$445,8)</f>
        <v>87576250</v>
      </c>
      <c r="I110" s="103">
        <f>VLOOKUP($A110,'OI(Volume)'!$A$7:$O$445,9)</f>
        <v>18683450</v>
      </c>
      <c r="J110" s="103">
        <f>VLOOKUP($A110,'OI(Volume)'!$A$7:$O$445,11)</f>
        <v>37388800</v>
      </c>
      <c r="K110" s="103">
        <f>VLOOKUP($A110,'OI(Volume)'!$A$7:$O$445,12)</f>
        <v>-1395200</v>
      </c>
      <c r="L110" s="103">
        <f>VLOOKUP($A110,'OI(Value)'!$A$7:$O$329,8,0)</f>
        <v>2738</v>
      </c>
      <c r="M110" s="103">
        <f>VLOOKUP($A110,'OI(Value)'!$A$7:$O$329,9,0)</f>
        <v>584</v>
      </c>
      <c r="N110" s="103">
        <f>VLOOKUP($A110,'OI(Value)'!$A$7:$O$329,11,0)</f>
        <v>1169</v>
      </c>
      <c r="O110" s="103">
        <f>VLOOKUP($A110,'OI(Value)'!$A$7:$O$329,12,0)</f>
        <v>-44</v>
      </c>
      <c r="P110" s="179">
        <f>VLOOKUP(A110,'OI(Value)'!A110:O334,8,0)</f>
        <v>2738</v>
      </c>
      <c r="Q110" s="179">
        <f>VLOOKUP(A110,'OI(Value)'!A110:O334,9,0)</f>
        <v>584</v>
      </c>
      <c r="R110" s="179">
        <f>VLOOKUP(A110,'OI(Value)'!A110:O334,11,0)</f>
        <v>1169</v>
      </c>
      <c r="S110" s="179">
        <f>VLOOKUP(A110,'OI(Value)'!A110:O334,11,0)</f>
        <v>1169</v>
      </c>
    </row>
    <row r="111" spans="1:19" x14ac:dyDescent="0.25">
      <c r="A111" s="105" t="str">
        <f>'Data Vlaue (Cr)'!C106</f>
        <v>JINDALSTEL</v>
      </c>
      <c r="B111" s="143">
        <f>VLOOKUP($A111,'Data shares'!$C:$FA,118)</f>
        <v>0.82</v>
      </c>
      <c r="C111" s="143">
        <f>VLOOKUP($A111,'Data shares'!$C:$FA,119)</f>
        <v>0.95</v>
      </c>
      <c r="D111" s="143">
        <f>VLOOKUP($A111,'Data shares'!$C:$FA,121)*100</f>
        <v>-13.68</v>
      </c>
      <c r="E111" s="143">
        <f>VLOOKUP($A111,'Data shares'!$C:$FA,124)</f>
        <v>0.57999999999999996</v>
      </c>
      <c r="F111" s="143">
        <f>VLOOKUP($A111,'Data shares'!$C:$FA,125)</f>
        <v>0.8</v>
      </c>
      <c r="G111" s="143">
        <f>VLOOKUP($A111,'Data shares'!$C:$FA,127)*100</f>
        <v>-27.500000000000004</v>
      </c>
      <c r="H111" s="103">
        <f>VLOOKUP($A111,'OI(Volume)'!$A$7:$O$445,8)</f>
        <v>2906875</v>
      </c>
      <c r="I111" s="103">
        <f>VLOOKUP($A111,'OI(Volume)'!$A$7:$O$445,9)</f>
        <v>572500</v>
      </c>
      <c r="J111" s="103">
        <f>VLOOKUP($A111,'OI(Volume)'!$A$7:$O$445,11)</f>
        <v>2391875</v>
      </c>
      <c r="K111" s="103">
        <f>VLOOKUP($A111,'OI(Volume)'!$A$7:$O$445,12)</f>
        <v>163750</v>
      </c>
      <c r="L111" s="103">
        <f>VLOOKUP($A111,'OI(Value)'!$A$7:$O$329,8,0)</f>
        <v>369</v>
      </c>
      <c r="M111" s="103">
        <f>VLOOKUP($A111,'OI(Value)'!$A$7:$O$329,9,0)</f>
        <v>73</v>
      </c>
      <c r="N111" s="103">
        <f>VLOOKUP($A111,'OI(Value)'!$A$7:$O$329,11,0)</f>
        <v>304</v>
      </c>
      <c r="O111" s="103">
        <f>VLOOKUP($A111,'OI(Value)'!$A$7:$O$329,12,0)</f>
        <v>21</v>
      </c>
      <c r="P111" s="179">
        <f>VLOOKUP(A111,'OI(Value)'!A111:O335,8,0)</f>
        <v>369</v>
      </c>
      <c r="Q111" s="179">
        <f>VLOOKUP(A111,'OI(Value)'!A111:O335,9,0)</f>
        <v>73</v>
      </c>
      <c r="R111" s="179">
        <f>VLOOKUP(A111,'OI(Value)'!A111:O335,11,0)</f>
        <v>304</v>
      </c>
      <c r="S111" s="179">
        <f>VLOOKUP(A111,'OI(Value)'!A111:O335,11,0)</f>
        <v>304</v>
      </c>
    </row>
    <row r="112" spans="1:19" x14ac:dyDescent="0.25">
      <c r="A112" s="105" t="str">
        <f>'Data Vlaue (Cr)'!C107</f>
        <v>JIOFIN</v>
      </c>
      <c r="B112" s="143">
        <f>VLOOKUP($A112,'Data shares'!$C:$FA,118)</f>
        <v>0.68</v>
      </c>
      <c r="C112" s="143">
        <f>VLOOKUP($A112,'Data shares'!$C:$FA,119)</f>
        <v>0.66</v>
      </c>
      <c r="D112" s="143">
        <f>VLOOKUP($A112,'Data shares'!$C:$FA,121)*100</f>
        <v>3.0300000000000002</v>
      </c>
      <c r="E112" s="143">
        <f>VLOOKUP($A112,'Data shares'!$C:$FA,124)</f>
        <v>0.48</v>
      </c>
      <c r="F112" s="143">
        <f>VLOOKUP($A112,'Data shares'!$C:$FA,125)</f>
        <v>0.44</v>
      </c>
      <c r="G112" s="143">
        <f>VLOOKUP($A112,'Data shares'!$C:$FA,127)*100</f>
        <v>9.09</v>
      </c>
      <c r="H112" s="103">
        <f>VLOOKUP($A112,'OI(Volume)'!$A$7:$O$445,8)</f>
        <v>55779600</v>
      </c>
      <c r="I112" s="103">
        <f>VLOOKUP($A112,'OI(Volume)'!$A$7:$O$445,9)</f>
        <v>994050</v>
      </c>
      <c r="J112" s="103">
        <f>VLOOKUP($A112,'OI(Volume)'!$A$7:$O$445,11)</f>
        <v>37825600</v>
      </c>
      <c r="K112" s="103">
        <f>VLOOKUP($A112,'OI(Volume)'!$A$7:$O$445,12)</f>
        <v>1532200</v>
      </c>
      <c r="L112" s="103">
        <f>VLOOKUP($A112,'OI(Value)'!$A$7:$O$329,8,0)</f>
        <v>1419</v>
      </c>
      <c r="M112" s="103">
        <f>VLOOKUP($A112,'OI(Value)'!$A$7:$O$329,9,0)</f>
        <v>25</v>
      </c>
      <c r="N112" s="103">
        <f>VLOOKUP($A112,'OI(Value)'!$A$7:$O$329,11,0)</f>
        <v>962</v>
      </c>
      <c r="O112" s="103">
        <f>VLOOKUP($A112,'OI(Value)'!$A$7:$O$329,12,0)</f>
        <v>39</v>
      </c>
      <c r="P112" s="179">
        <f>VLOOKUP(A112,'OI(Value)'!A112:O336,8,0)</f>
        <v>1419</v>
      </c>
      <c r="Q112" s="179">
        <f>VLOOKUP(A112,'OI(Value)'!A112:O336,9,0)</f>
        <v>25</v>
      </c>
      <c r="R112" s="179">
        <f>VLOOKUP(A112,'OI(Value)'!A112:O336,11,0)</f>
        <v>962</v>
      </c>
      <c r="S112" s="179">
        <f>VLOOKUP(A112,'OI(Value)'!A112:O336,11,0)</f>
        <v>962</v>
      </c>
    </row>
    <row r="113" spans="1:19" x14ac:dyDescent="0.25">
      <c r="A113" s="105" t="str">
        <f>'Data Vlaue (Cr)'!C108</f>
        <v>JSWENERGY</v>
      </c>
      <c r="B113" s="143">
        <f>VLOOKUP($A113,'Data shares'!$C:$FA,118)</f>
        <v>0.7</v>
      </c>
      <c r="C113" s="143">
        <f>VLOOKUP($A113,'Data shares'!$C:$FA,119)</f>
        <v>0.69</v>
      </c>
      <c r="D113" s="143">
        <f>VLOOKUP($A113,'Data shares'!$C:$FA,121)*100</f>
        <v>1.4500000000000002</v>
      </c>
      <c r="E113" s="143">
        <f>VLOOKUP($A113,'Data shares'!$C:$FA,124)</f>
        <v>0.32</v>
      </c>
      <c r="F113" s="143">
        <f>VLOOKUP($A113,'Data shares'!$C:$FA,125)</f>
        <v>0.63</v>
      </c>
      <c r="G113" s="143">
        <f>VLOOKUP($A113,'Data shares'!$C:$FA,127)*100</f>
        <v>-49.21</v>
      </c>
      <c r="H113" s="103">
        <f>VLOOKUP($A113,'OI(Volume)'!$A$7:$O$445,8)</f>
        <v>5342000</v>
      </c>
      <c r="I113" s="103">
        <f>VLOOKUP($A113,'OI(Volume)'!$A$7:$O$445,9)</f>
        <v>220000</v>
      </c>
      <c r="J113" s="103">
        <f>VLOOKUP($A113,'OI(Volume)'!$A$7:$O$445,11)</f>
        <v>3735000</v>
      </c>
      <c r="K113" s="103">
        <f>VLOOKUP($A113,'OI(Volume)'!$A$7:$O$445,12)</f>
        <v>200000</v>
      </c>
      <c r="L113" s="103">
        <f>VLOOKUP($A113,'OI(Value)'!$A$7:$O$329,8,0)</f>
        <v>302</v>
      </c>
      <c r="M113" s="103">
        <f>VLOOKUP($A113,'OI(Value)'!$A$7:$O$329,9,0)</f>
        <v>12</v>
      </c>
      <c r="N113" s="103">
        <f>VLOOKUP($A113,'OI(Value)'!$A$7:$O$329,11,0)</f>
        <v>211</v>
      </c>
      <c r="O113" s="103">
        <f>VLOOKUP($A113,'OI(Value)'!$A$7:$O$329,12,0)</f>
        <v>11</v>
      </c>
      <c r="P113" s="179">
        <f>VLOOKUP(A113,'OI(Value)'!A113:O337,8,0)</f>
        <v>302</v>
      </c>
      <c r="Q113" s="179">
        <f>VLOOKUP(A113,'OI(Value)'!A113:O337,9,0)</f>
        <v>12</v>
      </c>
      <c r="R113" s="179">
        <f>VLOOKUP(A113,'OI(Value)'!A113:O337,11,0)</f>
        <v>211</v>
      </c>
      <c r="S113" s="179">
        <f>VLOOKUP(A113,'OI(Value)'!A113:O337,11,0)</f>
        <v>211</v>
      </c>
    </row>
    <row r="114" spans="1:19" x14ac:dyDescent="0.25">
      <c r="A114" s="105" t="str">
        <f>'Data Vlaue (Cr)'!C109</f>
        <v>JSWSTEEL</v>
      </c>
      <c r="B114" s="143">
        <f>VLOOKUP($A114,'Data shares'!$C:$FA,118)</f>
        <v>0.77</v>
      </c>
      <c r="C114" s="143">
        <f>VLOOKUP($A114,'Data shares'!$C:$FA,119)</f>
        <v>0.88</v>
      </c>
      <c r="D114" s="143">
        <f>VLOOKUP($A114,'Data shares'!$C:$FA,121)*100</f>
        <v>-12.5</v>
      </c>
      <c r="E114" s="143">
        <f>VLOOKUP($A114,'Data shares'!$C:$FA,124)</f>
        <v>0.62</v>
      </c>
      <c r="F114" s="143">
        <f>VLOOKUP($A114,'Data shares'!$C:$FA,125)</f>
        <v>0.81</v>
      </c>
      <c r="G114" s="143">
        <f>VLOOKUP($A114,'Data shares'!$C:$FA,127)*100</f>
        <v>-23.46</v>
      </c>
      <c r="H114" s="103">
        <f>VLOOKUP($A114,'OI(Volume)'!$A$7:$O$445,8)</f>
        <v>4518450</v>
      </c>
      <c r="I114" s="103">
        <f>VLOOKUP($A114,'OI(Volume)'!$A$7:$O$445,9)</f>
        <v>648675</v>
      </c>
      <c r="J114" s="103">
        <f>VLOOKUP($A114,'OI(Volume)'!$A$7:$O$445,11)</f>
        <v>3464100</v>
      </c>
      <c r="K114" s="103">
        <f>VLOOKUP($A114,'OI(Volume)'!$A$7:$O$445,12)</f>
        <v>48600</v>
      </c>
      <c r="L114" s="103">
        <f>VLOOKUP($A114,'OI(Value)'!$A$7:$O$329,8,0)</f>
        <v>576</v>
      </c>
      <c r="M114" s="103">
        <f>VLOOKUP($A114,'OI(Value)'!$A$7:$O$329,9,0)</f>
        <v>83</v>
      </c>
      <c r="N114" s="103">
        <f>VLOOKUP($A114,'OI(Value)'!$A$7:$O$329,11,0)</f>
        <v>441</v>
      </c>
      <c r="O114" s="103">
        <f>VLOOKUP($A114,'OI(Value)'!$A$7:$O$329,12,0)</f>
        <v>6</v>
      </c>
      <c r="P114" s="179">
        <f>VLOOKUP(A114,'OI(Value)'!A114:O338,8,0)</f>
        <v>576</v>
      </c>
      <c r="Q114" s="179">
        <f>VLOOKUP(A114,'OI(Value)'!A114:O338,9,0)</f>
        <v>83</v>
      </c>
      <c r="R114" s="179">
        <f>VLOOKUP(A114,'OI(Value)'!A114:O338,11,0)</f>
        <v>441</v>
      </c>
      <c r="S114" s="179">
        <f>VLOOKUP(A114,'OI(Value)'!A114:O338,11,0)</f>
        <v>441</v>
      </c>
    </row>
    <row r="115" spans="1:19" x14ac:dyDescent="0.25">
      <c r="A115" s="105" t="str">
        <f>'Data Vlaue (Cr)'!C110</f>
        <v>JUBLFOOD</v>
      </c>
      <c r="B115" s="143">
        <f>VLOOKUP($A115,'Data shares'!$C:$FA,118)</f>
        <v>0.74</v>
      </c>
      <c r="C115" s="143">
        <f>VLOOKUP($A115,'Data shares'!$C:$FA,119)</f>
        <v>0.78</v>
      </c>
      <c r="D115" s="143">
        <f>VLOOKUP($A115,'Data shares'!$C:$FA,121)*100</f>
        <v>-5.13</v>
      </c>
      <c r="E115" s="143">
        <f>VLOOKUP($A115,'Data shares'!$C:$FA,124)</f>
        <v>0.62</v>
      </c>
      <c r="F115" s="143">
        <f>VLOOKUP($A115,'Data shares'!$C:$FA,125)</f>
        <v>0.55000000000000004</v>
      </c>
      <c r="G115" s="143">
        <f>VLOOKUP($A115,'Data shares'!$C:$FA,127)*100</f>
        <v>12.73</v>
      </c>
      <c r="H115" s="103">
        <f>VLOOKUP($A115,'OI(Volume)'!$A$7:$O$445,8)</f>
        <v>5600000</v>
      </c>
      <c r="I115" s="103">
        <f>VLOOKUP($A115,'OI(Volume)'!$A$7:$O$445,9)</f>
        <v>567500</v>
      </c>
      <c r="J115" s="103">
        <f>VLOOKUP($A115,'OI(Volume)'!$A$7:$O$445,11)</f>
        <v>4140000</v>
      </c>
      <c r="K115" s="103">
        <f>VLOOKUP($A115,'OI(Volume)'!$A$7:$O$445,12)</f>
        <v>196250</v>
      </c>
      <c r="L115" s="103">
        <f>VLOOKUP($A115,'OI(Value)'!$A$7:$O$329,8,0)</f>
        <v>267</v>
      </c>
      <c r="M115" s="103">
        <f>VLOOKUP($A115,'OI(Value)'!$A$7:$O$329,9,0)</f>
        <v>27</v>
      </c>
      <c r="N115" s="103">
        <f>VLOOKUP($A115,'OI(Value)'!$A$7:$O$329,11,0)</f>
        <v>197</v>
      </c>
      <c r="O115" s="103">
        <f>VLOOKUP($A115,'OI(Value)'!$A$7:$O$329,12,0)</f>
        <v>9</v>
      </c>
      <c r="P115" s="179">
        <f>VLOOKUP(A115,'OI(Value)'!A115:O339,8,0)</f>
        <v>267</v>
      </c>
      <c r="Q115" s="179">
        <f>VLOOKUP(A115,'OI(Value)'!A115:O339,9,0)</f>
        <v>27</v>
      </c>
      <c r="R115" s="179">
        <f>VLOOKUP(A115,'OI(Value)'!A115:O339,11,0)</f>
        <v>197</v>
      </c>
      <c r="S115" s="179">
        <f>VLOOKUP(A115,'OI(Value)'!A115:O339,11,0)</f>
        <v>197</v>
      </c>
    </row>
    <row r="116" spans="1:19" x14ac:dyDescent="0.25">
      <c r="A116" s="105" t="str">
        <f>'Data Vlaue (Cr)'!C111</f>
        <v>KALYANKJIL</v>
      </c>
      <c r="B116" s="143">
        <f>VLOOKUP($A116,'Data shares'!$C:$FA,118)</f>
        <v>0.61</v>
      </c>
      <c r="C116" s="143">
        <f>VLOOKUP($A116,'Data shares'!$C:$FA,119)</f>
        <v>0.67</v>
      </c>
      <c r="D116" s="143">
        <f>VLOOKUP($A116,'Data shares'!$C:$FA,121)*100</f>
        <v>-8.9599999999999991</v>
      </c>
      <c r="E116" s="143">
        <f>VLOOKUP($A116,'Data shares'!$C:$FA,124)</f>
        <v>0.5</v>
      </c>
      <c r="F116" s="143">
        <f>VLOOKUP($A116,'Data shares'!$C:$FA,125)</f>
        <v>0.83</v>
      </c>
      <c r="G116" s="143">
        <f>VLOOKUP($A116,'Data shares'!$C:$FA,127)*100</f>
        <v>-39.76</v>
      </c>
      <c r="H116" s="103">
        <f>VLOOKUP($A116,'OI(Volume)'!$A$7:$O$445,8)</f>
        <v>5463750</v>
      </c>
      <c r="I116" s="103">
        <f>VLOOKUP($A116,'OI(Volume)'!$A$7:$O$445,9)</f>
        <v>865975</v>
      </c>
      <c r="J116" s="103">
        <f>VLOOKUP($A116,'OI(Volume)'!$A$7:$O$445,11)</f>
        <v>3345225</v>
      </c>
      <c r="K116" s="103">
        <f>VLOOKUP($A116,'OI(Volume)'!$A$7:$O$445,12)</f>
        <v>277300</v>
      </c>
      <c r="L116" s="103">
        <f>VLOOKUP($A116,'OI(Value)'!$A$7:$O$329,8,0)</f>
        <v>227</v>
      </c>
      <c r="M116" s="103">
        <f>VLOOKUP($A116,'OI(Value)'!$A$7:$O$329,9,0)</f>
        <v>36</v>
      </c>
      <c r="N116" s="103">
        <f>VLOOKUP($A116,'OI(Value)'!$A$7:$O$329,11,0)</f>
        <v>139</v>
      </c>
      <c r="O116" s="103">
        <f>VLOOKUP($A116,'OI(Value)'!$A$7:$O$329,12,0)</f>
        <v>12</v>
      </c>
      <c r="P116" s="179">
        <f>VLOOKUP(A116,'OI(Value)'!A116:O340,8,0)</f>
        <v>227</v>
      </c>
      <c r="Q116" s="179">
        <f>VLOOKUP(A116,'OI(Value)'!A116:O340,9,0)</f>
        <v>36</v>
      </c>
      <c r="R116" s="179">
        <f>VLOOKUP(A116,'OI(Value)'!A116:O340,11,0)</f>
        <v>139</v>
      </c>
      <c r="S116" s="179">
        <f>VLOOKUP(A116,'OI(Value)'!A116:O340,11,0)</f>
        <v>139</v>
      </c>
    </row>
    <row r="117" spans="1:19" x14ac:dyDescent="0.25">
      <c r="A117" s="105" t="str">
        <f>'Data Vlaue (Cr)'!C112</f>
        <v>KAYNES</v>
      </c>
      <c r="B117" s="143">
        <f>VLOOKUP($A117,'Data shares'!$C:$FA,118)</f>
        <v>0.69</v>
      </c>
      <c r="C117" s="143">
        <f>VLOOKUP($A117,'Data shares'!$C:$FA,119)</f>
        <v>0.73</v>
      </c>
      <c r="D117" s="143">
        <f>VLOOKUP($A117,'Data shares'!$C:$FA,121)*100</f>
        <v>-5.48</v>
      </c>
      <c r="E117" s="143">
        <f>VLOOKUP($A117,'Data shares'!$C:$FA,124)</f>
        <v>0.38</v>
      </c>
      <c r="F117" s="143">
        <f>VLOOKUP($A117,'Data shares'!$C:$FA,125)</f>
        <v>0.51</v>
      </c>
      <c r="G117" s="143">
        <f>VLOOKUP($A117,'Data shares'!$C:$FA,127)*100</f>
        <v>-25.490000000000002</v>
      </c>
      <c r="H117" s="103">
        <f>VLOOKUP($A117,'OI(Volume)'!$A$7:$O$445,8)</f>
        <v>971900</v>
      </c>
      <c r="I117" s="103">
        <f>VLOOKUP($A117,'OI(Volume)'!$A$7:$O$445,9)</f>
        <v>97300</v>
      </c>
      <c r="J117" s="103">
        <f>VLOOKUP($A117,'OI(Volume)'!$A$7:$O$445,11)</f>
        <v>671600</v>
      </c>
      <c r="K117" s="103">
        <f>VLOOKUP($A117,'OI(Volume)'!$A$7:$O$445,12)</f>
        <v>30400</v>
      </c>
      <c r="L117" s="103">
        <f>VLOOKUP($A117,'OI(Value)'!$A$7:$O$329,8,0)</f>
        <v>399</v>
      </c>
      <c r="M117" s="103">
        <f>VLOOKUP($A117,'OI(Value)'!$A$7:$O$329,9,0)</f>
        <v>40</v>
      </c>
      <c r="N117" s="103">
        <f>VLOOKUP($A117,'OI(Value)'!$A$7:$O$329,11,0)</f>
        <v>276</v>
      </c>
      <c r="O117" s="103">
        <f>VLOOKUP($A117,'OI(Value)'!$A$7:$O$329,12,0)</f>
        <v>12</v>
      </c>
      <c r="P117" s="179">
        <f>VLOOKUP(A117,'OI(Value)'!A117:O341,8,0)</f>
        <v>399</v>
      </c>
      <c r="Q117" s="179">
        <f>VLOOKUP(A117,'OI(Value)'!A117:O341,9,0)</f>
        <v>40</v>
      </c>
      <c r="R117" s="179">
        <f>VLOOKUP(A117,'OI(Value)'!A117:O341,11,0)</f>
        <v>276</v>
      </c>
      <c r="S117" s="179">
        <f>VLOOKUP(A117,'OI(Value)'!A117:O341,11,0)</f>
        <v>276</v>
      </c>
    </row>
    <row r="118" spans="1:19" x14ac:dyDescent="0.25">
      <c r="A118" s="105" t="str">
        <f>'Data Vlaue (Cr)'!C113</f>
        <v>KEI</v>
      </c>
      <c r="B118" s="143">
        <f>VLOOKUP($A118,'Data shares'!$C:$FA,118)</f>
        <v>0.78</v>
      </c>
      <c r="C118" s="143">
        <f>VLOOKUP($A118,'Data shares'!$C:$FA,119)</f>
        <v>0.82</v>
      </c>
      <c r="D118" s="143">
        <f>VLOOKUP($A118,'Data shares'!$C:$FA,121)*100</f>
        <v>-4.88</v>
      </c>
      <c r="E118" s="143">
        <f>VLOOKUP($A118,'Data shares'!$C:$FA,124)</f>
        <v>0.43</v>
      </c>
      <c r="F118" s="143">
        <f>VLOOKUP($A118,'Data shares'!$C:$FA,125)</f>
        <v>0.47</v>
      </c>
      <c r="G118" s="143">
        <f>VLOOKUP($A118,'Data shares'!$C:$FA,127)*100</f>
        <v>-8.51</v>
      </c>
      <c r="H118" s="103">
        <f>VLOOKUP($A118,'OI(Volume)'!$A$7:$O$445,8)</f>
        <v>548975</v>
      </c>
      <c r="I118" s="103">
        <f>VLOOKUP($A118,'OI(Volume)'!$A$7:$O$445,9)</f>
        <v>231350</v>
      </c>
      <c r="J118" s="103">
        <f>VLOOKUP($A118,'OI(Volume)'!$A$7:$O$445,11)</f>
        <v>427350</v>
      </c>
      <c r="K118" s="103">
        <f>VLOOKUP($A118,'OI(Volume)'!$A$7:$O$445,12)</f>
        <v>167650</v>
      </c>
      <c r="L118" s="103">
        <f>VLOOKUP($A118,'OI(Value)'!$A$7:$O$329,8,0)</f>
        <v>279</v>
      </c>
      <c r="M118" s="103">
        <f>VLOOKUP($A118,'OI(Value)'!$A$7:$O$329,9,0)</f>
        <v>118</v>
      </c>
      <c r="N118" s="103">
        <f>VLOOKUP($A118,'OI(Value)'!$A$7:$O$329,11,0)</f>
        <v>217</v>
      </c>
      <c r="O118" s="103">
        <f>VLOOKUP($A118,'OI(Value)'!$A$7:$O$329,12,0)</f>
        <v>85</v>
      </c>
      <c r="P118" s="179">
        <f>VLOOKUP(A118,'OI(Value)'!A118:O342,8,0)</f>
        <v>279</v>
      </c>
      <c r="Q118" s="179">
        <f>VLOOKUP(A118,'OI(Value)'!A118:O342,9,0)</f>
        <v>118</v>
      </c>
      <c r="R118" s="179">
        <f>VLOOKUP(A118,'OI(Value)'!A118:O342,11,0)</f>
        <v>217</v>
      </c>
      <c r="S118" s="179">
        <f>VLOOKUP(A118,'OI(Value)'!A118:O342,11,0)</f>
        <v>217</v>
      </c>
    </row>
    <row r="119" spans="1:19" x14ac:dyDescent="0.25">
      <c r="A119" s="105" t="str">
        <f>'Data Vlaue (Cr)'!C114</f>
        <v>KFINTECH</v>
      </c>
      <c r="B119" s="143">
        <f>VLOOKUP($A119,'Data shares'!$C:$FA,118)</f>
        <v>0.47</v>
      </c>
      <c r="C119" s="143">
        <f>VLOOKUP($A119,'Data shares'!$C:$FA,119)</f>
        <v>0.52</v>
      </c>
      <c r="D119" s="143">
        <f>VLOOKUP($A119,'Data shares'!$C:$FA,121)*100</f>
        <v>-9.6199999999999992</v>
      </c>
      <c r="E119" s="143">
        <f>VLOOKUP($A119,'Data shares'!$C:$FA,124)</f>
        <v>0.48</v>
      </c>
      <c r="F119" s="143">
        <f>VLOOKUP($A119,'Data shares'!$C:$FA,125)</f>
        <v>0.75</v>
      </c>
      <c r="G119" s="143">
        <f>VLOOKUP($A119,'Data shares'!$C:$FA,127)*100</f>
        <v>-36</v>
      </c>
      <c r="H119" s="103">
        <f>VLOOKUP($A119,'OI(Volume)'!$A$7:$O$445,8)</f>
        <v>5272000</v>
      </c>
      <c r="I119" s="103">
        <f>VLOOKUP($A119,'OI(Volume)'!$A$7:$O$445,9)</f>
        <v>1012500</v>
      </c>
      <c r="J119" s="103">
        <f>VLOOKUP($A119,'OI(Volume)'!$A$7:$O$445,11)</f>
        <v>2469075</v>
      </c>
      <c r="K119" s="103">
        <f>VLOOKUP($A119,'OI(Volume)'!$A$7:$O$445,12)</f>
        <v>274575</v>
      </c>
      <c r="L119" s="103">
        <f>VLOOKUP($A119,'OI(Value)'!$A$7:$O$329,8,0)</f>
        <v>452</v>
      </c>
      <c r="M119" s="103">
        <f>VLOOKUP($A119,'OI(Value)'!$A$7:$O$329,9,0)</f>
        <v>87</v>
      </c>
      <c r="N119" s="103">
        <f>VLOOKUP($A119,'OI(Value)'!$A$7:$O$329,11,0)</f>
        <v>211</v>
      </c>
      <c r="O119" s="103">
        <f>VLOOKUP($A119,'OI(Value)'!$A$7:$O$329,12,0)</f>
        <v>24</v>
      </c>
      <c r="P119" s="179">
        <f>VLOOKUP(A119,'OI(Value)'!A119:O343,8,0)</f>
        <v>452</v>
      </c>
      <c r="Q119" s="179">
        <f>VLOOKUP(A119,'OI(Value)'!A119:O343,9,0)</f>
        <v>87</v>
      </c>
      <c r="R119" s="179">
        <f>VLOOKUP(A119,'OI(Value)'!A119:O343,11,0)</f>
        <v>211</v>
      </c>
      <c r="S119" s="179">
        <f>VLOOKUP(A119,'OI(Value)'!A119:O343,11,0)</f>
        <v>211</v>
      </c>
    </row>
    <row r="120" spans="1:19" x14ac:dyDescent="0.25">
      <c r="A120" s="105" t="str">
        <f>'Data Vlaue (Cr)'!C115</f>
        <v>KOTAKBANK</v>
      </c>
      <c r="B120" s="143">
        <f>VLOOKUP($A120,'Data shares'!$C:$FA,118)</f>
        <v>0.65</v>
      </c>
      <c r="C120" s="143">
        <f>VLOOKUP($A120,'Data shares'!$C:$FA,119)</f>
        <v>0.98</v>
      </c>
      <c r="D120" s="143">
        <f>VLOOKUP($A120,'Data shares'!$C:$FA,121)*100</f>
        <v>-33.67</v>
      </c>
      <c r="E120" s="143">
        <f>VLOOKUP($A120,'Data shares'!$C:$FA,124)</f>
        <v>0.48</v>
      </c>
      <c r="F120" s="143">
        <f>VLOOKUP($A120,'Data shares'!$C:$FA,125)</f>
        <v>0.67</v>
      </c>
      <c r="G120" s="143">
        <f>VLOOKUP($A120,'Data shares'!$C:$FA,127)*100</f>
        <v>-28.360000000000003</v>
      </c>
      <c r="H120" s="103">
        <f>VLOOKUP($A120,'OI(Volume)'!$A$7:$O$445,8)</f>
        <v>48982000</v>
      </c>
      <c r="I120" s="103">
        <f>VLOOKUP($A120,'OI(Volume)'!$A$7:$O$445,9)</f>
        <v>18018000</v>
      </c>
      <c r="J120" s="103">
        <f>VLOOKUP($A120,'OI(Volume)'!$A$7:$O$445,11)</f>
        <v>31886000</v>
      </c>
      <c r="K120" s="103">
        <f>VLOOKUP($A120,'OI(Volume)'!$A$7:$O$445,12)</f>
        <v>1464000</v>
      </c>
      <c r="L120" s="103">
        <f>VLOOKUP($A120,'OI(Value)'!$A$7:$O$329,8,0)</f>
        <v>1825</v>
      </c>
      <c r="M120" s="103">
        <f>VLOOKUP($A120,'OI(Value)'!$A$7:$O$329,9,0)</f>
        <v>671</v>
      </c>
      <c r="N120" s="103">
        <f>VLOOKUP($A120,'OI(Value)'!$A$7:$O$329,11,0)</f>
        <v>1188</v>
      </c>
      <c r="O120" s="103">
        <f>VLOOKUP($A120,'OI(Value)'!$A$7:$O$329,12,0)</f>
        <v>55</v>
      </c>
      <c r="P120" s="179">
        <f>VLOOKUP(A120,'OI(Value)'!A120:O344,8,0)</f>
        <v>1825</v>
      </c>
      <c r="Q120" s="179">
        <f>VLOOKUP(A120,'OI(Value)'!A120:O344,9,0)</f>
        <v>671</v>
      </c>
      <c r="R120" s="179">
        <f>VLOOKUP(A120,'OI(Value)'!A120:O344,11,0)</f>
        <v>1188</v>
      </c>
      <c r="S120" s="179">
        <f>VLOOKUP(A120,'OI(Value)'!A120:O344,11,0)</f>
        <v>1188</v>
      </c>
    </row>
    <row r="121" spans="1:19" x14ac:dyDescent="0.25">
      <c r="A121" s="105" t="str">
        <f>'Data Vlaue (Cr)'!C116</f>
        <v>KPITTECH</v>
      </c>
      <c r="B121" s="143">
        <f>VLOOKUP($A121,'Data shares'!$C:$FA,118)</f>
        <v>0.64</v>
      </c>
      <c r="C121" s="143">
        <f>VLOOKUP($A121,'Data shares'!$C:$FA,119)</f>
        <v>0.81</v>
      </c>
      <c r="D121" s="143">
        <f>VLOOKUP($A121,'Data shares'!$C:$FA,121)*100</f>
        <v>-20.990000000000002</v>
      </c>
      <c r="E121" s="143">
        <f>VLOOKUP($A121,'Data shares'!$C:$FA,124)</f>
        <v>0.25</v>
      </c>
      <c r="F121" s="143">
        <f>VLOOKUP($A121,'Data shares'!$C:$FA,125)</f>
        <v>0.31</v>
      </c>
      <c r="G121" s="143">
        <f>VLOOKUP($A121,'Data shares'!$C:$FA,127)*100</f>
        <v>-19.350000000000001</v>
      </c>
      <c r="H121" s="103">
        <f>VLOOKUP($A121,'OI(Volume)'!$A$7:$O$445,8)</f>
        <v>2405075</v>
      </c>
      <c r="I121" s="103">
        <f>VLOOKUP($A121,'OI(Volume)'!$A$7:$O$445,9)</f>
        <v>681700</v>
      </c>
      <c r="J121" s="103">
        <f>VLOOKUP($A121,'OI(Volume)'!$A$7:$O$445,11)</f>
        <v>1551250</v>
      </c>
      <c r="K121" s="103">
        <f>VLOOKUP($A121,'OI(Volume)'!$A$7:$O$445,12)</f>
        <v>153000</v>
      </c>
      <c r="L121" s="103">
        <f>VLOOKUP($A121,'OI(Value)'!$A$7:$O$329,8,0)</f>
        <v>185</v>
      </c>
      <c r="M121" s="103">
        <f>VLOOKUP($A121,'OI(Value)'!$A$7:$O$329,9,0)</f>
        <v>52</v>
      </c>
      <c r="N121" s="103">
        <f>VLOOKUP($A121,'OI(Value)'!$A$7:$O$329,11,0)</f>
        <v>119</v>
      </c>
      <c r="O121" s="103">
        <f>VLOOKUP($A121,'OI(Value)'!$A$7:$O$329,12,0)</f>
        <v>12</v>
      </c>
      <c r="P121" s="179">
        <f>VLOOKUP(A121,'OI(Value)'!A121:O345,8,0)</f>
        <v>185</v>
      </c>
      <c r="Q121" s="179">
        <f>VLOOKUP(A121,'OI(Value)'!A121:O345,9,0)</f>
        <v>52</v>
      </c>
      <c r="R121" s="179">
        <f>VLOOKUP(A121,'OI(Value)'!A121:O345,11,0)</f>
        <v>119</v>
      </c>
      <c r="S121" s="179">
        <f>VLOOKUP(A121,'OI(Value)'!A121:O345,11,0)</f>
        <v>119</v>
      </c>
    </row>
    <row r="122" spans="1:19" x14ac:dyDescent="0.25">
      <c r="A122" s="105" t="str">
        <f>'Data Vlaue (Cr)'!C117</f>
        <v>LAURUSLABS</v>
      </c>
      <c r="B122" s="143">
        <f>VLOOKUP($A122,'Data shares'!$C:$FA,118)</f>
        <v>0.64</v>
      </c>
      <c r="C122" s="143">
        <f>VLOOKUP($A122,'Data shares'!$C:$FA,119)</f>
        <v>0.59</v>
      </c>
      <c r="D122" s="143">
        <f>VLOOKUP($A122,'Data shares'!$C:$FA,121)*100</f>
        <v>8.4699999999999989</v>
      </c>
      <c r="E122" s="143">
        <f>VLOOKUP($A122,'Data shares'!$C:$FA,124)</f>
        <v>0.45</v>
      </c>
      <c r="F122" s="143">
        <f>VLOOKUP($A122,'Data shares'!$C:$FA,125)</f>
        <v>0.59</v>
      </c>
      <c r="G122" s="143">
        <f>VLOOKUP($A122,'Data shares'!$C:$FA,127)*100</f>
        <v>-23.73</v>
      </c>
      <c r="H122" s="103">
        <f>VLOOKUP($A122,'OI(Volume)'!$A$7:$O$445,8)</f>
        <v>5701800</v>
      </c>
      <c r="I122" s="103">
        <f>VLOOKUP($A122,'OI(Volume)'!$A$7:$O$445,9)</f>
        <v>605200</v>
      </c>
      <c r="J122" s="103">
        <f>VLOOKUP($A122,'OI(Volume)'!$A$7:$O$445,11)</f>
        <v>3642250</v>
      </c>
      <c r="K122" s="103">
        <f>VLOOKUP($A122,'OI(Volume)'!$A$7:$O$445,12)</f>
        <v>656200</v>
      </c>
      <c r="L122" s="103">
        <f>VLOOKUP($A122,'OI(Value)'!$A$7:$O$329,8,0)</f>
        <v>668</v>
      </c>
      <c r="M122" s="103">
        <f>VLOOKUP($A122,'OI(Value)'!$A$7:$O$329,9,0)</f>
        <v>71</v>
      </c>
      <c r="N122" s="103">
        <f>VLOOKUP($A122,'OI(Value)'!$A$7:$O$329,11,0)</f>
        <v>427</v>
      </c>
      <c r="O122" s="103">
        <f>VLOOKUP($A122,'OI(Value)'!$A$7:$O$329,12,0)</f>
        <v>77</v>
      </c>
      <c r="P122" s="179">
        <f>VLOOKUP(A122,'OI(Value)'!A122:O346,8,0)</f>
        <v>668</v>
      </c>
      <c r="Q122" s="179">
        <f>VLOOKUP(A122,'OI(Value)'!A122:O346,9,0)</f>
        <v>71</v>
      </c>
      <c r="R122" s="179">
        <f>VLOOKUP(A122,'OI(Value)'!A122:O346,11,0)</f>
        <v>427</v>
      </c>
      <c r="S122" s="179">
        <f>VLOOKUP(A122,'OI(Value)'!A122:O346,11,0)</f>
        <v>427</v>
      </c>
    </row>
    <row r="123" spans="1:19" x14ac:dyDescent="0.25">
      <c r="A123" s="105" t="str">
        <f>'Data Vlaue (Cr)'!C118</f>
        <v>LICHSGFIN</v>
      </c>
      <c r="B123" s="143">
        <f>VLOOKUP($A123,'Data shares'!$C:$FA,118)</f>
        <v>0.65</v>
      </c>
      <c r="C123" s="143">
        <f>VLOOKUP($A123,'Data shares'!$C:$FA,119)</f>
        <v>0.66</v>
      </c>
      <c r="D123" s="143">
        <f>VLOOKUP($A123,'Data shares'!$C:$FA,121)*100</f>
        <v>-1.52</v>
      </c>
      <c r="E123" s="143">
        <f>VLOOKUP($A123,'Data shares'!$C:$FA,124)</f>
        <v>0.41</v>
      </c>
      <c r="F123" s="143">
        <f>VLOOKUP($A123,'Data shares'!$C:$FA,125)</f>
        <v>0.75</v>
      </c>
      <c r="G123" s="143">
        <f>VLOOKUP($A123,'Data shares'!$C:$FA,127)*100</f>
        <v>-45.33</v>
      </c>
      <c r="H123" s="103">
        <f>VLOOKUP($A123,'OI(Volume)'!$A$7:$O$445,8)</f>
        <v>5221000</v>
      </c>
      <c r="I123" s="103">
        <f>VLOOKUP($A123,'OI(Volume)'!$A$7:$O$445,9)</f>
        <v>221000</v>
      </c>
      <c r="J123" s="103">
        <f>VLOOKUP($A123,'OI(Volume)'!$A$7:$O$445,11)</f>
        <v>3385000</v>
      </c>
      <c r="K123" s="103">
        <f>VLOOKUP($A123,'OI(Volume)'!$A$7:$O$445,12)</f>
        <v>65000</v>
      </c>
      <c r="L123" s="103">
        <f>VLOOKUP($A123,'OI(Value)'!$A$7:$O$329,8,0)</f>
        <v>292</v>
      </c>
      <c r="M123" s="103">
        <f>VLOOKUP($A123,'OI(Value)'!$A$7:$O$329,9,0)</f>
        <v>12</v>
      </c>
      <c r="N123" s="103">
        <f>VLOOKUP($A123,'OI(Value)'!$A$7:$O$329,11,0)</f>
        <v>190</v>
      </c>
      <c r="O123" s="103">
        <f>VLOOKUP($A123,'OI(Value)'!$A$7:$O$329,12,0)</f>
        <v>4</v>
      </c>
      <c r="P123" s="179">
        <f>VLOOKUP(A123,'OI(Value)'!A123:O347,8,0)</f>
        <v>292</v>
      </c>
      <c r="Q123" s="179">
        <f>VLOOKUP(A123,'OI(Value)'!A123:O347,9,0)</f>
        <v>12</v>
      </c>
      <c r="R123" s="179">
        <f>VLOOKUP(A123,'OI(Value)'!A123:O347,11,0)</f>
        <v>190</v>
      </c>
      <c r="S123" s="179">
        <f>VLOOKUP(A123,'OI(Value)'!A123:O347,11,0)</f>
        <v>190</v>
      </c>
    </row>
    <row r="124" spans="1:19" x14ac:dyDescent="0.25">
      <c r="A124" s="105" t="str">
        <f>'Data Vlaue (Cr)'!C119</f>
        <v>LICI</v>
      </c>
      <c r="B124" s="143">
        <f>VLOOKUP($A124,'Data shares'!$C:$FA,118)</f>
        <v>0.61</v>
      </c>
      <c r="C124" s="143">
        <f>VLOOKUP($A124,'Data shares'!$C:$FA,119)</f>
        <v>0.65</v>
      </c>
      <c r="D124" s="143">
        <f>VLOOKUP($A124,'Data shares'!$C:$FA,121)*100</f>
        <v>-6.15</v>
      </c>
      <c r="E124" s="143">
        <f>VLOOKUP($A124,'Data shares'!$C:$FA,124)</f>
        <v>0.35</v>
      </c>
      <c r="F124" s="143">
        <f>VLOOKUP($A124,'Data shares'!$C:$FA,125)</f>
        <v>0.64</v>
      </c>
      <c r="G124" s="143">
        <f>VLOOKUP($A124,'Data shares'!$C:$FA,127)*100</f>
        <v>-45.31</v>
      </c>
      <c r="H124" s="103">
        <f>VLOOKUP($A124,'OI(Volume)'!$A$7:$O$445,8)</f>
        <v>5843600</v>
      </c>
      <c r="I124" s="103">
        <f>VLOOKUP($A124,'OI(Volume)'!$A$7:$O$445,9)</f>
        <v>716800</v>
      </c>
      <c r="J124" s="103">
        <f>VLOOKUP($A124,'OI(Volume)'!$A$7:$O$445,11)</f>
        <v>3586800</v>
      </c>
      <c r="K124" s="103">
        <f>VLOOKUP($A124,'OI(Volume)'!$A$7:$O$445,12)</f>
        <v>229600</v>
      </c>
      <c r="L124" s="103">
        <f>VLOOKUP($A124,'OI(Value)'!$A$7:$O$329,8,0)</f>
        <v>467</v>
      </c>
      <c r="M124" s="103">
        <f>VLOOKUP($A124,'OI(Value)'!$A$7:$O$329,9,0)</f>
        <v>57</v>
      </c>
      <c r="N124" s="103">
        <f>VLOOKUP($A124,'OI(Value)'!$A$7:$O$329,11,0)</f>
        <v>287</v>
      </c>
      <c r="O124" s="103">
        <f>VLOOKUP($A124,'OI(Value)'!$A$7:$O$329,12,0)</f>
        <v>18</v>
      </c>
      <c r="P124" s="179">
        <f>VLOOKUP(A124,'OI(Value)'!A124:O348,8,0)</f>
        <v>467</v>
      </c>
      <c r="Q124" s="179">
        <f>VLOOKUP(A124,'OI(Value)'!A124:O348,9,0)</f>
        <v>57</v>
      </c>
      <c r="R124" s="179">
        <f>VLOOKUP(A124,'OI(Value)'!A124:O348,11,0)</f>
        <v>287</v>
      </c>
      <c r="S124" s="179">
        <f>VLOOKUP(A124,'OI(Value)'!A124:O348,11,0)</f>
        <v>287</v>
      </c>
    </row>
    <row r="125" spans="1:19" x14ac:dyDescent="0.25">
      <c r="A125" s="105" t="str">
        <f>'Data Vlaue (Cr)'!C120</f>
        <v>LODHA</v>
      </c>
      <c r="B125" s="143">
        <f>VLOOKUP($A125,'Data shares'!$C:$FA,118)</f>
        <v>0.67</v>
      </c>
      <c r="C125" s="143">
        <f>VLOOKUP($A125,'Data shares'!$C:$FA,119)</f>
        <v>0.6</v>
      </c>
      <c r="D125" s="143">
        <f>VLOOKUP($A125,'Data shares'!$C:$FA,121)*100</f>
        <v>11.67</v>
      </c>
      <c r="E125" s="143">
        <f>VLOOKUP($A125,'Data shares'!$C:$FA,124)</f>
        <v>0.35</v>
      </c>
      <c r="F125" s="143">
        <f>VLOOKUP($A125,'Data shares'!$C:$FA,125)</f>
        <v>0.54</v>
      </c>
      <c r="G125" s="143">
        <f>VLOOKUP($A125,'Data shares'!$C:$FA,127)*100</f>
        <v>-35.19</v>
      </c>
      <c r="H125" s="103">
        <f>VLOOKUP($A125,'OI(Volume)'!$A$7:$O$445,8)</f>
        <v>2461950</v>
      </c>
      <c r="I125" s="103">
        <f>VLOOKUP($A125,'OI(Volume)'!$A$7:$O$445,9)</f>
        <v>-128700</v>
      </c>
      <c r="J125" s="103">
        <f>VLOOKUP($A125,'OI(Volume)'!$A$7:$O$445,11)</f>
        <v>1640700</v>
      </c>
      <c r="K125" s="103">
        <f>VLOOKUP($A125,'OI(Volume)'!$A$7:$O$445,12)</f>
        <v>98100</v>
      </c>
      <c r="L125" s="103">
        <f>VLOOKUP($A125,'OI(Value)'!$A$7:$O$329,8,0)</f>
        <v>228</v>
      </c>
      <c r="M125" s="103">
        <f>VLOOKUP($A125,'OI(Value)'!$A$7:$O$329,9,0)</f>
        <v>-12</v>
      </c>
      <c r="N125" s="103">
        <f>VLOOKUP($A125,'OI(Value)'!$A$7:$O$329,11,0)</f>
        <v>152</v>
      </c>
      <c r="O125" s="103">
        <f>VLOOKUP($A125,'OI(Value)'!$A$7:$O$329,12,0)</f>
        <v>9</v>
      </c>
      <c r="P125" s="179">
        <f>VLOOKUP(A125,'OI(Value)'!A125:O349,8,0)</f>
        <v>228</v>
      </c>
      <c r="Q125" s="179">
        <f>VLOOKUP(A125,'OI(Value)'!A125:O349,9,0)</f>
        <v>-12</v>
      </c>
      <c r="R125" s="179">
        <f>VLOOKUP(A125,'OI(Value)'!A125:O349,11,0)</f>
        <v>152</v>
      </c>
      <c r="S125" s="179">
        <f>VLOOKUP(A125,'OI(Value)'!A125:O349,11,0)</f>
        <v>152</v>
      </c>
    </row>
    <row r="126" spans="1:19" x14ac:dyDescent="0.25">
      <c r="A126" s="105" t="str">
        <f>'Data Vlaue (Cr)'!C121</f>
        <v>LT</v>
      </c>
      <c r="B126" s="143">
        <f>VLOOKUP($A126,'Data shares'!$C:$FA,118)</f>
        <v>0.83</v>
      </c>
      <c r="C126" s="143">
        <f>VLOOKUP($A126,'Data shares'!$C:$FA,119)</f>
        <v>0.98</v>
      </c>
      <c r="D126" s="143">
        <f>VLOOKUP($A126,'Data shares'!$C:$FA,121)*100</f>
        <v>-15.310000000000002</v>
      </c>
      <c r="E126" s="143">
        <f>VLOOKUP($A126,'Data shares'!$C:$FA,124)</f>
        <v>0.37</v>
      </c>
      <c r="F126" s="143">
        <f>VLOOKUP($A126,'Data shares'!$C:$FA,125)</f>
        <v>0.65</v>
      </c>
      <c r="G126" s="143">
        <f>VLOOKUP($A126,'Data shares'!$C:$FA,127)*100</f>
        <v>-43.08</v>
      </c>
      <c r="H126" s="103">
        <f>VLOOKUP($A126,'OI(Volume)'!$A$7:$O$445,8)</f>
        <v>4955475</v>
      </c>
      <c r="I126" s="103">
        <f>VLOOKUP($A126,'OI(Volume)'!$A$7:$O$445,9)</f>
        <v>1159375</v>
      </c>
      <c r="J126" s="103">
        <f>VLOOKUP($A126,'OI(Volume)'!$A$7:$O$445,11)</f>
        <v>4115825</v>
      </c>
      <c r="K126" s="103">
        <f>VLOOKUP($A126,'OI(Volume)'!$A$7:$O$445,12)</f>
        <v>406000</v>
      </c>
      <c r="L126" s="103">
        <f>VLOOKUP($A126,'OI(Value)'!$A$7:$O$329,8,0)</f>
        <v>2042</v>
      </c>
      <c r="M126" s="103">
        <f>VLOOKUP($A126,'OI(Value)'!$A$7:$O$329,9,0)</f>
        <v>478</v>
      </c>
      <c r="N126" s="103">
        <f>VLOOKUP($A126,'OI(Value)'!$A$7:$O$329,11,0)</f>
        <v>1696</v>
      </c>
      <c r="O126" s="103">
        <f>VLOOKUP($A126,'OI(Value)'!$A$7:$O$329,12,0)</f>
        <v>167</v>
      </c>
      <c r="P126" s="179">
        <f>VLOOKUP(A126,'OI(Value)'!A126:O350,8,0)</f>
        <v>2042</v>
      </c>
      <c r="Q126" s="179">
        <f>VLOOKUP(A126,'OI(Value)'!A126:O350,9,0)</f>
        <v>478</v>
      </c>
      <c r="R126" s="179">
        <f>VLOOKUP(A126,'OI(Value)'!A126:O350,11,0)</f>
        <v>1696</v>
      </c>
      <c r="S126" s="179">
        <f>VLOOKUP(A126,'OI(Value)'!A126:O350,11,0)</f>
        <v>1696</v>
      </c>
    </row>
    <row r="127" spans="1:19" x14ac:dyDescent="0.25">
      <c r="A127" s="105" t="str">
        <f>'Data Vlaue (Cr)'!C122</f>
        <v>LTF</v>
      </c>
      <c r="B127" s="143">
        <f>VLOOKUP($A127,'Data shares'!$C:$FA,118)</f>
        <v>0.75</v>
      </c>
      <c r="C127" s="143">
        <f>VLOOKUP($A127,'Data shares'!$C:$FA,119)</f>
        <v>0.82</v>
      </c>
      <c r="D127" s="143">
        <f>VLOOKUP($A127,'Data shares'!$C:$FA,121)*100</f>
        <v>-8.5400000000000009</v>
      </c>
      <c r="E127" s="143">
        <f>VLOOKUP($A127,'Data shares'!$C:$FA,124)</f>
        <v>0.33</v>
      </c>
      <c r="F127" s="143">
        <f>VLOOKUP($A127,'Data shares'!$C:$FA,125)</f>
        <v>0.52</v>
      </c>
      <c r="G127" s="143">
        <f>VLOOKUP($A127,'Data shares'!$C:$FA,127)*100</f>
        <v>-36.54</v>
      </c>
      <c r="H127" s="103">
        <f>VLOOKUP($A127,'OI(Volume)'!$A$7:$O$445,8)</f>
        <v>14175000</v>
      </c>
      <c r="I127" s="103">
        <f>VLOOKUP($A127,'OI(Volume)'!$A$7:$O$445,9)</f>
        <v>1800000</v>
      </c>
      <c r="J127" s="103">
        <f>VLOOKUP($A127,'OI(Volume)'!$A$7:$O$445,11)</f>
        <v>10680750</v>
      </c>
      <c r="K127" s="103">
        <f>VLOOKUP($A127,'OI(Volume)'!$A$7:$O$445,12)</f>
        <v>497250</v>
      </c>
      <c r="L127" s="103">
        <f>VLOOKUP($A127,'OI(Value)'!$A$7:$O$329,8,0)</f>
        <v>403</v>
      </c>
      <c r="M127" s="103">
        <f>VLOOKUP($A127,'OI(Value)'!$A$7:$O$329,9,0)</f>
        <v>51</v>
      </c>
      <c r="N127" s="103">
        <f>VLOOKUP($A127,'OI(Value)'!$A$7:$O$329,11,0)</f>
        <v>304</v>
      </c>
      <c r="O127" s="103">
        <f>VLOOKUP($A127,'OI(Value)'!$A$7:$O$329,12,0)</f>
        <v>14</v>
      </c>
      <c r="P127" s="179">
        <f>VLOOKUP(A127,'OI(Value)'!A127:O351,8,0)</f>
        <v>403</v>
      </c>
      <c r="Q127" s="179">
        <f>VLOOKUP(A127,'OI(Value)'!A127:O351,9,0)</f>
        <v>51</v>
      </c>
      <c r="R127" s="179">
        <f>VLOOKUP(A127,'OI(Value)'!A127:O351,11,0)</f>
        <v>304</v>
      </c>
      <c r="S127" s="179">
        <f>VLOOKUP(A127,'OI(Value)'!A127:O351,11,0)</f>
        <v>304</v>
      </c>
    </row>
    <row r="128" spans="1:19" x14ac:dyDescent="0.25">
      <c r="A128" s="105" t="str">
        <f>'Data Vlaue (Cr)'!C123</f>
        <v>LTM</v>
      </c>
      <c r="B128" s="143">
        <f>VLOOKUP($A128,'Data shares'!$C:$FA,118)</f>
        <v>0.67</v>
      </c>
      <c r="C128" s="143">
        <f>VLOOKUP($A128,'Data shares'!$C:$FA,119)</f>
        <v>0.69</v>
      </c>
      <c r="D128" s="143">
        <f>VLOOKUP($A128,'Data shares'!$C:$FA,121)*100</f>
        <v>-2.9000000000000004</v>
      </c>
      <c r="E128" s="143">
        <f>VLOOKUP($A128,'Data shares'!$C:$FA,124)</f>
        <v>0.48</v>
      </c>
      <c r="F128" s="143">
        <f>VLOOKUP($A128,'Data shares'!$C:$FA,125)</f>
        <v>0.47</v>
      </c>
      <c r="G128" s="143">
        <f>VLOOKUP($A128,'Data shares'!$C:$FA,127)*100</f>
        <v>2.13</v>
      </c>
      <c r="H128" s="103">
        <f>VLOOKUP($A128,'OI(Volume)'!$A$7:$O$445,8)</f>
        <v>919950</v>
      </c>
      <c r="I128" s="103">
        <f>VLOOKUP($A128,'OI(Volume)'!$A$7:$O$445,9)</f>
        <v>104550</v>
      </c>
      <c r="J128" s="103">
        <f>VLOOKUP($A128,'OI(Volume)'!$A$7:$O$445,11)</f>
        <v>618300</v>
      </c>
      <c r="K128" s="103">
        <f>VLOOKUP($A128,'OI(Volume)'!$A$7:$O$445,12)</f>
        <v>53250</v>
      </c>
      <c r="L128" s="103">
        <f>VLOOKUP($A128,'OI(Value)'!$A$7:$O$329,8,0)</f>
        <v>385</v>
      </c>
      <c r="M128" s="103">
        <f>VLOOKUP($A128,'OI(Value)'!$A$7:$O$329,9,0)</f>
        <v>44</v>
      </c>
      <c r="N128" s="103">
        <f>VLOOKUP($A128,'OI(Value)'!$A$7:$O$329,11,0)</f>
        <v>259</v>
      </c>
      <c r="O128" s="103">
        <f>VLOOKUP($A128,'OI(Value)'!$A$7:$O$329,12,0)</f>
        <v>22</v>
      </c>
      <c r="P128" s="179">
        <f>VLOOKUP(A128,'OI(Value)'!A128:O352,8,0)</f>
        <v>385</v>
      </c>
      <c r="Q128" s="179">
        <f>VLOOKUP(A128,'OI(Value)'!A128:O352,9,0)</f>
        <v>44</v>
      </c>
      <c r="R128" s="179">
        <f>VLOOKUP(A128,'OI(Value)'!A128:O352,11,0)</f>
        <v>259</v>
      </c>
      <c r="S128" s="179">
        <f>VLOOKUP(A128,'OI(Value)'!A128:O352,11,0)</f>
        <v>259</v>
      </c>
    </row>
    <row r="129" spans="1:19" x14ac:dyDescent="0.25">
      <c r="A129" s="105" t="str">
        <f>'Data Vlaue (Cr)'!C124</f>
        <v>LUPIN</v>
      </c>
      <c r="B129" s="143">
        <f>VLOOKUP($A129,'Data shares'!$C:$FA,118)</f>
        <v>0.63</v>
      </c>
      <c r="C129" s="143">
        <f>VLOOKUP($A129,'Data shares'!$C:$FA,119)</f>
        <v>0.8</v>
      </c>
      <c r="D129" s="143">
        <f>VLOOKUP($A129,'Data shares'!$C:$FA,121)*100</f>
        <v>-21.25</v>
      </c>
      <c r="E129" s="143">
        <f>VLOOKUP($A129,'Data shares'!$C:$FA,124)</f>
        <v>0.3</v>
      </c>
      <c r="F129" s="143">
        <f>VLOOKUP($A129,'Data shares'!$C:$FA,125)</f>
        <v>0.69</v>
      </c>
      <c r="G129" s="143">
        <f>VLOOKUP($A129,'Data shares'!$C:$FA,127)*100</f>
        <v>-56.52</v>
      </c>
      <c r="H129" s="103">
        <f>VLOOKUP($A129,'OI(Volume)'!$A$7:$O$445,8)</f>
        <v>2872575</v>
      </c>
      <c r="I129" s="103">
        <f>VLOOKUP($A129,'OI(Volume)'!$A$7:$O$445,9)</f>
        <v>1045075</v>
      </c>
      <c r="J129" s="103">
        <f>VLOOKUP($A129,'OI(Volume)'!$A$7:$O$445,11)</f>
        <v>1813050</v>
      </c>
      <c r="K129" s="103">
        <f>VLOOKUP($A129,'OI(Volume)'!$A$7:$O$445,12)</f>
        <v>349350</v>
      </c>
      <c r="L129" s="103">
        <f>VLOOKUP($A129,'OI(Value)'!$A$7:$O$329,8,0)</f>
        <v>675</v>
      </c>
      <c r="M129" s="103">
        <f>VLOOKUP($A129,'OI(Value)'!$A$7:$O$329,9,0)</f>
        <v>246</v>
      </c>
      <c r="N129" s="103">
        <f>VLOOKUP($A129,'OI(Value)'!$A$7:$O$329,11,0)</f>
        <v>426</v>
      </c>
      <c r="O129" s="103">
        <f>VLOOKUP($A129,'OI(Value)'!$A$7:$O$329,12,0)</f>
        <v>82</v>
      </c>
      <c r="P129" s="179">
        <f>VLOOKUP(A129,'OI(Value)'!A129:O353,8,0)</f>
        <v>675</v>
      </c>
      <c r="Q129" s="179">
        <f>VLOOKUP(A129,'OI(Value)'!A129:O353,9,0)</f>
        <v>246</v>
      </c>
      <c r="R129" s="179">
        <f>VLOOKUP(A129,'OI(Value)'!A129:O353,11,0)</f>
        <v>426</v>
      </c>
      <c r="S129" s="179">
        <f>VLOOKUP(A129,'OI(Value)'!A129:O353,11,0)</f>
        <v>426</v>
      </c>
    </row>
    <row r="130" spans="1:19" x14ac:dyDescent="0.25">
      <c r="A130" s="105" t="str">
        <f>'Data Vlaue (Cr)'!C125</f>
        <v>M&amp;M</v>
      </c>
      <c r="B130" s="143">
        <f>VLOOKUP($A130,'Data shares'!$C:$FA,118)</f>
        <v>0.8</v>
      </c>
      <c r="C130" s="143">
        <f>VLOOKUP($A130,'Data shares'!$C:$FA,119)</f>
        <v>0.89</v>
      </c>
      <c r="D130" s="143">
        <f>VLOOKUP($A130,'Data shares'!$C:$FA,121)*100</f>
        <v>-10.11</v>
      </c>
      <c r="E130" s="143">
        <f>VLOOKUP($A130,'Data shares'!$C:$FA,124)</f>
        <v>0.37</v>
      </c>
      <c r="F130" s="143">
        <f>VLOOKUP($A130,'Data shares'!$C:$FA,125)</f>
        <v>0.73</v>
      </c>
      <c r="G130" s="143">
        <f>VLOOKUP($A130,'Data shares'!$C:$FA,127)*100</f>
        <v>-49.32</v>
      </c>
      <c r="H130" s="103">
        <f>VLOOKUP($A130,'OI(Volume)'!$A$7:$O$445,8)</f>
        <v>4595200</v>
      </c>
      <c r="I130" s="103">
        <f>VLOOKUP($A130,'OI(Volume)'!$A$7:$O$445,9)</f>
        <v>1038200</v>
      </c>
      <c r="J130" s="103">
        <f>VLOOKUP($A130,'OI(Volume)'!$A$7:$O$445,11)</f>
        <v>3698400</v>
      </c>
      <c r="K130" s="103">
        <f>VLOOKUP($A130,'OI(Volume)'!$A$7:$O$445,12)</f>
        <v>530400</v>
      </c>
      <c r="L130" s="103">
        <f>VLOOKUP($A130,'OI(Value)'!$A$7:$O$329,8,0)</f>
        <v>1434</v>
      </c>
      <c r="M130" s="103">
        <f>VLOOKUP($A130,'OI(Value)'!$A$7:$O$329,9,0)</f>
        <v>324</v>
      </c>
      <c r="N130" s="103">
        <f>VLOOKUP($A130,'OI(Value)'!$A$7:$O$329,11,0)</f>
        <v>1154</v>
      </c>
      <c r="O130" s="103">
        <f>VLOOKUP($A130,'OI(Value)'!$A$7:$O$329,12,0)</f>
        <v>165</v>
      </c>
      <c r="P130" s="179">
        <f>VLOOKUP(A130,'OI(Value)'!A130:O354,8,0)</f>
        <v>1434</v>
      </c>
      <c r="Q130" s="179">
        <f>VLOOKUP(A130,'OI(Value)'!A130:O354,9,0)</f>
        <v>324</v>
      </c>
      <c r="R130" s="179">
        <f>VLOOKUP(A130,'OI(Value)'!A130:O354,11,0)</f>
        <v>1154</v>
      </c>
      <c r="S130" s="179">
        <f>VLOOKUP(A130,'OI(Value)'!A130:O354,11,0)</f>
        <v>1154</v>
      </c>
    </row>
    <row r="131" spans="1:19" x14ac:dyDescent="0.25">
      <c r="A131" s="105" t="str">
        <f>'Data Vlaue (Cr)'!C126</f>
        <v>MANAPPURAM</v>
      </c>
      <c r="B131" s="143">
        <f>VLOOKUP($A131,'Data shares'!$C:$FA,118)</f>
        <v>0.65</v>
      </c>
      <c r="C131" s="143">
        <f>VLOOKUP($A131,'Data shares'!$C:$FA,119)</f>
        <v>0.54</v>
      </c>
      <c r="D131" s="143">
        <f>VLOOKUP($A131,'Data shares'!$C:$FA,121)*100</f>
        <v>20.369999999999997</v>
      </c>
      <c r="E131" s="143">
        <f>VLOOKUP($A131,'Data shares'!$C:$FA,124)</f>
        <v>0.44</v>
      </c>
      <c r="F131" s="143">
        <f>VLOOKUP($A131,'Data shares'!$C:$FA,125)</f>
        <v>0.33</v>
      </c>
      <c r="G131" s="143">
        <f>VLOOKUP($A131,'Data shares'!$C:$FA,127)*100</f>
        <v>33.33</v>
      </c>
      <c r="H131" s="103">
        <f>VLOOKUP($A131,'OI(Volume)'!$A$7:$O$445,8)</f>
        <v>12933000</v>
      </c>
      <c r="I131" s="103">
        <f>VLOOKUP($A131,'OI(Volume)'!$A$7:$O$445,9)</f>
        <v>2811000</v>
      </c>
      <c r="J131" s="103">
        <f>VLOOKUP($A131,'OI(Volume)'!$A$7:$O$445,11)</f>
        <v>8454000</v>
      </c>
      <c r="K131" s="103">
        <f>VLOOKUP($A131,'OI(Volume)'!$A$7:$O$445,12)</f>
        <v>3021000</v>
      </c>
      <c r="L131" s="103">
        <f>VLOOKUP($A131,'OI(Value)'!$A$7:$O$329,8,0)</f>
        <v>397</v>
      </c>
      <c r="M131" s="103">
        <f>VLOOKUP($A131,'OI(Value)'!$A$7:$O$329,9,0)</f>
        <v>86</v>
      </c>
      <c r="N131" s="103">
        <f>VLOOKUP($A131,'OI(Value)'!$A$7:$O$329,11,0)</f>
        <v>259</v>
      </c>
      <c r="O131" s="103">
        <f>VLOOKUP($A131,'OI(Value)'!$A$7:$O$329,12,0)</f>
        <v>93</v>
      </c>
      <c r="P131" s="179">
        <f>VLOOKUP(A131,'OI(Value)'!A131:O355,8,0)</f>
        <v>397</v>
      </c>
      <c r="Q131" s="179">
        <f>VLOOKUP(A131,'OI(Value)'!A131:O355,9,0)</f>
        <v>86</v>
      </c>
      <c r="R131" s="179">
        <f>VLOOKUP(A131,'OI(Value)'!A131:O355,11,0)</f>
        <v>259</v>
      </c>
      <c r="S131" s="179">
        <f>VLOOKUP(A131,'OI(Value)'!A131:O355,11,0)</f>
        <v>259</v>
      </c>
    </row>
    <row r="132" spans="1:19" x14ac:dyDescent="0.25">
      <c r="A132" s="105" t="str">
        <f>'Data Vlaue (Cr)'!C127</f>
        <v>MANKIND</v>
      </c>
      <c r="B132" s="143">
        <f>VLOOKUP($A132,'Data shares'!$C:$FA,118)</f>
        <v>0.82</v>
      </c>
      <c r="C132" s="143">
        <f>VLOOKUP($A132,'Data shares'!$C:$FA,119)</f>
        <v>1.1299999999999999</v>
      </c>
      <c r="D132" s="143">
        <f>VLOOKUP($A132,'Data shares'!$C:$FA,121)*100</f>
        <v>-27.43</v>
      </c>
      <c r="E132" s="143">
        <f>VLOOKUP($A132,'Data shares'!$C:$FA,124)</f>
        <v>0.23</v>
      </c>
      <c r="F132" s="143">
        <f>VLOOKUP($A132,'Data shares'!$C:$FA,125)</f>
        <v>0.49</v>
      </c>
      <c r="G132" s="143">
        <f>VLOOKUP($A132,'Data shares'!$C:$FA,127)*100</f>
        <v>-53.059999999999995</v>
      </c>
      <c r="H132" s="103">
        <f>VLOOKUP($A132,'OI(Volume)'!$A$7:$O$445,8)</f>
        <v>495000</v>
      </c>
      <c r="I132" s="103">
        <f>VLOOKUP($A132,'OI(Volume)'!$A$7:$O$445,9)</f>
        <v>153450</v>
      </c>
      <c r="J132" s="103">
        <f>VLOOKUP($A132,'OI(Volume)'!$A$7:$O$445,11)</f>
        <v>404550</v>
      </c>
      <c r="K132" s="103">
        <f>VLOOKUP($A132,'OI(Volume)'!$A$7:$O$445,12)</f>
        <v>20025</v>
      </c>
      <c r="L132" s="103">
        <f>VLOOKUP($A132,'OI(Value)'!$A$7:$O$329,8,0)</f>
        <v>112</v>
      </c>
      <c r="M132" s="103">
        <f>VLOOKUP($A132,'OI(Value)'!$A$7:$O$329,9,0)</f>
        <v>35</v>
      </c>
      <c r="N132" s="103">
        <f>VLOOKUP($A132,'OI(Value)'!$A$7:$O$329,11,0)</f>
        <v>92</v>
      </c>
      <c r="O132" s="103">
        <f>VLOOKUP($A132,'OI(Value)'!$A$7:$O$329,12,0)</f>
        <v>5</v>
      </c>
      <c r="P132" s="179">
        <f>VLOOKUP(A132,'OI(Value)'!A132:O356,8,0)</f>
        <v>112</v>
      </c>
      <c r="Q132" s="179">
        <f>VLOOKUP(A132,'OI(Value)'!A132:O356,9,0)</f>
        <v>35</v>
      </c>
      <c r="R132" s="179">
        <f>VLOOKUP(A132,'OI(Value)'!A132:O356,11,0)</f>
        <v>92</v>
      </c>
      <c r="S132" s="179">
        <f>VLOOKUP(A132,'OI(Value)'!A132:O356,11,0)</f>
        <v>92</v>
      </c>
    </row>
    <row r="133" spans="1:19" x14ac:dyDescent="0.25">
      <c r="A133" s="105" t="str">
        <f>'Data Vlaue (Cr)'!C128</f>
        <v>MARICO</v>
      </c>
      <c r="B133" s="143">
        <f>VLOOKUP($A133,'Data shares'!$C:$FA,118)</f>
        <v>0.8</v>
      </c>
      <c r="C133" s="143">
        <f>VLOOKUP($A133,'Data shares'!$C:$FA,119)</f>
        <v>0.79</v>
      </c>
      <c r="D133" s="143">
        <f>VLOOKUP($A133,'Data shares'!$C:$FA,121)*100</f>
        <v>1.27</v>
      </c>
      <c r="E133" s="143">
        <f>VLOOKUP($A133,'Data shares'!$C:$FA,124)</f>
        <v>0.82</v>
      </c>
      <c r="F133" s="143">
        <f>VLOOKUP($A133,'Data shares'!$C:$FA,125)</f>
        <v>0.6</v>
      </c>
      <c r="G133" s="143">
        <f>VLOOKUP($A133,'Data shares'!$C:$FA,127)*100</f>
        <v>36.67</v>
      </c>
      <c r="H133" s="103">
        <f>VLOOKUP($A133,'OI(Volume)'!$A$7:$O$445,8)</f>
        <v>3210000</v>
      </c>
      <c r="I133" s="103">
        <f>VLOOKUP($A133,'OI(Volume)'!$A$7:$O$445,9)</f>
        <v>642000</v>
      </c>
      <c r="J133" s="103">
        <f>VLOOKUP($A133,'OI(Volume)'!$A$7:$O$445,11)</f>
        <v>2578800</v>
      </c>
      <c r="K133" s="103">
        <f>VLOOKUP($A133,'OI(Volume)'!$A$7:$O$445,12)</f>
        <v>561600</v>
      </c>
      <c r="L133" s="103">
        <f>VLOOKUP($A133,'OI(Value)'!$A$7:$O$329,8,0)</f>
        <v>253</v>
      </c>
      <c r="M133" s="103">
        <f>VLOOKUP($A133,'OI(Value)'!$A$7:$O$329,9,0)</f>
        <v>51</v>
      </c>
      <c r="N133" s="103">
        <f>VLOOKUP($A133,'OI(Value)'!$A$7:$O$329,11,0)</f>
        <v>203</v>
      </c>
      <c r="O133" s="103">
        <f>VLOOKUP($A133,'OI(Value)'!$A$7:$O$329,12,0)</f>
        <v>44</v>
      </c>
      <c r="P133" s="179">
        <f>VLOOKUP(A133,'OI(Value)'!A133:O357,8,0)</f>
        <v>253</v>
      </c>
      <c r="Q133" s="179">
        <f>VLOOKUP(A133,'OI(Value)'!A133:O357,9,0)</f>
        <v>51</v>
      </c>
      <c r="R133" s="179">
        <f>VLOOKUP(A133,'OI(Value)'!A133:O357,11,0)</f>
        <v>203</v>
      </c>
      <c r="S133" s="179">
        <f>VLOOKUP(A133,'OI(Value)'!A133:O357,11,0)</f>
        <v>203</v>
      </c>
    </row>
    <row r="134" spans="1:19" x14ac:dyDescent="0.25">
      <c r="A134" s="105" t="str">
        <f>'Data Vlaue (Cr)'!C129</f>
        <v>MARUTI</v>
      </c>
      <c r="B134" s="143">
        <f>VLOOKUP($A134,'Data shares'!$C:$FA,118)</f>
        <v>0.5</v>
      </c>
      <c r="C134" s="143">
        <f>VLOOKUP($A134,'Data shares'!$C:$FA,119)</f>
        <v>0.47</v>
      </c>
      <c r="D134" s="143">
        <f>VLOOKUP($A134,'Data shares'!$C:$FA,121)*100</f>
        <v>6.38</v>
      </c>
      <c r="E134" s="143">
        <f>VLOOKUP($A134,'Data shares'!$C:$FA,124)</f>
        <v>0.51</v>
      </c>
      <c r="F134" s="143">
        <f>VLOOKUP($A134,'Data shares'!$C:$FA,125)</f>
        <v>0.52</v>
      </c>
      <c r="G134" s="143">
        <f>VLOOKUP($A134,'Data shares'!$C:$FA,127)*100</f>
        <v>-1.92</v>
      </c>
      <c r="H134" s="103">
        <f>VLOOKUP($A134,'OI(Volume)'!$A$7:$O$445,8)</f>
        <v>1902100</v>
      </c>
      <c r="I134" s="103">
        <f>VLOOKUP($A134,'OI(Volume)'!$A$7:$O$445,9)</f>
        <v>282000</v>
      </c>
      <c r="J134" s="103">
        <f>VLOOKUP($A134,'OI(Volume)'!$A$7:$O$445,11)</f>
        <v>942300</v>
      </c>
      <c r="K134" s="103">
        <f>VLOOKUP($A134,'OI(Volume)'!$A$7:$O$445,12)</f>
        <v>177000</v>
      </c>
      <c r="L134" s="103">
        <f>VLOOKUP($A134,'OI(Value)'!$A$7:$O$329,8,0)</f>
        <v>2598</v>
      </c>
      <c r="M134" s="103">
        <f>VLOOKUP($A134,'OI(Value)'!$A$7:$O$329,9,0)</f>
        <v>385</v>
      </c>
      <c r="N134" s="103">
        <f>VLOOKUP($A134,'OI(Value)'!$A$7:$O$329,11,0)</f>
        <v>1287</v>
      </c>
      <c r="O134" s="103">
        <f>VLOOKUP($A134,'OI(Value)'!$A$7:$O$329,12,0)</f>
        <v>242</v>
      </c>
      <c r="P134" s="179">
        <f>VLOOKUP(A134,'OI(Value)'!A134:O358,8,0)</f>
        <v>2598</v>
      </c>
      <c r="Q134" s="179">
        <f>VLOOKUP(A134,'OI(Value)'!A134:O358,9,0)</f>
        <v>385</v>
      </c>
      <c r="R134" s="179">
        <f>VLOOKUP(A134,'OI(Value)'!A134:O358,11,0)</f>
        <v>1287</v>
      </c>
      <c r="S134" s="179">
        <f>VLOOKUP(A134,'OI(Value)'!A134:O358,11,0)</f>
        <v>1287</v>
      </c>
    </row>
    <row r="135" spans="1:19" x14ac:dyDescent="0.25">
      <c r="A135" s="105" t="str">
        <f>'Data Vlaue (Cr)'!C130</f>
        <v>MAXHEALTH</v>
      </c>
      <c r="B135" s="143">
        <f>VLOOKUP($A135,'Data shares'!$C:$FA,118)</f>
        <v>0.64</v>
      </c>
      <c r="C135" s="143">
        <f>VLOOKUP($A135,'Data shares'!$C:$FA,119)</f>
        <v>0.56000000000000005</v>
      </c>
      <c r="D135" s="143">
        <f>VLOOKUP($A135,'Data shares'!$C:$FA,121)*100</f>
        <v>14.29</v>
      </c>
      <c r="E135" s="143">
        <f>VLOOKUP($A135,'Data shares'!$C:$FA,124)</f>
        <v>0.5</v>
      </c>
      <c r="F135" s="143">
        <f>VLOOKUP($A135,'Data shares'!$C:$FA,125)</f>
        <v>0.69</v>
      </c>
      <c r="G135" s="143">
        <f>VLOOKUP($A135,'Data shares'!$C:$FA,127)*100</f>
        <v>-27.54</v>
      </c>
      <c r="H135" s="103">
        <f>VLOOKUP($A135,'OI(Volume)'!$A$7:$O$445,8)</f>
        <v>2087925</v>
      </c>
      <c r="I135" s="103">
        <f>VLOOKUP($A135,'OI(Volume)'!$A$7:$O$445,9)</f>
        <v>212100</v>
      </c>
      <c r="J135" s="103">
        <f>VLOOKUP($A135,'OI(Volume)'!$A$7:$O$445,11)</f>
        <v>1335075</v>
      </c>
      <c r="K135" s="103">
        <f>VLOOKUP($A135,'OI(Volume)'!$A$7:$O$445,12)</f>
        <v>292950</v>
      </c>
      <c r="L135" s="103">
        <f>VLOOKUP($A135,'OI(Value)'!$A$7:$O$329,8,0)</f>
        <v>212</v>
      </c>
      <c r="M135" s="103">
        <f>VLOOKUP($A135,'OI(Value)'!$A$7:$O$329,9,0)</f>
        <v>22</v>
      </c>
      <c r="N135" s="103">
        <f>VLOOKUP($A135,'OI(Value)'!$A$7:$O$329,11,0)</f>
        <v>136</v>
      </c>
      <c r="O135" s="103">
        <f>VLOOKUP($A135,'OI(Value)'!$A$7:$O$329,12,0)</f>
        <v>30</v>
      </c>
      <c r="P135" s="179">
        <f>VLOOKUP(A135,'OI(Value)'!A135:O359,8,0)</f>
        <v>212</v>
      </c>
      <c r="Q135" s="179">
        <f>VLOOKUP(A135,'OI(Value)'!A135:O359,9,0)</f>
        <v>22</v>
      </c>
      <c r="R135" s="179">
        <f>VLOOKUP(A135,'OI(Value)'!A135:O359,11,0)</f>
        <v>136</v>
      </c>
      <c r="S135" s="179">
        <f>VLOOKUP(A135,'OI(Value)'!A135:O359,11,0)</f>
        <v>136</v>
      </c>
    </row>
    <row r="136" spans="1:19" x14ac:dyDescent="0.25">
      <c r="A136" s="105" t="str">
        <f>'Data Vlaue (Cr)'!C131</f>
        <v>MAZDOCK</v>
      </c>
      <c r="B136" s="143">
        <f>VLOOKUP($A136,'Data shares'!$C:$FA,118)</f>
        <v>0.39</v>
      </c>
      <c r="C136" s="143">
        <f>VLOOKUP($A136,'Data shares'!$C:$FA,119)</f>
        <v>0.49</v>
      </c>
      <c r="D136" s="143">
        <f>VLOOKUP($A136,'Data shares'!$C:$FA,121)*100</f>
        <v>-20.41</v>
      </c>
      <c r="E136" s="143">
        <f>VLOOKUP($A136,'Data shares'!$C:$FA,124)</f>
        <v>0.39</v>
      </c>
      <c r="F136" s="143">
        <f>VLOOKUP($A136,'Data shares'!$C:$FA,125)</f>
        <v>0.36</v>
      </c>
      <c r="G136" s="143">
        <f>VLOOKUP($A136,'Data shares'!$C:$FA,127)*100</f>
        <v>8.33</v>
      </c>
      <c r="H136" s="103">
        <f>VLOOKUP($A136,'OI(Volume)'!$A$7:$O$445,8)</f>
        <v>4546000</v>
      </c>
      <c r="I136" s="103">
        <f>VLOOKUP($A136,'OI(Volume)'!$A$7:$O$445,9)</f>
        <v>1809000</v>
      </c>
      <c r="J136" s="103">
        <f>VLOOKUP($A136,'OI(Volume)'!$A$7:$O$445,11)</f>
        <v>1759400</v>
      </c>
      <c r="K136" s="103">
        <f>VLOOKUP($A136,'OI(Volume)'!$A$7:$O$445,12)</f>
        <v>405800</v>
      </c>
      <c r="L136" s="103">
        <f>VLOOKUP($A136,'OI(Value)'!$A$7:$O$329,8,0)</f>
        <v>1193</v>
      </c>
      <c r="M136" s="103">
        <f>VLOOKUP($A136,'OI(Value)'!$A$7:$O$329,9,0)</f>
        <v>475</v>
      </c>
      <c r="N136" s="103">
        <f>VLOOKUP($A136,'OI(Value)'!$A$7:$O$329,11,0)</f>
        <v>462</v>
      </c>
      <c r="O136" s="103">
        <f>VLOOKUP($A136,'OI(Value)'!$A$7:$O$329,12,0)</f>
        <v>107</v>
      </c>
      <c r="P136" s="179">
        <f>VLOOKUP(A136,'OI(Value)'!A136:O360,8,0)</f>
        <v>1193</v>
      </c>
      <c r="Q136" s="179">
        <f>VLOOKUP(A136,'OI(Value)'!A136:O360,9,0)</f>
        <v>475</v>
      </c>
      <c r="R136" s="179">
        <f>VLOOKUP(A136,'OI(Value)'!A136:O360,11,0)</f>
        <v>462</v>
      </c>
      <c r="S136" s="179">
        <f>VLOOKUP(A136,'OI(Value)'!A136:O360,11,0)</f>
        <v>462</v>
      </c>
    </row>
    <row r="137" spans="1:19" x14ac:dyDescent="0.25">
      <c r="A137" s="105" t="str">
        <f>'Data Vlaue (Cr)'!C132</f>
        <v>MCX</v>
      </c>
      <c r="B137" s="143">
        <f>VLOOKUP($A137,'Data shares'!$C:$FA,118)</f>
        <v>0.72</v>
      </c>
      <c r="C137" s="143">
        <f>VLOOKUP($A137,'Data shares'!$C:$FA,119)</f>
        <v>0.76</v>
      </c>
      <c r="D137" s="143">
        <f>VLOOKUP($A137,'Data shares'!$C:$FA,121)*100</f>
        <v>-5.26</v>
      </c>
      <c r="E137" s="143">
        <f>VLOOKUP($A137,'Data shares'!$C:$FA,124)</f>
        <v>0.72</v>
      </c>
      <c r="F137" s="143">
        <f>VLOOKUP($A137,'Data shares'!$C:$FA,125)</f>
        <v>0.69</v>
      </c>
      <c r="G137" s="143">
        <f>VLOOKUP($A137,'Data shares'!$C:$FA,127)*100</f>
        <v>4.3499999999999996</v>
      </c>
      <c r="H137" s="103">
        <f>VLOOKUP($A137,'OI(Volume)'!$A$7:$O$445,8)</f>
        <v>4511250</v>
      </c>
      <c r="I137" s="103">
        <f>VLOOKUP($A137,'OI(Volume)'!$A$7:$O$445,9)</f>
        <v>500625</v>
      </c>
      <c r="J137" s="103">
        <f>VLOOKUP($A137,'OI(Volume)'!$A$7:$O$445,11)</f>
        <v>3265625</v>
      </c>
      <c r="K137" s="103">
        <f>VLOOKUP($A137,'OI(Volume)'!$A$7:$O$445,12)</f>
        <v>225000</v>
      </c>
      <c r="L137" s="103">
        <f>VLOOKUP($A137,'OI(Value)'!$A$7:$O$329,8,0)</f>
        <v>1322</v>
      </c>
      <c r="M137" s="103">
        <f>VLOOKUP($A137,'OI(Value)'!$A$7:$O$329,9,0)</f>
        <v>147</v>
      </c>
      <c r="N137" s="103">
        <f>VLOOKUP($A137,'OI(Value)'!$A$7:$O$329,11,0)</f>
        <v>957</v>
      </c>
      <c r="O137" s="103">
        <f>VLOOKUP($A137,'OI(Value)'!$A$7:$O$329,12,0)</f>
        <v>66</v>
      </c>
      <c r="P137" s="179">
        <f>VLOOKUP(A137,'OI(Value)'!A137:O361,8,0)</f>
        <v>1322</v>
      </c>
      <c r="Q137" s="179">
        <f>VLOOKUP(A137,'OI(Value)'!A137:O361,9,0)</f>
        <v>147</v>
      </c>
      <c r="R137" s="179">
        <f>VLOOKUP(A137,'OI(Value)'!A137:O361,11,0)</f>
        <v>957</v>
      </c>
      <c r="S137" s="179">
        <f>VLOOKUP(A137,'OI(Value)'!A137:O361,11,0)</f>
        <v>957</v>
      </c>
    </row>
    <row r="138" spans="1:19" x14ac:dyDescent="0.25">
      <c r="A138" s="105" t="str">
        <f>'Data Vlaue (Cr)'!C133</f>
        <v>MFSL</v>
      </c>
      <c r="B138" s="143">
        <f>VLOOKUP($A138,'Data shares'!$C:$FA,118)</f>
        <v>0.85</v>
      </c>
      <c r="C138" s="143">
        <f>VLOOKUP($A138,'Data shares'!$C:$FA,119)</f>
        <v>1.19</v>
      </c>
      <c r="D138" s="143">
        <f>VLOOKUP($A138,'Data shares'!$C:$FA,121)*100</f>
        <v>-28.57</v>
      </c>
      <c r="E138" s="143">
        <f>VLOOKUP($A138,'Data shares'!$C:$FA,124)</f>
        <v>0.32</v>
      </c>
      <c r="F138" s="143">
        <f>VLOOKUP($A138,'Data shares'!$C:$FA,125)</f>
        <v>0.41</v>
      </c>
      <c r="G138" s="143">
        <f>VLOOKUP($A138,'Data shares'!$C:$FA,127)*100</f>
        <v>-21.95</v>
      </c>
      <c r="H138" s="103">
        <f>VLOOKUP($A138,'OI(Volume)'!$A$7:$O$445,8)</f>
        <v>358400</v>
      </c>
      <c r="I138" s="103">
        <f>VLOOKUP($A138,'OI(Volume)'!$A$7:$O$445,9)</f>
        <v>134800</v>
      </c>
      <c r="J138" s="103">
        <f>VLOOKUP($A138,'OI(Volume)'!$A$7:$O$445,11)</f>
        <v>305600</v>
      </c>
      <c r="K138" s="103">
        <f>VLOOKUP($A138,'OI(Volume)'!$A$7:$O$445,12)</f>
        <v>39600</v>
      </c>
      <c r="L138" s="103">
        <f>VLOOKUP($A138,'OI(Value)'!$A$7:$O$329,8,0)</f>
        <v>58</v>
      </c>
      <c r="M138" s="103">
        <f>VLOOKUP($A138,'OI(Value)'!$A$7:$O$329,9,0)</f>
        <v>22</v>
      </c>
      <c r="N138" s="103">
        <f>VLOOKUP($A138,'OI(Value)'!$A$7:$O$329,11,0)</f>
        <v>49</v>
      </c>
      <c r="O138" s="103">
        <f>VLOOKUP($A138,'OI(Value)'!$A$7:$O$329,12,0)</f>
        <v>6</v>
      </c>
      <c r="P138" s="179">
        <f>VLOOKUP(A138,'OI(Value)'!A138:O362,8,0)</f>
        <v>58</v>
      </c>
      <c r="Q138" s="179">
        <f>VLOOKUP(A138,'OI(Value)'!A138:O362,9,0)</f>
        <v>22</v>
      </c>
      <c r="R138" s="179">
        <f>VLOOKUP(A138,'OI(Value)'!A138:O362,11,0)</f>
        <v>49</v>
      </c>
      <c r="S138" s="179">
        <f>VLOOKUP(A138,'OI(Value)'!A138:O362,11,0)</f>
        <v>49</v>
      </c>
    </row>
    <row r="139" spans="1:19" x14ac:dyDescent="0.25">
      <c r="A139" s="105" t="str">
        <f>'Data Vlaue (Cr)'!C134</f>
        <v>MIDCPNIFTY</v>
      </c>
      <c r="B139" s="143">
        <f>VLOOKUP($A139,'Data shares'!$C:$FA,118)</f>
        <v>1.1299999999999999</v>
      </c>
      <c r="C139" s="143">
        <f>VLOOKUP($A139,'Data shares'!$C:$FA,119)</f>
        <v>1.03</v>
      </c>
      <c r="D139" s="143">
        <f>VLOOKUP($A139,'Data shares'!$C:$FA,121)*100</f>
        <v>9.7100000000000009</v>
      </c>
      <c r="E139" s="143">
        <f>VLOOKUP($A139,'Data shares'!$C:$FA,124)</f>
        <v>1</v>
      </c>
      <c r="F139" s="143">
        <f>VLOOKUP($A139,'Data shares'!$C:$FA,125)</f>
        <v>0.79</v>
      </c>
      <c r="G139" s="143">
        <f>VLOOKUP($A139,'Data shares'!$C:$FA,127)*100</f>
        <v>26.58</v>
      </c>
      <c r="H139" s="103">
        <f>VLOOKUP($A139,'OI(Volume)'!$A$7:$O$445,8)</f>
        <v>3415680</v>
      </c>
      <c r="I139" s="103">
        <f>VLOOKUP($A139,'OI(Volume)'!$A$7:$O$445,9)</f>
        <v>382800</v>
      </c>
      <c r="J139" s="103">
        <f>VLOOKUP($A139,'OI(Volume)'!$A$7:$O$445,11)</f>
        <v>3876600</v>
      </c>
      <c r="K139" s="103">
        <f>VLOOKUP($A139,'OI(Volume)'!$A$7:$O$445,12)</f>
        <v>766560</v>
      </c>
      <c r="L139" s="103">
        <f>VLOOKUP($A139,'OI(Value)'!$A$7:$O$329,8,0)</f>
        <v>4770</v>
      </c>
      <c r="M139" s="103">
        <f>VLOOKUP($A139,'OI(Value)'!$A$7:$O$329,9,0)</f>
        <v>535</v>
      </c>
      <c r="N139" s="103">
        <f>VLOOKUP($A139,'OI(Value)'!$A$7:$O$329,11,0)</f>
        <v>5414</v>
      </c>
      <c r="O139" s="103">
        <f>VLOOKUP($A139,'OI(Value)'!$A$7:$O$329,12,0)</f>
        <v>1070</v>
      </c>
      <c r="P139" s="179">
        <f>VLOOKUP(A139,'OI(Value)'!A139:O363,8,0)</f>
        <v>4770</v>
      </c>
      <c r="Q139" s="179">
        <f>VLOOKUP(A139,'OI(Value)'!A139:O363,9,0)</f>
        <v>535</v>
      </c>
      <c r="R139" s="179">
        <f>VLOOKUP(A139,'OI(Value)'!A139:O363,11,0)</f>
        <v>5414</v>
      </c>
      <c r="S139" s="179">
        <f>VLOOKUP(A139,'OI(Value)'!A139:O363,11,0)</f>
        <v>5414</v>
      </c>
    </row>
    <row r="140" spans="1:19" x14ac:dyDescent="0.25">
      <c r="A140" s="105" t="str">
        <f>'Data Vlaue (Cr)'!C135</f>
        <v>MOTHERSON</v>
      </c>
      <c r="B140" s="143">
        <f>VLOOKUP($A140,'Data shares'!$C:$FA,118)</f>
        <v>0.66</v>
      </c>
      <c r="C140" s="143">
        <f>VLOOKUP($A140,'Data shares'!$C:$FA,119)</f>
        <v>0.72</v>
      </c>
      <c r="D140" s="143">
        <f>VLOOKUP($A140,'Data shares'!$C:$FA,121)*100</f>
        <v>-8.33</v>
      </c>
      <c r="E140" s="143">
        <f>VLOOKUP($A140,'Data shares'!$C:$FA,124)</f>
        <v>0.44</v>
      </c>
      <c r="F140" s="143">
        <f>VLOOKUP($A140,'Data shares'!$C:$FA,125)</f>
        <v>0.56999999999999995</v>
      </c>
      <c r="G140" s="143">
        <f>VLOOKUP($A140,'Data shares'!$C:$FA,127)*100</f>
        <v>-22.81</v>
      </c>
      <c r="H140" s="103">
        <f>VLOOKUP($A140,'OI(Volume)'!$A$7:$O$445,8)</f>
        <v>27299850</v>
      </c>
      <c r="I140" s="103">
        <f>VLOOKUP($A140,'OI(Volume)'!$A$7:$O$445,9)</f>
        <v>3228750</v>
      </c>
      <c r="J140" s="103">
        <f>VLOOKUP($A140,'OI(Volume)'!$A$7:$O$445,11)</f>
        <v>17896500</v>
      </c>
      <c r="K140" s="103">
        <f>VLOOKUP($A140,'OI(Volume)'!$A$7:$O$445,12)</f>
        <v>676500</v>
      </c>
      <c r="L140" s="103">
        <f>VLOOKUP($A140,'OI(Value)'!$A$7:$O$329,8,0)</f>
        <v>330</v>
      </c>
      <c r="M140" s="103">
        <f>VLOOKUP($A140,'OI(Value)'!$A$7:$O$329,9,0)</f>
        <v>39</v>
      </c>
      <c r="N140" s="103">
        <f>VLOOKUP($A140,'OI(Value)'!$A$7:$O$329,11,0)</f>
        <v>216</v>
      </c>
      <c r="O140" s="103">
        <f>VLOOKUP($A140,'OI(Value)'!$A$7:$O$329,12,0)</f>
        <v>8</v>
      </c>
      <c r="P140" s="179">
        <f>VLOOKUP(A140,'OI(Value)'!A140:O364,8,0)</f>
        <v>330</v>
      </c>
      <c r="Q140" s="179">
        <f>VLOOKUP(A140,'OI(Value)'!A140:O364,9,0)</f>
        <v>39</v>
      </c>
      <c r="R140" s="179">
        <f>VLOOKUP(A140,'OI(Value)'!A140:O364,11,0)</f>
        <v>216</v>
      </c>
      <c r="S140" s="179">
        <f>VLOOKUP(A140,'OI(Value)'!A140:O364,11,0)</f>
        <v>216</v>
      </c>
    </row>
    <row r="141" spans="1:19" x14ac:dyDescent="0.25">
      <c r="A141" s="105" t="str">
        <f>'Data Vlaue (Cr)'!C136</f>
        <v>MOTILALOFS</v>
      </c>
      <c r="B141" s="143">
        <f>VLOOKUP($A141,'Data shares'!$C:$FA,118)</f>
        <v>0.67</v>
      </c>
      <c r="C141" s="143">
        <f>VLOOKUP($A141,'Data shares'!$C:$FA,119)</f>
        <v>0.74</v>
      </c>
      <c r="D141" s="143">
        <f>VLOOKUP($A141,'Data shares'!$C:$FA,121)*100</f>
        <v>-9.4600000000000009</v>
      </c>
      <c r="E141" s="143">
        <f>VLOOKUP($A141,'Data shares'!$C:$FA,124)</f>
        <v>0.24</v>
      </c>
      <c r="F141" s="143">
        <f>VLOOKUP($A141,'Data shares'!$C:$FA,125)</f>
        <v>0.41</v>
      </c>
      <c r="G141" s="143">
        <f>VLOOKUP($A141,'Data shares'!$C:$FA,127)*100</f>
        <v>-41.46</v>
      </c>
      <c r="H141" s="103">
        <f>VLOOKUP($A141,'OI(Volume)'!$A$7:$O$445,8)</f>
        <v>2025075</v>
      </c>
      <c r="I141" s="103">
        <f>VLOOKUP($A141,'OI(Volume)'!$A$7:$O$445,9)</f>
        <v>168175</v>
      </c>
      <c r="J141" s="103">
        <f>VLOOKUP($A141,'OI(Volume)'!$A$7:$O$445,11)</f>
        <v>1366325</v>
      </c>
      <c r="K141" s="103">
        <f>VLOOKUP($A141,'OI(Volume)'!$A$7:$O$445,12)</f>
        <v>-4650</v>
      </c>
      <c r="L141" s="103">
        <f>VLOOKUP($A141,'OI(Value)'!$A$7:$O$329,8,0)</f>
        <v>170</v>
      </c>
      <c r="M141" s="103">
        <f>VLOOKUP($A141,'OI(Value)'!$A$7:$O$329,9,0)</f>
        <v>14</v>
      </c>
      <c r="N141" s="103">
        <f>VLOOKUP($A141,'OI(Value)'!$A$7:$O$329,11,0)</f>
        <v>115</v>
      </c>
      <c r="O141" s="103">
        <f>VLOOKUP($A141,'OI(Value)'!$A$7:$O$329,12,0)</f>
        <v>0</v>
      </c>
      <c r="P141" s="179">
        <f>VLOOKUP(A141,'OI(Value)'!A141:O365,8,0)</f>
        <v>170</v>
      </c>
      <c r="Q141" s="179">
        <f>VLOOKUP(A141,'OI(Value)'!A141:O365,9,0)</f>
        <v>14</v>
      </c>
      <c r="R141" s="179">
        <f>VLOOKUP(A141,'OI(Value)'!A141:O365,11,0)</f>
        <v>115</v>
      </c>
      <c r="S141" s="179">
        <f>VLOOKUP(A141,'OI(Value)'!A141:O365,11,0)</f>
        <v>115</v>
      </c>
    </row>
    <row r="142" spans="1:19" x14ac:dyDescent="0.25">
      <c r="A142" s="105" t="str">
        <f>'Data Vlaue (Cr)'!C137</f>
        <v>MPHASIS</v>
      </c>
      <c r="B142" s="143">
        <f>VLOOKUP($A142,'Data shares'!$C:$FA,118)</f>
        <v>0.68</v>
      </c>
      <c r="C142" s="143">
        <f>VLOOKUP($A142,'Data shares'!$C:$FA,119)</f>
        <v>0.68</v>
      </c>
      <c r="D142" s="143">
        <f>VLOOKUP($A142,'Data shares'!$C:$FA,121)*100</f>
        <v>0</v>
      </c>
      <c r="E142" s="143">
        <f>VLOOKUP($A142,'Data shares'!$C:$FA,124)</f>
        <v>0.49</v>
      </c>
      <c r="F142" s="143">
        <f>VLOOKUP($A142,'Data shares'!$C:$FA,125)</f>
        <v>0.45</v>
      </c>
      <c r="G142" s="143">
        <f>VLOOKUP($A142,'Data shares'!$C:$FA,127)*100</f>
        <v>8.89</v>
      </c>
      <c r="H142" s="103">
        <f>VLOOKUP($A142,'OI(Volume)'!$A$7:$O$445,8)</f>
        <v>1411575</v>
      </c>
      <c r="I142" s="103">
        <f>VLOOKUP($A142,'OI(Volume)'!$A$7:$O$445,9)</f>
        <v>-99825</v>
      </c>
      <c r="J142" s="103">
        <f>VLOOKUP($A142,'OI(Volume)'!$A$7:$O$445,11)</f>
        <v>964700</v>
      </c>
      <c r="K142" s="103">
        <f>VLOOKUP($A142,'OI(Volume)'!$A$7:$O$445,12)</f>
        <v>-62150</v>
      </c>
      <c r="L142" s="103">
        <f>VLOOKUP($A142,'OI(Value)'!$A$7:$O$329,8,0)</f>
        <v>322</v>
      </c>
      <c r="M142" s="103">
        <f>VLOOKUP($A142,'OI(Value)'!$A$7:$O$329,9,0)</f>
        <v>-23</v>
      </c>
      <c r="N142" s="103">
        <f>VLOOKUP($A142,'OI(Value)'!$A$7:$O$329,11,0)</f>
        <v>220</v>
      </c>
      <c r="O142" s="103">
        <f>VLOOKUP($A142,'OI(Value)'!$A$7:$O$329,12,0)</f>
        <v>-14</v>
      </c>
      <c r="P142" s="179">
        <f>VLOOKUP(A142,'OI(Value)'!A142:O366,8,0)</f>
        <v>322</v>
      </c>
      <c r="Q142" s="179">
        <f>VLOOKUP(A142,'OI(Value)'!A142:O366,9,0)</f>
        <v>-23</v>
      </c>
      <c r="R142" s="179">
        <f>VLOOKUP(A142,'OI(Value)'!A142:O366,11,0)</f>
        <v>220</v>
      </c>
      <c r="S142" s="179">
        <f>VLOOKUP(A142,'OI(Value)'!A142:O366,11,0)</f>
        <v>220</v>
      </c>
    </row>
    <row r="143" spans="1:19" x14ac:dyDescent="0.25">
      <c r="A143" s="105" t="str">
        <f>'Data Vlaue (Cr)'!C138</f>
        <v>MUTHOOTFIN</v>
      </c>
      <c r="B143" s="143">
        <f>VLOOKUP($A143,'Data shares'!$C:$FA,118)</f>
        <v>0.68</v>
      </c>
      <c r="C143" s="143">
        <f>VLOOKUP($A143,'Data shares'!$C:$FA,119)</f>
        <v>0.77</v>
      </c>
      <c r="D143" s="143">
        <f>VLOOKUP($A143,'Data shares'!$C:$FA,121)*100</f>
        <v>-11.690000000000001</v>
      </c>
      <c r="E143" s="143">
        <f>VLOOKUP($A143,'Data shares'!$C:$FA,124)</f>
        <v>0.31</v>
      </c>
      <c r="F143" s="143">
        <f>VLOOKUP($A143,'Data shares'!$C:$FA,125)</f>
        <v>0.74</v>
      </c>
      <c r="G143" s="143">
        <f>VLOOKUP($A143,'Data shares'!$C:$FA,127)*100</f>
        <v>-58.109999999999992</v>
      </c>
      <c r="H143" s="103">
        <f>VLOOKUP($A143,'OI(Volume)'!$A$7:$O$445,8)</f>
        <v>994125</v>
      </c>
      <c r="I143" s="103">
        <f>VLOOKUP($A143,'OI(Volume)'!$A$7:$O$445,9)</f>
        <v>223025</v>
      </c>
      <c r="J143" s="103">
        <f>VLOOKUP($A143,'OI(Volume)'!$A$7:$O$445,11)</f>
        <v>674300</v>
      </c>
      <c r="K143" s="103">
        <f>VLOOKUP($A143,'OI(Volume)'!$A$7:$O$445,12)</f>
        <v>81950</v>
      </c>
      <c r="L143" s="103">
        <f>VLOOKUP($A143,'OI(Value)'!$A$7:$O$329,8,0)</f>
        <v>348</v>
      </c>
      <c r="M143" s="103">
        <f>VLOOKUP($A143,'OI(Value)'!$A$7:$O$329,9,0)</f>
        <v>78</v>
      </c>
      <c r="N143" s="103">
        <f>VLOOKUP($A143,'OI(Value)'!$A$7:$O$329,11,0)</f>
        <v>236</v>
      </c>
      <c r="O143" s="103">
        <f>VLOOKUP($A143,'OI(Value)'!$A$7:$O$329,12,0)</f>
        <v>29</v>
      </c>
      <c r="P143" s="179">
        <f>VLOOKUP(A143,'OI(Value)'!A143:O367,8,0)</f>
        <v>348</v>
      </c>
      <c r="Q143" s="179">
        <f>VLOOKUP(A143,'OI(Value)'!A143:O367,9,0)</f>
        <v>78</v>
      </c>
      <c r="R143" s="179">
        <f>VLOOKUP(A143,'OI(Value)'!A143:O367,11,0)</f>
        <v>236</v>
      </c>
      <c r="S143" s="179">
        <f>VLOOKUP(A143,'OI(Value)'!A143:O367,11,0)</f>
        <v>236</v>
      </c>
    </row>
    <row r="144" spans="1:19" x14ac:dyDescent="0.25">
      <c r="A144" s="105" t="str">
        <f>'Data Vlaue (Cr)'!C139</f>
        <v>NAM-INDIA</v>
      </c>
      <c r="B144" s="143">
        <f>VLOOKUP($A144,'Data shares'!$C:$FA,118)</f>
        <v>0.45</v>
      </c>
      <c r="C144" s="143">
        <f>VLOOKUP($A144,'Data shares'!$C:$FA,119)</f>
        <v>0.55000000000000004</v>
      </c>
      <c r="D144" s="143">
        <f>VLOOKUP($A144,'Data shares'!$C:$FA,121)*100</f>
        <v>-18.18</v>
      </c>
      <c r="E144" s="143">
        <f>VLOOKUP($A144,'Data shares'!$C:$FA,124)</f>
        <v>0.24</v>
      </c>
      <c r="F144" s="143">
        <f>VLOOKUP($A144,'Data shares'!$C:$FA,125)</f>
        <v>0.41</v>
      </c>
      <c r="G144" s="143">
        <f>VLOOKUP($A144,'Data shares'!$C:$FA,127)*100</f>
        <v>-41.46</v>
      </c>
      <c r="H144" s="103">
        <f>VLOOKUP($A144,'OI(Volume)'!$A$7:$O$445,8)</f>
        <v>1216250</v>
      </c>
      <c r="I144" s="103">
        <f>VLOOKUP($A144,'OI(Volume)'!$A$7:$O$445,9)</f>
        <v>225625</v>
      </c>
      <c r="J144" s="103">
        <f>VLOOKUP($A144,'OI(Volume)'!$A$7:$O$445,11)</f>
        <v>550625</v>
      </c>
      <c r="K144" s="103">
        <f>VLOOKUP($A144,'OI(Volume)'!$A$7:$O$445,12)</f>
        <v>10625</v>
      </c>
      <c r="L144" s="103">
        <f>VLOOKUP($A144,'OI(Value)'!$A$7:$O$329,8,0)</f>
        <v>124</v>
      </c>
      <c r="M144" s="103">
        <f>VLOOKUP($A144,'OI(Value)'!$A$7:$O$329,9,0)</f>
        <v>23</v>
      </c>
      <c r="N144" s="103">
        <f>VLOOKUP($A144,'OI(Value)'!$A$7:$O$329,11,0)</f>
        <v>56</v>
      </c>
      <c r="O144" s="103">
        <f>VLOOKUP($A144,'OI(Value)'!$A$7:$O$329,12,0)</f>
        <v>1</v>
      </c>
      <c r="P144" s="179">
        <f>VLOOKUP(A144,'OI(Value)'!A144:O368,8,0)</f>
        <v>124</v>
      </c>
      <c r="Q144" s="179">
        <f>VLOOKUP(A144,'OI(Value)'!A144:O368,9,0)</f>
        <v>23</v>
      </c>
      <c r="R144" s="179">
        <f>VLOOKUP(A144,'OI(Value)'!A144:O368,11,0)</f>
        <v>56</v>
      </c>
      <c r="S144" s="179">
        <f>VLOOKUP(A144,'OI(Value)'!A144:O368,11,0)</f>
        <v>56</v>
      </c>
    </row>
    <row r="145" spans="1:19" x14ac:dyDescent="0.25">
      <c r="A145" s="105" t="str">
        <f>'Data Vlaue (Cr)'!C140</f>
        <v>NATIONALUM</v>
      </c>
      <c r="B145" s="143">
        <f>VLOOKUP($A145,'Data shares'!$C:$FA,118)</f>
        <v>0.56000000000000005</v>
      </c>
      <c r="C145" s="143">
        <f>VLOOKUP($A145,'Data shares'!$C:$FA,119)</f>
        <v>0.57999999999999996</v>
      </c>
      <c r="D145" s="143">
        <f>VLOOKUP($A145,'Data shares'!$C:$FA,121)*100</f>
        <v>-3.45</v>
      </c>
      <c r="E145" s="143">
        <f>VLOOKUP($A145,'Data shares'!$C:$FA,124)</f>
        <v>0.45</v>
      </c>
      <c r="F145" s="143">
        <f>VLOOKUP($A145,'Data shares'!$C:$FA,125)</f>
        <v>0.75</v>
      </c>
      <c r="G145" s="143">
        <f>VLOOKUP($A145,'Data shares'!$C:$FA,127)*100</f>
        <v>-40</v>
      </c>
      <c r="H145" s="103">
        <f>VLOOKUP($A145,'OI(Volume)'!$A$7:$O$445,8)</f>
        <v>28505625</v>
      </c>
      <c r="I145" s="103">
        <f>VLOOKUP($A145,'OI(Volume)'!$A$7:$O$445,9)</f>
        <v>2392500</v>
      </c>
      <c r="J145" s="103">
        <f>VLOOKUP($A145,'OI(Volume)'!$A$7:$O$445,11)</f>
        <v>15856875</v>
      </c>
      <c r="K145" s="103">
        <f>VLOOKUP($A145,'OI(Volume)'!$A$7:$O$445,12)</f>
        <v>793125</v>
      </c>
      <c r="L145" s="103">
        <f>VLOOKUP($A145,'OI(Value)'!$A$7:$O$329,8,0)</f>
        <v>1165</v>
      </c>
      <c r="M145" s="103">
        <f>VLOOKUP($A145,'OI(Value)'!$A$7:$O$329,9,0)</f>
        <v>98</v>
      </c>
      <c r="N145" s="103">
        <f>VLOOKUP($A145,'OI(Value)'!$A$7:$O$329,11,0)</f>
        <v>648</v>
      </c>
      <c r="O145" s="103">
        <f>VLOOKUP($A145,'OI(Value)'!$A$7:$O$329,12,0)</f>
        <v>32</v>
      </c>
      <c r="P145" s="179">
        <f>VLOOKUP(A145,'OI(Value)'!A145:O369,8,0)</f>
        <v>1165</v>
      </c>
      <c r="Q145" s="179">
        <f>VLOOKUP(A145,'OI(Value)'!A145:O369,9,0)</f>
        <v>98</v>
      </c>
      <c r="R145" s="179">
        <f>VLOOKUP(A145,'OI(Value)'!A145:O369,11,0)</f>
        <v>648</v>
      </c>
      <c r="S145" s="179">
        <f>VLOOKUP(A145,'OI(Value)'!A145:O369,11,0)</f>
        <v>648</v>
      </c>
    </row>
    <row r="146" spans="1:19" x14ac:dyDescent="0.25">
      <c r="A146" s="105" t="str">
        <f>'Data Vlaue (Cr)'!C141</f>
        <v>NAUKRI</v>
      </c>
      <c r="B146" s="143">
        <f>VLOOKUP($A146,'Data shares'!$C:$FA,118)</f>
        <v>0.44</v>
      </c>
      <c r="C146" s="143">
        <f>VLOOKUP($A146,'Data shares'!$C:$FA,119)</f>
        <v>0.46</v>
      </c>
      <c r="D146" s="143">
        <f>VLOOKUP($A146,'Data shares'!$C:$FA,121)*100</f>
        <v>-4.3499999999999996</v>
      </c>
      <c r="E146" s="143">
        <f>VLOOKUP($A146,'Data shares'!$C:$FA,124)</f>
        <v>0.25</v>
      </c>
      <c r="F146" s="143">
        <f>VLOOKUP($A146,'Data shares'!$C:$FA,125)</f>
        <v>0.53</v>
      </c>
      <c r="G146" s="143">
        <f>VLOOKUP($A146,'Data shares'!$C:$FA,127)*100</f>
        <v>-52.83</v>
      </c>
      <c r="H146" s="103">
        <f>VLOOKUP($A146,'OI(Volume)'!$A$7:$O$445,8)</f>
        <v>2186625</v>
      </c>
      <c r="I146" s="103">
        <f>VLOOKUP($A146,'OI(Volume)'!$A$7:$O$445,9)</f>
        <v>76875</v>
      </c>
      <c r="J146" s="103">
        <f>VLOOKUP($A146,'OI(Volume)'!$A$7:$O$445,11)</f>
        <v>957000</v>
      </c>
      <c r="K146" s="103">
        <f>VLOOKUP($A146,'OI(Volume)'!$A$7:$O$445,12)</f>
        <v>-21375</v>
      </c>
      <c r="L146" s="103">
        <f>VLOOKUP($A146,'OI(Value)'!$A$7:$O$329,8,0)</f>
        <v>215</v>
      </c>
      <c r="M146" s="103">
        <f>VLOOKUP($A146,'OI(Value)'!$A$7:$O$329,9,0)</f>
        <v>8</v>
      </c>
      <c r="N146" s="103">
        <f>VLOOKUP($A146,'OI(Value)'!$A$7:$O$329,11,0)</f>
        <v>94</v>
      </c>
      <c r="O146" s="103">
        <f>VLOOKUP($A146,'OI(Value)'!$A$7:$O$329,12,0)</f>
        <v>-2</v>
      </c>
      <c r="P146" s="179">
        <f>VLOOKUP(A146,'OI(Value)'!A146:O370,8,0)</f>
        <v>215</v>
      </c>
      <c r="Q146" s="179">
        <f>VLOOKUP(A146,'OI(Value)'!A146:O370,9,0)</f>
        <v>8</v>
      </c>
      <c r="R146" s="179">
        <f>VLOOKUP(A146,'OI(Value)'!A146:O370,11,0)</f>
        <v>94</v>
      </c>
      <c r="S146" s="179">
        <f>VLOOKUP(A146,'OI(Value)'!A146:O370,11,0)</f>
        <v>94</v>
      </c>
    </row>
    <row r="147" spans="1:19" x14ac:dyDescent="0.25">
      <c r="A147" s="105" t="str">
        <f>'Data Vlaue (Cr)'!C142</f>
        <v>NBCC</v>
      </c>
      <c r="B147" s="143">
        <f>VLOOKUP($A147,'Data shares'!$C:$FA,118)</f>
        <v>0.8</v>
      </c>
      <c r="C147" s="143">
        <f>VLOOKUP($A147,'Data shares'!$C:$FA,119)</f>
        <v>0.79</v>
      </c>
      <c r="D147" s="143">
        <f>VLOOKUP($A147,'Data shares'!$C:$FA,121)*100</f>
        <v>1.27</v>
      </c>
      <c r="E147" s="143">
        <f>VLOOKUP($A147,'Data shares'!$C:$FA,124)</f>
        <v>0.57999999999999996</v>
      </c>
      <c r="F147" s="143">
        <f>VLOOKUP($A147,'Data shares'!$C:$FA,125)</f>
        <v>0.61</v>
      </c>
      <c r="G147" s="143">
        <f>VLOOKUP($A147,'Data shares'!$C:$FA,127)*100</f>
        <v>-4.92</v>
      </c>
      <c r="H147" s="103">
        <f>VLOOKUP($A147,'OI(Volume)'!$A$7:$O$445,8)</f>
        <v>14625000</v>
      </c>
      <c r="I147" s="103">
        <f>VLOOKUP($A147,'OI(Volume)'!$A$7:$O$445,9)</f>
        <v>2073500</v>
      </c>
      <c r="J147" s="103">
        <f>VLOOKUP($A147,'OI(Volume)'!$A$7:$O$445,11)</f>
        <v>11713000</v>
      </c>
      <c r="K147" s="103">
        <f>VLOOKUP($A147,'OI(Volume)'!$A$7:$O$445,12)</f>
        <v>1826500</v>
      </c>
      <c r="L147" s="103">
        <f>VLOOKUP($A147,'OI(Value)'!$A$7:$O$329,8,0)</f>
        <v>136</v>
      </c>
      <c r="M147" s="103">
        <f>VLOOKUP($A147,'OI(Value)'!$A$7:$O$329,9,0)</f>
        <v>19</v>
      </c>
      <c r="N147" s="103">
        <f>VLOOKUP($A147,'OI(Value)'!$A$7:$O$329,11,0)</f>
        <v>109</v>
      </c>
      <c r="O147" s="103">
        <f>VLOOKUP($A147,'OI(Value)'!$A$7:$O$329,12,0)</f>
        <v>17</v>
      </c>
      <c r="P147" s="179">
        <f>VLOOKUP(A147,'OI(Value)'!A147:O371,8,0)</f>
        <v>136</v>
      </c>
      <c r="Q147" s="179">
        <f>VLOOKUP(A147,'OI(Value)'!A147:O371,9,0)</f>
        <v>19</v>
      </c>
      <c r="R147" s="179">
        <f>VLOOKUP(A147,'OI(Value)'!A147:O371,11,0)</f>
        <v>109</v>
      </c>
      <c r="S147" s="179">
        <f>VLOOKUP(A147,'OI(Value)'!A147:O371,11,0)</f>
        <v>109</v>
      </c>
    </row>
    <row r="148" spans="1:19" x14ac:dyDescent="0.25">
      <c r="A148" s="105" t="str">
        <f>'Data Vlaue (Cr)'!C143</f>
        <v>NESTLEIND</v>
      </c>
      <c r="B148" s="143">
        <f>VLOOKUP($A148,'Data shares'!$C:$FA,118)</f>
        <v>0.87</v>
      </c>
      <c r="C148" s="143">
        <f>VLOOKUP($A148,'Data shares'!$C:$FA,119)</f>
        <v>0.9</v>
      </c>
      <c r="D148" s="143">
        <f>VLOOKUP($A148,'Data shares'!$C:$FA,121)*100</f>
        <v>-3.3300000000000005</v>
      </c>
      <c r="E148" s="143">
        <f>VLOOKUP($A148,'Data shares'!$C:$FA,124)</f>
        <v>0.6</v>
      </c>
      <c r="F148" s="143">
        <f>VLOOKUP($A148,'Data shares'!$C:$FA,125)</f>
        <v>0.83</v>
      </c>
      <c r="G148" s="143">
        <f>VLOOKUP($A148,'Data shares'!$C:$FA,127)*100</f>
        <v>-27.71</v>
      </c>
      <c r="H148" s="103">
        <f>VLOOKUP($A148,'OI(Volume)'!$A$7:$O$445,8)</f>
        <v>3640500</v>
      </c>
      <c r="I148" s="103">
        <f>VLOOKUP($A148,'OI(Volume)'!$A$7:$O$445,9)</f>
        <v>233000</v>
      </c>
      <c r="J148" s="103">
        <f>VLOOKUP($A148,'OI(Volume)'!$A$7:$O$445,11)</f>
        <v>3171000</v>
      </c>
      <c r="K148" s="103">
        <f>VLOOKUP($A148,'OI(Volume)'!$A$7:$O$445,12)</f>
        <v>94500</v>
      </c>
      <c r="L148" s="103">
        <f>VLOOKUP($A148,'OI(Value)'!$A$7:$O$329,8,0)</f>
        <v>532</v>
      </c>
      <c r="M148" s="103">
        <f>VLOOKUP($A148,'OI(Value)'!$A$7:$O$329,9,0)</f>
        <v>34</v>
      </c>
      <c r="N148" s="103">
        <f>VLOOKUP($A148,'OI(Value)'!$A$7:$O$329,11,0)</f>
        <v>463</v>
      </c>
      <c r="O148" s="103">
        <f>VLOOKUP($A148,'OI(Value)'!$A$7:$O$329,12,0)</f>
        <v>14</v>
      </c>
      <c r="P148" s="179">
        <f>VLOOKUP(A148,'OI(Value)'!A148:O372,8,0)</f>
        <v>532</v>
      </c>
      <c r="Q148" s="179">
        <f>VLOOKUP(A148,'OI(Value)'!A148:O372,9,0)</f>
        <v>34</v>
      </c>
      <c r="R148" s="179">
        <f>VLOOKUP(A148,'OI(Value)'!A148:O372,11,0)</f>
        <v>463</v>
      </c>
      <c r="S148" s="179">
        <f>VLOOKUP(A148,'OI(Value)'!A148:O372,11,0)</f>
        <v>463</v>
      </c>
    </row>
    <row r="149" spans="1:19" x14ac:dyDescent="0.25">
      <c r="A149" s="105" t="str">
        <f>'Data Vlaue (Cr)'!C144</f>
        <v>NHPC</v>
      </c>
      <c r="B149" s="143">
        <f>VLOOKUP($A149,'Data shares'!$C:$FA,118)</f>
        <v>0.56000000000000005</v>
      </c>
      <c r="C149" s="143">
        <f>VLOOKUP($A149,'Data shares'!$C:$FA,119)</f>
        <v>0.56999999999999995</v>
      </c>
      <c r="D149" s="143">
        <f>VLOOKUP($A149,'Data shares'!$C:$FA,121)*100</f>
        <v>-1.7500000000000002</v>
      </c>
      <c r="E149" s="143">
        <f>VLOOKUP($A149,'Data shares'!$C:$FA,124)</f>
        <v>0.37</v>
      </c>
      <c r="F149" s="143">
        <f>VLOOKUP($A149,'Data shares'!$C:$FA,125)</f>
        <v>0.42</v>
      </c>
      <c r="G149" s="143">
        <f>VLOOKUP($A149,'Data shares'!$C:$FA,127)*100</f>
        <v>-11.899999999999999</v>
      </c>
      <c r="H149" s="103">
        <f>VLOOKUP($A149,'OI(Volume)'!$A$7:$O$445,8)</f>
        <v>37696000</v>
      </c>
      <c r="I149" s="103">
        <f>VLOOKUP($A149,'OI(Volume)'!$A$7:$O$445,9)</f>
        <v>4076800</v>
      </c>
      <c r="J149" s="103">
        <f>VLOOKUP($A149,'OI(Volume)'!$A$7:$O$445,11)</f>
        <v>21068800</v>
      </c>
      <c r="K149" s="103">
        <f>VLOOKUP($A149,'OI(Volume)'!$A$7:$O$445,12)</f>
        <v>1971200</v>
      </c>
      <c r="L149" s="103">
        <f>VLOOKUP($A149,'OI(Value)'!$A$7:$O$329,8,0)</f>
        <v>312</v>
      </c>
      <c r="M149" s="103">
        <f>VLOOKUP($A149,'OI(Value)'!$A$7:$O$329,9,0)</f>
        <v>34</v>
      </c>
      <c r="N149" s="103">
        <f>VLOOKUP($A149,'OI(Value)'!$A$7:$O$329,11,0)</f>
        <v>174</v>
      </c>
      <c r="O149" s="103">
        <f>VLOOKUP($A149,'OI(Value)'!$A$7:$O$329,12,0)</f>
        <v>16</v>
      </c>
      <c r="P149" s="179">
        <f>VLOOKUP(A149,'OI(Value)'!A149:O373,8,0)</f>
        <v>312</v>
      </c>
      <c r="Q149" s="179">
        <f>VLOOKUP(A149,'OI(Value)'!A149:O373,9,0)</f>
        <v>34</v>
      </c>
      <c r="R149" s="179">
        <f>VLOOKUP(A149,'OI(Value)'!A149:O373,11,0)</f>
        <v>174</v>
      </c>
      <c r="S149" s="179">
        <f>VLOOKUP(A149,'OI(Value)'!A149:O373,11,0)</f>
        <v>174</v>
      </c>
    </row>
    <row r="150" spans="1:19" x14ac:dyDescent="0.25">
      <c r="A150" s="105" t="str">
        <f>'Data Vlaue (Cr)'!C145</f>
        <v>NIFTY</v>
      </c>
      <c r="B150" s="143">
        <f>VLOOKUP($A150,'Data shares'!$C:$FA,118)</f>
        <v>0.8</v>
      </c>
      <c r="C150" s="143">
        <f>VLOOKUP($A150,'Data shares'!$C:$FA,119)</f>
        <v>0.98</v>
      </c>
      <c r="D150" s="143">
        <f>VLOOKUP($A150,'Data shares'!$C:$FA,121)*100</f>
        <v>-18.37</v>
      </c>
      <c r="E150" s="143">
        <f>VLOOKUP($A150,'Data shares'!$C:$FA,124)</f>
        <v>1.1000000000000001</v>
      </c>
      <c r="F150" s="143">
        <f>VLOOKUP($A150,'Data shares'!$C:$FA,125)</f>
        <v>0.92</v>
      </c>
      <c r="G150" s="143">
        <f>VLOOKUP($A150,'Data shares'!$C:$FA,127)*100</f>
        <v>19.57</v>
      </c>
      <c r="H150" s="103">
        <f>VLOOKUP($A150,'OI(Volume)'!$A$7:$O$445,8)</f>
        <v>301435305</v>
      </c>
      <c r="I150" s="103">
        <f>VLOOKUP($A150,'OI(Volume)'!$A$7:$O$445,9)</f>
        <v>98642785</v>
      </c>
      <c r="J150" s="103">
        <f>VLOOKUP($A150,'OI(Volume)'!$A$7:$O$445,11)</f>
        <v>241488940</v>
      </c>
      <c r="K150" s="103">
        <f>VLOOKUP($A150,'OI(Volume)'!$A$7:$O$445,12)</f>
        <v>42146895</v>
      </c>
      <c r="L150" s="103">
        <f>VLOOKUP($A150,'OI(Value)'!$A$7:$O$329,8,0)</f>
        <v>729654</v>
      </c>
      <c r="M150" s="103">
        <f>VLOOKUP($A150,'OI(Value)'!$A$7:$O$329,9,0)</f>
        <v>238775</v>
      </c>
      <c r="N150" s="103">
        <f>VLOOKUP($A150,'OI(Value)'!$A$7:$O$329,11,0)</f>
        <v>584548</v>
      </c>
      <c r="O150" s="103">
        <f>VLOOKUP($A150,'OI(Value)'!$A$7:$O$329,12,0)</f>
        <v>102021</v>
      </c>
      <c r="P150" s="179">
        <f>VLOOKUP(A150,'OI(Value)'!A150:O374,8,0)</f>
        <v>729654</v>
      </c>
      <c r="Q150" s="179">
        <f>VLOOKUP(A150,'OI(Value)'!A150:O374,9,0)</f>
        <v>238775</v>
      </c>
      <c r="R150" s="179">
        <f>VLOOKUP(A150,'OI(Value)'!A150:O374,11,0)</f>
        <v>584548</v>
      </c>
      <c r="S150" s="179">
        <f>VLOOKUP(A150,'OI(Value)'!A150:O374,11,0)</f>
        <v>584548</v>
      </c>
    </row>
    <row r="151" spans="1:19" x14ac:dyDescent="0.25">
      <c r="A151" s="105" t="str">
        <f>'Data Vlaue (Cr)'!C146</f>
        <v>NIFTYNXT50</v>
      </c>
      <c r="B151" s="143">
        <f>VLOOKUP($A151,'Data shares'!$C:$FA,118)</f>
        <v>0.15</v>
      </c>
      <c r="C151" s="143">
        <f>VLOOKUP($A151,'Data shares'!$C:$FA,119)</f>
        <v>0.23</v>
      </c>
      <c r="D151" s="143">
        <f>VLOOKUP($A151,'Data shares'!$C:$FA,121)*100</f>
        <v>-34.78</v>
      </c>
      <c r="E151" s="143">
        <f>VLOOKUP($A151,'Data shares'!$C:$FA,124)</f>
        <v>0.04</v>
      </c>
      <c r="F151" s="143">
        <f>VLOOKUP($A151,'Data shares'!$C:$FA,125)</f>
        <v>0.47</v>
      </c>
      <c r="G151" s="143">
        <f>VLOOKUP($A151,'Data shares'!$C:$FA,127)*100</f>
        <v>-91.490000000000009</v>
      </c>
      <c r="H151" s="103">
        <f>VLOOKUP($A151,'OI(Volume)'!$A$7:$O$445,8)</f>
        <v>825</v>
      </c>
      <c r="I151" s="103">
        <f>VLOOKUP($A151,'OI(Volume)'!$A$7:$O$445,9)</f>
        <v>500</v>
      </c>
      <c r="J151" s="103">
        <f>VLOOKUP($A151,'OI(Volume)'!$A$7:$O$445,11)</f>
        <v>125</v>
      </c>
      <c r="K151" s="103">
        <f>VLOOKUP($A151,'OI(Volume)'!$A$7:$O$445,12)</f>
        <v>50</v>
      </c>
      <c r="L151" s="103">
        <f>VLOOKUP($A151,'OI(Value)'!$A$7:$O$329,8,0)</f>
        <v>6</v>
      </c>
      <c r="M151" s="103">
        <f>VLOOKUP($A151,'OI(Value)'!$A$7:$O$329,9,0)</f>
        <v>4</v>
      </c>
      <c r="N151" s="103">
        <f>VLOOKUP($A151,'OI(Value)'!$A$7:$O$329,11,0)</f>
        <v>1</v>
      </c>
      <c r="O151" s="103">
        <f>VLOOKUP($A151,'OI(Value)'!$A$7:$O$329,12,0)</f>
        <v>0</v>
      </c>
      <c r="P151" s="179">
        <f>VLOOKUP(A151,'OI(Value)'!A151:O375,8,0)</f>
        <v>6</v>
      </c>
      <c r="Q151" s="179">
        <f>VLOOKUP(A151,'OI(Value)'!A151:O375,9,0)</f>
        <v>4</v>
      </c>
      <c r="R151" s="179">
        <f>VLOOKUP(A151,'OI(Value)'!A151:O375,11,0)</f>
        <v>1</v>
      </c>
      <c r="S151" s="179">
        <f>VLOOKUP(A151,'OI(Value)'!A151:O375,11,0)</f>
        <v>1</v>
      </c>
    </row>
    <row r="152" spans="1:19" x14ac:dyDescent="0.25">
      <c r="A152" s="105" t="str">
        <f>'Data Vlaue (Cr)'!C147</f>
        <v>NMDC</v>
      </c>
      <c r="B152" s="143">
        <f>VLOOKUP($A152,'Data shares'!$C:$FA,118)</f>
        <v>0.49</v>
      </c>
      <c r="C152" s="143">
        <f>VLOOKUP($A152,'Data shares'!$C:$FA,119)</f>
        <v>0.51</v>
      </c>
      <c r="D152" s="143">
        <f>VLOOKUP($A152,'Data shares'!$C:$FA,121)*100</f>
        <v>-3.92</v>
      </c>
      <c r="E152" s="143">
        <f>VLOOKUP($A152,'Data shares'!$C:$FA,124)</f>
        <v>0.38</v>
      </c>
      <c r="F152" s="143">
        <f>VLOOKUP($A152,'Data shares'!$C:$FA,125)</f>
        <v>0.44</v>
      </c>
      <c r="G152" s="143">
        <f>VLOOKUP($A152,'Data shares'!$C:$FA,127)*100</f>
        <v>-13.639999999999999</v>
      </c>
      <c r="H152" s="103">
        <f>VLOOKUP($A152,'OI(Volume)'!$A$7:$O$445,8)</f>
        <v>66116250</v>
      </c>
      <c r="I152" s="103">
        <f>VLOOKUP($A152,'OI(Volume)'!$A$7:$O$445,9)</f>
        <v>6331500</v>
      </c>
      <c r="J152" s="103">
        <f>VLOOKUP($A152,'OI(Volume)'!$A$7:$O$445,11)</f>
        <v>32541750</v>
      </c>
      <c r="K152" s="103">
        <f>VLOOKUP($A152,'OI(Volume)'!$A$7:$O$445,12)</f>
        <v>1809000</v>
      </c>
      <c r="L152" s="103">
        <f>VLOOKUP($A152,'OI(Value)'!$A$7:$O$329,8,0)</f>
        <v>593</v>
      </c>
      <c r="M152" s="103">
        <f>VLOOKUP($A152,'OI(Value)'!$A$7:$O$329,9,0)</f>
        <v>57</v>
      </c>
      <c r="N152" s="103">
        <f>VLOOKUP($A152,'OI(Value)'!$A$7:$O$329,11,0)</f>
        <v>292</v>
      </c>
      <c r="O152" s="103">
        <f>VLOOKUP($A152,'OI(Value)'!$A$7:$O$329,12,0)</f>
        <v>16</v>
      </c>
      <c r="P152" s="179">
        <f>VLOOKUP(A152,'OI(Value)'!A152:O376,8,0)</f>
        <v>593</v>
      </c>
      <c r="Q152" s="179">
        <f>VLOOKUP(A152,'OI(Value)'!A152:O376,9,0)</f>
        <v>57</v>
      </c>
      <c r="R152" s="179">
        <f>VLOOKUP(A152,'OI(Value)'!A152:O376,11,0)</f>
        <v>292</v>
      </c>
      <c r="S152" s="179">
        <f>VLOOKUP(A152,'OI(Value)'!A152:O376,11,0)</f>
        <v>292</v>
      </c>
    </row>
    <row r="153" spans="1:19" x14ac:dyDescent="0.25">
      <c r="A153" s="105" t="str">
        <f>'Data Vlaue (Cr)'!C148</f>
        <v>NTPC</v>
      </c>
      <c r="B153" s="143">
        <f>VLOOKUP($A153,'Data shares'!$C:$FA,118)</f>
        <v>0.43</v>
      </c>
      <c r="C153" s="143">
        <f>VLOOKUP($A153,'Data shares'!$C:$FA,119)</f>
        <v>0.44</v>
      </c>
      <c r="D153" s="143">
        <f>VLOOKUP($A153,'Data shares'!$C:$FA,121)*100</f>
        <v>-2.27</v>
      </c>
      <c r="E153" s="143">
        <f>VLOOKUP($A153,'Data shares'!$C:$FA,124)</f>
        <v>0.39</v>
      </c>
      <c r="F153" s="143">
        <f>VLOOKUP($A153,'Data shares'!$C:$FA,125)</f>
        <v>0.28999999999999998</v>
      </c>
      <c r="G153" s="143">
        <f>VLOOKUP($A153,'Data shares'!$C:$FA,127)*100</f>
        <v>34.479999999999997</v>
      </c>
      <c r="H153" s="103">
        <f>VLOOKUP($A153,'OI(Volume)'!$A$7:$O$445,8)</f>
        <v>31764000</v>
      </c>
      <c r="I153" s="103">
        <f>VLOOKUP($A153,'OI(Volume)'!$A$7:$O$445,9)</f>
        <v>1981500</v>
      </c>
      <c r="J153" s="103">
        <f>VLOOKUP($A153,'OI(Volume)'!$A$7:$O$445,11)</f>
        <v>13584000</v>
      </c>
      <c r="K153" s="103">
        <f>VLOOKUP($A153,'OI(Volume)'!$A$7:$O$445,12)</f>
        <v>600000</v>
      </c>
      <c r="L153" s="103">
        <f>VLOOKUP($A153,'OI(Value)'!$A$7:$O$329,8,0)</f>
        <v>1278</v>
      </c>
      <c r="M153" s="103">
        <f>VLOOKUP($A153,'OI(Value)'!$A$7:$O$329,9,0)</f>
        <v>80</v>
      </c>
      <c r="N153" s="103">
        <f>VLOOKUP($A153,'OI(Value)'!$A$7:$O$329,11,0)</f>
        <v>546</v>
      </c>
      <c r="O153" s="103">
        <f>VLOOKUP($A153,'OI(Value)'!$A$7:$O$329,12,0)</f>
        <v>24</v>
      </c>
      <c r="P153" s="179">
        <f>VLOOKUP(A153,'OI(Value)'!A153:O377,8,0)</f>
        <v>1278</v>
      </c>
      <c r="Q153" s="179">
        <f>VLOOKUP(A153,'OI(Value)'!A153:O377,9,0)</f>
        <v>80</v>
      </c>
      <c r="R153" s="179">
        <f>VLOOKUP(A153,'OI(Value)'!A153:O377,11,0)</f>
        <v>546</v>
      </c>
      <c r="S153" s="179">
        <f>VLOOKUP(A153,'OI(Value)'!A153:O377,11,0)</f>
        <v>546</v>
      </c>
    </row>
    <row r="154" spans="1:19" x14ac:dyDescent="0.25">
      <c r="A154" s="105" t="str">
        <f>'Data Vlaue (Cr)'!C149</f>
        <v>NUVAMA</v>
      </c>
      <c r="B154" s="143">
        <f>VLOOKUP($A154,'Data shares'!$C:$FA,118)</f>
        <v>0.52</v>
      </c>
      <c r="C154" s="143">
        <f>VLOOKUP($A154,'Data shares'!$C:$FA,119)</f>
        <v>0.57999999999999996</v>
      </c>
      <c r="D154" s="143">
        <f>VLOOKUP($A154,'Data shares'!$C:$FA,121)*100</f>
        <v>-10.34</v>
      </c>
      <c r="E154" s="143">
        <f>VLOOKUP($A154,'Data shares'!$C:$FA,124)</f>
        <v>0.23</v>
      </c>
      <c r="F154" s="143">
        <f>VLOOKUP($A154,'Data shares'!$C:$FA,125)</f>
        <v>0.7</v>
      </c>
      <c r="G154" s="143">
        <f>VLOOKUP($A154,'Data shares'!$C:$FA,127)*100</f>
        <v>-67.14</v>
      </c>
      <c r="H154" s="103">
        <f>VLOOKUP($A154,'OI(Volume)'!$A$7:$O$445,8)</f>
        <v>548000</v>
      </c>
      <c r="I154" s="103">
        <f>VLOOKUP($A154,'OI(Volume)'!$A$7:$O$445,9)</f>
        <v>111500</v>
      </c>
      <c r="J154" s="103">
        <f>VLOOKUP($A154,'OI(Volume)'!$A$7:$O$445,11)</f>
        <v>283000</v>
      </c>
      <c r="K154" s="103">
        <f>VLOOKUP($A154,'OI(Volume)'!$A$7:$O$445,12)</f>
        <v>31500</v>
      </c>
      <c r="L154" s="103">
        <f>VLOOKUP($A154,'OI(Value)'!$A$7:$O$329,8,0)</f>
        <v>73</v>
      </c>
      <c r="M154" s="103">
        <f>VLOOKUP($A154,'OI(Value)'!$A$7:$O$329,9,0)</f>
        <v>15</v>
      </c>
      <c r="N154" s="103">
        <f>VLOOKUP($A154,'OI(Value)'!$A$7:$O$329,11,0)</f>
        <v>38</v>
      </c>
      <c r="O154" s="103">
        <f>VLOOKUP($A154,'OI(Value)'!$A$7:$O$329,12,0)</f>
        <v>4</v>
      </c>
      <c r="P154" s="179">
        <f>VLOOKUP(A154,'OI(Value)'!A154:O378,8,0)</f>
        <v>73</v>
      </c>
      <c r="Q154" s="179">
        <f>VLOOKUP(A154,'OI(Value)'!A154:O378,9,0)</f>
        <v>15</v>
      </c>
      <c r="R154" s="179">
        <f>VLOOKUP(A154,'OI(Value)'!A154:O378,11,0)</f>
        <v>38</v>
      </c>
      <c r="S154" s="179">
        <f>VLOOKUP(A154,'OI(Value)'!A154:O378,11,0)</f>
        <v>38</v>
      </c>
    </row>
    <row r="155" spans="1:19" x14ac:dyDescent="0.25">
      <c r="A155" s="105" t="str">
        <f>'Data Vlaue (Cr)'!C150</f>
        <v>NYKAA</v>
      </c>
      <c r="B155" s="143">
        <f>VLOOKUP($A155,'Data shares'!$C:$FA,118)</f>
        <v>0.68</v>
      </c>
      <c r="C155" s="143">
        <f>VLOOKUP($A155,'Data shares'!$C:$FA,119)</f>
        <v>0.82</v>
      </c>
      <c r="D155" s="143">
        <f>VLOOKUP($A155,'Data shares'!$C:$FA,121)*100</f>
        <v>-17.07</v>
      </c>
      <c r="E155" s="143">
        <f>VLOOKUP($A155,'Data shares'!$C:$FA,124)</f>
        <v>0.31</v>
      </c>
      <c r="F155" s="143">
        <f>VLOOKUP($A155,'Data shares'!$C:$FA,125)</f>
        <v>1.1100000000000001</v>
      </c>
      <c r="G155" s="143">
        <f>VLOOKUP($A155,'Data shares'!$C:$FA,127)*100</f>
        <v>-72.070000000000007</v>
      </c>
      <c r="H155" s="103">
        <f>VLOOKUP($A155,'OI(Volume)'!$A$7:$O$445,8)</f>
        <v>4765625</v>
      </c>
      <c r="I155" s="103">
        <f>VLOOKUP($A155,'OI(Volume)'!$A$7:$O$445,9)</f>
        <v>765625</v>
      </c>
      <c r="J155" s="103">
        <f>VLOOKUP($A155,'OI(Volume)'!$A$7:$O$445,11)</f>
        <v>3240625</v>
      </c>
      <c r="K155" s="103">
        <f>VLOOKUP($A155,'OI(Volume)'!$A$7:$O$445,12)</f>
        <v>-46875</v>
      </c>
      <c r="L155" s="103">
        <f>VLOOKUP($A155,'OI(Value)'!$A$7:$O$329,8,0)</f>
        <v>127</v>
      </c>
      <c r="M155" s="103">
        <f>VLOOKUP($A155,'OI(Value)'!$A$7:$O$329,9,0)</f>
        <v>20</v>
      </c>
      <c r="N155" s="103">
        <f>VLOOKUP($A155,'OI(Value)'!$A$7:$O$329,11,0)</f>
        <v>86</v>
      </c>
      <c r="O155" s="103">
        <f>VLOOKUP($A155,'OI(Value)'!$A$7:$O$329,12,0)</f>
        <v>-1</v>
      </c>
      <c r="P155" s="179">
        <f>VLOOKUP(A155,'OI(Value)'!A155:O379,8,0)</f>
        <v>127</v>
      </c>
      <c r="Q155" s="179">
        <f>VLOOKUP(A155,'OI(Value)'!A155:O379,9,0)</f>
        <v>20</v>
      </c>
      <c r="R155" s="179">
        <f>VLOOKUP(A155,'OI(Value)'!A155:O379,11,0)</f>
        <v>86</v>
      </c>
      <c r="S155" s="179">
        <f>VLOOKUP(A155,'OI(Value)'!A155:O379,11,0)</f>
        <v>86</v>
      </c>
    </row>
    <row r="156" spans="1:19" x14ac:dyDescent="0.25">
      <c r="A156" s="105" t="str">
        <f>'Data Vlaue (Cr)'!C151</f>
        <v>OBEROIRLTY</v>
      </c>
      <c r="B156" s="143">
        <f>VLOOKUP($A156,'Data shares'!$C:$FA,118)</f>
        <v>0.35</v>
      </c>
      <c r="C156" s="143">
        <f>VLOOKUP($A156,'Data shares'!$C:$FA,119)</f>
        <v>0.35</v>
      </c>
      <c r="D156" s="143">
        <f>VLOOKUP($A156,'Data shares'!$C:$FA,121)*100</f>
        <v>0</v>
      </c>
      <c r="E156" s="143">
        <f>VLOOKUP($A156,'Data shares'!$C:$FA,124)</f>
        <v>0.3</v>
      </c>
      <c r="F156" s="143">
        <f>VLOOKUP($A156,'Data shares'!$C:$FA,125)</f>
        <v>0.47</v>
      </c>
      <c r="G156" s="143">
        <f>VLOOKUP($A156,'Data shares'!$C:$FA,127)*100</f>
        <v>-36.17</v>
      </c>
      <c r="H156" s="103">
        <f>VLOOKUP($A156,'OI(Volume)'!$A$7:$O$445,8)</f>
        <v>989100</v>
      </c>
      <c r="I156" s="103">
        <f>VLOOKUP($A156,'OI(Volume)'!$A$7:$O$445,9)</f>
        <v>100100</v>
      </c>
      <c r="J156" s="103">
        <f>VLOOKUP($A156,'OI(Volume)'!$A$7:$O$445,11)</f>
        <v>347200</v>
      </c>
      <c r="K156" s="103">
        <f>VLOOKUP($A156,'OI(Volume)'!$A$7:$O$445,12)</f>
        <v>39200</v>
      </c>
      <c r="L156" s="103">
        <f>VLOOKUP($A156,'OI(Value)'!$A$7:$O$329,8,0)</f>
        <v>168</v>
      </c>
      <c r="M156" s="103">
        <f>VLOOKUP($A156,'OI(Value)'!$A$7:$O$329,9,0)</f>
        <v>17</v>
      </c>
      <c r="N156" s="103">
        <f>VLOOKUP($A156,'OI(Value)'!$A$7:$O$329,11,0)</f>
        <v>59</v>
      </c>
      <c r="O156" s="103">
        <f>VLOOKUP($A156,'OI(Value)'!$A$7:$O$329,12,0)</f>
        <v>7</v>
      </c>
      <c r="P156" s="179">
        <f>VLOOKUP(A156,'OI(Value)'!A156:O380,8,0)</f>
        <v>168</v>
      </c>
      <c r="Q156" s="179">
        <f>VLOOKUP(A156,'OI(Value)'!A156:O380,9,0)</f>
        <v>17</v>
      </c>
      <c r="R156" s="179">
        <f>VLOOKUP(A156,'OI(Value)'!A156:O380,11,0)</f>
        <v>59</v>
      </c>
      <c r="S156" s="179">
        <f>VLOOKUP(A156,'OI(Value)'!A156:O380,11,0)</f>
        <v>59</v>
      </c>
    </row>
    <row r="157" spans="1:19" x14ac:dyDescent="0.25">
      <c r="A157" s="105" t="str">
        <f>'Data Vlaue (Cr)'!C152</f>
        <v>OFSS</v>
      </c>
      <c r="B157" s="143">
        <f>VLOOKUP($A157,'Data shares'!$C:$FA,118)</f>
        <v>1</v>
      </c>
      <c r="C157" s="143">
        <f>VLOOKUP($A157,'Data shares'!$C:$FA,119)</f>
        <v>0.97</v>
      </c>
      <c r="D157" s="143">
        <f>VLOOKUP($A157,'Data shares'!$C:$FA,121)*100</f>
        <v>3.09</v>
      </c>
      <c r="E157" s="143">
        <f>VLOOKUP($A157,'Data shares'!$C:$FA,124)</f>
        <v>0.6</v>
      </c>
      <c r="F157" s="143">
        <f>VLOOKUP($A157,'Data shares'!$C:$FA,125)</f>
        <v>0.48</v>
      </c>
      <c r="G157" s="143">
        <f>VLOOKUP($A157,'Data shares'!$C:$FA,127)*100</f>
        <v>25</v>
      </c>
      <c r="H157" s="103">
        <f>VLOOKUP($A157,'OI(Volume)'!$A$7:$O$445,8)</f>
        <v>619575</v>
      </c>
      <c r="I157" s="103">
        <f>VLOOKUP($A157,'OI(Volume)'!$A$7:$O$445,9)</f>
        <v>10800</v>
      </c>
      <c r="J157" s="103">
        <f>VLOOKUP($A157,'OI(Volume)'!$A$7:$O$445,11)</f>
        <v>620025</v>
      </c>
      <c r="K157" s="103">
        <f>VLOOKUP($A157,'OI(Volume)'!$A$7:$O$445,12)</f>
        <v>29400</v>
      </c>
      <c r="L157" s="103">
        <f>VLOOKUP($A157,'OI(Value)'!$A$7:$O$329,8,0)</f>
        <v>597</v>
      </c>
      <c r="M157" s="103">
        <f>VLOOKUP($A157,'OI(Value)'!$A$7:$O$329,9,0)</f>
        <v>10</v>
      </c>
      <c r="N157" s="103">
        <f>VLOOKUP($A157,'OI(Value)'!$A$7:$O$329,11,0)</f>
        <v>597</v>
      </c>
      <c r="O157" s="103">
        <f>VLOOKUP($A157,'OI(Value)'!$A$7:$O$329,12,0)</f>
        <v>28</v>
      </c>
      <c r="P157" s="179">
        <f>VLOOKUP(A157,'OI(Value)'!A157:O381,8,0)</f>
        <v>597</v>
      </c>
      <c r="Q157" s="179">
        <f>VLOOKUP(A157,'OI(Value)'!A157:O381,9,0)</f>
        <v>10</v>
      </c>
      <c r="R157" s="179">
        <f>VLOOKUP(A157,'OI(Value)'!A157:O381,11,0)</f>
        <v>597</v>
      </c>
      <c r="S157" s="179">
        <f>VLOOKUP(A157,'OI(Value)'!A157:O381,11,0)</f>
        <v>597</v>
      </c>
    </row>
    <row r="158" spans="1:19" x14ac:dyDescent="0.25">
      <c r="A158" s="105" t="str">
        <f>'Data Vlaue (Cr)'!C153</f>
        <v>OIL</v>
      </c>
      <c r="B158" s="143">
        <f>VLOOKUP($A158,'Data shares'!$C:$FA,118)</f>
        <v>0.52</v>
      </c>
      <c r="C158" s="143">
        <f>VLOOKUP($A158,'Data shares'!$C:$FA,119)</f>
        <v>0.52</v>
      </c>
      <c r="D158" s="143">
        <f>VLOOKUP($A158,'Data shares'!$C:$FA,121)*100</f>
        <v>0</v>
      </c>
      <c r="E158" s="143">
        <f>VLOOKUP($A158,'Data shares'!$C:$FA,124)</f>
        <v>0.44</v>
      </c>
      <c r="F158" s="143">
        <f>VLOOKUP($A158,'Data shares'!$C:$FA,125)</f>
        <v>0.34</v>
      </c>
      <c r="G158" s="143">
        <f>VLOOKUP($A158,'Data shares'!$C:$FA,127)*100</f>
        <v>29.409999999999997</v>
      </c>
      <c r="H158" s="103">
        <f>VLOOKUP($A158,'OI(Volume)'!$A$7:$O$445,8)</f>
        <v>8514800</v>
      </c>
      <c r="I158" s="103">
        <f>VLOOKUP($A158,'OI(Volume)'!$A$7:$O$445,9)</f>
        <v>590800</v>
      </c>
      <c r="J158" s="103">
        <f>VLOOKUP($A158,'OI(Volume)'!$A$7:$O$445,11)</f>
        <v>4401600</v>
      </c>
      <c r="K158" s="103">
        <f>VLOOKUP($A158,'OI(Volume)'!$A$7:$O$445,12)</f>
        <v>247800</v>
      </c>
      <c r="L158" s="103">
        <f>VLOOKUP($A158,'OI(Value)'!$A$7:$O$329,8,0)</f>
        <v>407</v>
      </c>
      <c r="M158" s="103">
        <f>VLOOKUP($A158,'OI(Value)'!$A$7:$O$329,9,0)</f>
        <v>28</v>
      </c>
      <c r="N158" s="103">
        <f>VLOOKUP($A158,'OI(Value)'!$A$7:$O$329,11,0)</f>
        <v>210</v>
      </c>
      <c r="O158" s="103">
        <f>VLOOKUP($A158,'OI(Value)'!$A$7:$O$329,12,0)</f>
        <v>12</v>
      </c>
      <c r="P158" s="179">
        <f>VLOOKUP(A158,'OI(Value)'!A158:O382,8,0)</f>
        <v>407</v>
      </c>
      <c r="Q158" s="179">
        <f>VLOOKUP(A158,'OI(Value)'!A158:O382,9,0)</f>
        <v>28</v>
      </c>
      <c r="R158" s="179">
        <f>VLOOKUP(A158,'OI(Value)'!A158:O382,11,0)</f>
        <v>210</v>
      </c>
      <c r="S158" s="179">
        <f>VLOOKUP(A158,'OI(Value)'!A158:O382,11,0)</f>
        <v>210</v>
      </c>
    </row>
    <row r="159" spans="1:19" x14ac:dyDescent="0.25">
      <c r="A159" s="105" t="str">
        <f>'Data Vlaue (Cr)'!C154</f>
        <v>ONGC</v>
      </c>
      <c r="B159" s="143">
        <f>VLOOKUP($A159,'Data shares'!$C:$FA,118)</f>
        <v>0.41</v>
      </c>
      <c r="C159" s="143">
        <f>VLOOKUP($A159,'Data shares'!$C:$FA,119)</f>
        <v>0.52</v>
      </c>
      <c r="D159" s="143">
        <f>VLOOKUP($A159,'Data shares'!$C:$FA,121)*100</f>
        <v>-21.15</v>
      </c>
      <c r="E159" s="143">
        <f>VLOOKUP($A159,'Data shares'!$C:$FA,124)</f>
        <v>0.34</v>
      </c>
      <c r="F159" s="143">
        <f>VLOOKUP($A159,'Data shares'!$C:$FA,125)</f>
        <v>0.31</v>
      </c>
      <c r="G159" s="143">
        <f>VLOOKUP($A159,'Data shares'!$C:$FA,127)*100</f>
        <v>9.68</v>
      </c>
      <c r="H159" s="103">
        <f>VLOOKUP($A159,'OI(Volume)'!$A$7:$O$445,8)</f>
        <v>43314750</v>
      </c>
      <c r="I159" s="103">
        <f>VLOOKUP($A159,'OI(Volume)'!$A$7:$O$445,9)</f>
        <v>6036750</v>
      </c>
      <c r="J159" s="103">
        <f>VLOOKUP($A159,'OI(Volume)'!$A$7:$O$445,11)</f>
        <v>17613000</v>
      </c>
      <c r="K159" s="103">
        <f>VLOOKUP($A159,'OI(Volume)'!$A$7:$O$445,12)</f>
        <v>-1658250</v>
      </c>
      <c r="L159" s="103">
        <f>VLOOKUP($A159,'OI(Value)'!$A$7:$O$329,8,0)</f>
        <v>1276</v>
      </c>
      <c r="M159" s="103">
        <f>VLOOKUP($A159,'OI(Value)'!$A$7:$O$329,9,0)</f>
        <v>178</v>
      </c>
      <c r="N159" s="103">
        <f>VLOOKUP($A159,'OI(Value)'!$A$7:$O$329,11,0)</f>
        <v>519</v>
      </c>
      <c r="O159" s="103">
        <f>VLOOKUP($A159,'OI(Value)'!$A$7:$O$329,12,0)</f>
        <v>-49</v>
      </c>
      <c r="P159" s="179">
        <f>VLOOKUP(A159,'OI(Value)'!A159:O383,8,0)</f>
        <v>1276</v>
      </c>
      <c r="Q159" s="179">
        <f>VLOOKUP(A159,'OI(Value)'!A159:O383,9,0)</f>
        <v>178</v>
      </c>
      <c r="R159" s="179">
        <f>VLOOKUP(A159,'OI(Value)'!A159:O383,11,0)</f>
        <v>519</v>
      </c>
      <c r="S159" s="179">
        <f>VLOOKUP(A159,'OI(Value)'!A159:O383,11,0)</f>
        <v>519</v>
      </c>
    </row>
    <row r="160" spans="1:19" x14ac:dyDescent="0.25">
      <c r="A160" s="105" t="str">
        <f>'Data Vlaue (Cr)'!C155</f>
        <v>PAGEIND</v>
      </c>
      <c r="B160" s="143">
        <f>VLOOKUP($A160,'Data shares'!$C:$FA,118)</f>
        <v>0.65</v>
      </c>
      <c r="C160" s="143">
        <f>VLOOKUP($A160,'Data shares'!$C:$FA,119)</f>
        <v>0.56000000000000005</v>
      </c>
      <c r="D160" s="143">
        <f>VLOOKUP($A160,'Data shares'!$C:$FA,121)*100</f>
        <v>16.07</v>
      </c>
      <c r="E160" s="143">
        <f>VLOOKUP($A160,'Data shares'!$C:$FA,124)</f>
        <v>0.48</v>
      </c>
      <c r="F160" s="143">
        <f>VLOOKUP($A160,'Data shares'!$C:$FA,125)</f>
        <v>0.3</v>
      </c>
      <c r="G160" s="143">
        <f>VLOOKUP($A160,'Data shares'!$C:$FA,127)*100</f>
        <v>60</v>
      </c>
      <c r="H160" s="103">
        <f>VLOOKUP($A160,'OI(Volume)'!$A$7:$O$445,8)</f>
        <v>20715</v>
      </c>
      <c r="I160" s="103">
        <f>VLOOKUP($A160,'OI(Volume)'!$A$7:$O$445,9)</f>
        <v>180</v>
      </c>
      <c r="J160" s="103">
        <f>VLOOKUP($A160,'OI(Volume)'!$A$7:$O$445,11)</f>
        <v>13470</v>
      </c>
      <c r="K160" s="103">
        <f>VLOOKUP($A160,'OI(Volume)'!$A$7:$O$445,12)</f>
        <v>1935</v>
      </c>
      <c r="L160" s="103">
        <f>VLOOKUP($A160,'OI(Value)'!$A$7:$O$329,8,0)</f>
        <v>77</v>
      </c>
      <c r="M160" s="103">
        <f>VLOOKUP($A160,'OI(Value)'!$A$7:$O$329,9,0)</f>
        <v>1</v>
      </c>
      <c r="N160" s="103">
        <f>VLOOKUP($A160,'OI(Value)'!$A$7:$O$329,11,0)</f>
        <v>50</v>
      </c>
      <c r="O160" s="103">
        <f>VLOOKUP($A160,'OI(Value)'!$A$7:$O$329,12,0)</f>
        <v>7</v>
      </c>
      <c r="P160" s="179">
        <f>VLOOKUP(A160,'OI(Value)'!A160:O384,8,0)</f>
        <v>77</v>
      </c>
      <c r="Q160" s="179">
        <f>VLOOKUP(A160,'OI(Value)'!A160:O384,9,0)</f>
        <v>1</v>
      </c>
      <c r="R160" s="179">
        <f>VLOOKUP(A160,'OI(Value)'!A160:O384,11,0)</f>
        <v>50</v>
      </c>
      <c r="S160" s="179">
        <f>VLOOKUP(A160,'OI(Value)'!A160:O384,11,0)</f>
        <v>50</v>
      </c>
    </row>
    <row r="161" spans="1:19" x14ac:dyDescent="0.25">
      <c r="A161" s="105" t="str">
        <f>'Data Vlaue (Cr)'!C156</f>
        <v>PATANJALI</v>
      </c>
      <c r="B161" s="143">
        <f>VLOOKUP($A161,'Data shares'!$C:$FA,118)</f>
        <v>0.71</v>
      </c>
      <c r="C161" s="143">
        <f>VLOOKUP($A161,'Data shares'!$C:$FA,119)</f>
        <v>0.8</v>
      </c>
      <c r="D161" s="143">
        <f>VLOOKUP($A161,'Data shares'!$C:$FA,121)*100</f>
        <v>-11.25</v>
      </c>
      <c r="E161" s="143">
        <f>VLOOKUP($A161,'Data shares'!$C:$FA,124)</f>
        <v>0.17</v>
      </c>
      <c r="F161" s="143">
        <f>VLOOKUP($A161,'Data shares'!$C:$FA,125)</f>
        <v>0.32</v>
      </c>
      <c r="G161" s="143">
        <f>VLOOKUP($A161,'Data shares'!$C:$FA,127)*100</f>
        <v>-46.88</v>
      </c>
      <c r="H161" s="103">
        <f>VLOOKUP($A161,'OI(Volume)'!$A$7:$O$445,8)</f>
        <v>4172400</v>
      </c>
      <c r="I161" s="103">
        <f>VLOOKUP($A161,'OI(Volume)'!$A$7:$O$445,9)</f>
        <v>612000</v>
      </c>
      <c r="J161" s="103">
        <f>VLOOKUP($A161,'OI(Volume)'!$A$7:$O$445,11)</f>
        <v>2974500</v>
      </c>
      <c r="K161" s="103">
        <f>VLOOKUP($A161,'OI(Volume)'!$A$7:$O$445,12)</f>
        <v>110700</v>
      </c>
      <c r="L161" s="103">
        <f>VLOOKUP($A161,'OI(Value)'!$A$7:$O$329,8,0)</f>
        <v>191</v>
      </c>
      <c r="M161" s="103">
        <f>VLOOKUP($A161,'OI(Value)'!$A$7:$O$329,9,0)</f>
        <v>28</v>
      </c>
      <c r="N161" s="103">
        <f>VLOOKUP($A161,'OI(Value)'!$A$7:$O$329,11,0)</f>
        <v>136</v>
      </c>
      <c r="O161" s="103">
        <f>VLOOKUP($A161,'OI(Value)'!$A$7:$O$329,12,0)</f>
        <v>5</v>
      </c>
      <c r="P161" s="179">
        <f>VLOOKUP(A161,'OI(Value)'!A161:O385,8,0)</f>
        <v>191</v>
      </c>
      <c r="Q161" s="179">
        <f>VLOOKUP(A161,'OI(Value)'!A161:O385,9,0)</f>
        <v>28</v>
      </c>
      <c r="R161" s="179">
        <f>VLOOKUP(A161,'OI(Value)'!A161:O385,11,0)</f>
        <v>136</v>
      </c>
      <c r="S161" s="179">
        <f>VLOOKUP(A161,'OI(Value)'!A161:O385,11,0)</f>
        <v>136</v>
      </c>
    </row>
    <row r="162" spans="1:19" x14ac:dyDescent="0.25">
      <c r="A162" s="105" t="str">
        <f>'Data Vlaue (Cr)'!C157</f>
        <v>PAYTM</v>
      </c>
      <c r="B162" s="143">
        <f>VLOOKUP($A162,'Data shares'!$C:$FA,118)</f>
        <v>1.01</v>
      </c>
      <c r="C162" s="143">
        <f>VLOOKUP($A162,'Data shares'!$C:$FA,119)</f>
        <v>1.1100000000000001</v>
      </c>
      <c r="D162" s="143">
        <f>VLOOKUP($A162,'Data shares'!$C:$FA,121)*100</f>
        <v>-9.01</v>
      </c>
      <c r="E162" s="143">
        <f>VLOOKUP($A162,'Data shares'!$C:$FA,124)</f>
        <v>0.86</v>
      </c>
      <c r="F162" s="143">
        <f>VLOOKUP($A162,'Data shares'!$C:$FA,125)</f>
        <v>1.1200000000000001</v>
      </c>
      <c r="G162" s="143">
        <f>VLOOKUP($A162,'Data shares'!$C:$FA,127)*100</f>
        <v>-23.21</v>
      </c>
      <c r="H162" s="103">
        <f>VLOOKUP($A162,'OI(Volume)'!$A$7:$O$445,8)</f>
        <v>5204775</v>
      </c>
      <c r="I162" s="103">
        <f>VLOOKUP($A162,'OI(Volume)'!$A$7:$O$445,9)</f>
        <v>577825</v>
      </c>
      <c r="J162" s="103">
        <f>VLOOKUP($A162,'OI(Volume)'!$A$7:$O$445,11)</f>
        <v>5268575</v>
      </c>
      <c r="K162" s="103">
        <f>VLOOKUP($A162,'OI(Volume)'!$A$7:$O$445,12)</f>
        <v>155150</v>
      </c>
      <c r="L162" s="103">
        <f>VLOOKUP($A162,'OI(Value)'!$A$7:$O$329,8,0)</f>
        <v>583</v>
      </c>
      <c r="M162" s="103">
        <f>VLOOKUP($A162,'OI(Value)'!$A$7:$O$329,9,0)</f>
        <v>65</v>
      </c>
      <c r="N162" s="103">
        <f>VLOOKUP($A162,'OI(Value)'!$A$7:$O$329,11,0)</f>
        <v>590</v>
      </c>
      <c r="O162" s="103">
        <f>VLOOKUP($A162,'OI(Value)'!$A$7:$O$329,12,0)</f>
        <v>17</v>
      </c>
      <c r="P162" s="179">
        <f>VLOOKUP(A162,'OI(Value)'!A162:O386,8,0)</f>
        <v>583</v>
      </c>
      <c r="Q162" s="179">
        <f>VLOOKUP(A162,'OI(Value)'!A162:O386,9,0)</f>
        <v>65</v>
      </c>
      <c r="R162" s="179">
        <f>VLOOKUP(A162,'OI(Value)'!A162:O386,11,0)</f>
        <v>590</v>
      </c>
      <c r="S162" s="179">
        <f>VLOOKUP(A162,'OI(Value)'!A162:O386,11,0)</f>
        <v>590</v>
      </c>
    </row>
    <row r="163" spans="1:19" x14ac:dyDescent="0.25">
      <c r="A163" s="105" t="str">
        <f>'Data Vlaue (Cr)'!C158</f>
        <v>PERSISTENT</v>
      </c>
      <c r="B163" s="143">
        <f>VLOOKUP($A163,'Data shares'!$C:$FA,118)</f>
        <v>0.6</v>
      </c>
      <c r="C163" s="143">
        <f>VLOOKUP($A163,'Data shares'!$C:$FA,119)</f>
        <v>0.62</v>
      </c>
      <c r="D163" s="143">
        <f>VLOOKUP($A163,'Data shares'!$C:$FA,121)*100</f>
        <v>-3.2300000000000004</v>
      </c>
      <c r="E163" s="143">
        <f>VLOOKUP($A163,'Data shares'!$C:$FA,124)</f>
        <v>0.49</v>
      </c>
      <c r="F163" s="143">
        <f>VLOOKUP($A163,'Data shares'!$C:$FA,125)</f>
        <v>0.5</v>
      </c>
      <c r="G163" s="143">
        <f>VLOOKUP($A163,'Data shares'!$C:$FA,127)*100</f>
        <v>-2</v>
      </c>
      <c r="H163" s="103">
        <f>VLOOKUP($A163,'OI(Volume)'!$A$7:$O$445,8)</f>
        <v>1511400</v>
      </c>
      <c r="I163" s="103">
        <f>VLOOKUP($A163,'OI(Volume)'!$A$7:$O$445,9)</f>
        <v>103400</v>
      </c>
      <c r="J163" s="103">
        <f>VLOOKUP($A163,'OI(Volume)'!$A$7:$O$445,11)</f>
        <v>906400</v>
      </c>
      <c r="K163" s="103">
        <f>VLOOKUP($A163,'OI(Volume)'!$A$7:$O$445,12)</f>
        <v>39900</v>
      </c>
      <c r="L163" s="103">
        <f>VLOOKUP($A163,'OI(Value)'!$A$7:$O$329,8,0)</f>
        <v>727</v>
      </c>
      <c r="M163" s="103">
        <f>VLOOKUP($A163,'OI(Value)'!$A$7:$O$329,9,0)</f>
        <v>50</v>
      </c>
      <c r="N163" s="103">
        <f>VLOOKUP($A163,'OI(Value)'!$A$7:$O$329,11,0)</f>
        <v>436</v>
      </c>
      <c r="O163" s="103">
        <f>VLOOKUP($A163,'OI(Value)'!$A$7:$O$329,12,0)</f>
        <v>19</v>
      </c>
      <c r="P163" s="179">
        <f>VLOOKUP(A163,'OI(Value)'!A163:O387,8,0)</f>
        <v>727</v>
      </c>
      <c r="Q163" s="179">
        <f>VLOOKUP(A163,'OI(Value)'!A163:O387,9,0)</f>
        <v>50</v>
      </c>
      <c r="R163" s="179">
        <f>VLOOKUP(A163,'OI(Value)'!A163:O387,11,0)</f>
        <v>436</v>
      </c>
      <c r="S163" s="179">
        <f>VLOOKUP(A163,'OI(Value)'!A163:O387,11,0)</f>
        <v>436</v>
      </c>
    </row>
    <row r="164" spans="1:19" x14ac:dyDescent="0.25">
      <c r="A164" s="105" t="str">
        <f>'Data Vlaue (Cr)'!C159</f>
        <v>PETRONET</v>
      </c>
      <c r="B164" s="143">
        <f>VLOOKUP($A164,'Data shares'!$C:$FA,118)</f>
        <v>1.17</v>
      </c>
      <c r="C164" s="143">
        <f>VLOOKUP($A164,'Data shares'!$C:$FA,119)</f>
        <v>1.1599999999999999</v>
      </c>
      <c r="D164" s="143">
        <f>VLOOKUP($A164,'Data shares'!$C:$FA,121)*100</f>
        <v>0.86</v>
      </c>
      <c r="E164" s="143">
        <f>VLOOKUP($A164,'Data shares'!$C:$FA,124)</f>
        <v>0.84</v>
      </c>
      <c r="F164" s="143">
        <f>VLOOKUP($A164,'Data shares'!$C:$FA,125)</f>
        <v>0.66</v>
      </c>
      <c r="G164" s="143">
        <f>VLOOKUP($A164,'Data shares'!$C:$FA,127)*100</f>
        <v>27.27</v>
      </c>
      <c r="H164" s="103">
        <f>VLOOKUP($A164,'OI(Volume)'!$A$7:$O$445,8)</f>
        <v>7888800</v>
      </c>
      <c r="I164" s="103">
        <f>VLOOKUP($A164,'OI(Volume)'!$A$7:$O$445,9)</f>
        <v>1822100</v>
      </c>
      <c r="J164" s="103">
        <f>VLOOKUP($A164,'OI(Volume)'!$A$7:$O$445,11)</f>
        <v>9264400</v>
      </c>
      <c r="K164" s="103">
        <f>VLOOKUP($A164,'OI(Volume)'!$A$7:$O$445,12)</f>
        <v>2213500</v>
      </c>
      <c r="L164" s="103">
        <f>VLOOKUP($A164,'OI(Value)'!$A$7:$O$329,8,0)</f>
        <v>220</v>
      </c>
      <c r="M164" s="103">
        <f>VLOOKUP($A164,'OI(Value)'!$A$7:$O$329,9,0)</f>
        <v>51</v>
      </c>
      <c r="N164" s="103">
        <f>VLOOKUP($A164,'OI(Value)'!$A$7:$O$329,11,0)</f>
        <v>258</v>
      </c>
      <c r="O164" s="103">
        <f>VLOOKUP($A164,'OI(Value)'!$A$7:$O$329,12,0)</f>
        <v>62</v>
      </c>
      <c r="P164" s="179">
        <f>VLOOKUP(A164,'OI(Value)'!A164:O388,8,0)</f>
        <v>220</v>
      </c>
      <c r="Q164" s="179">
        <f>VLOOKUP(A164,'OI(Value)'!A164:O388,9,0)</f>
        <v>51</v>
      </c>
      <c r="R164" s="179">
        <f>VLOOKUP(A164,'OI(Value)'!A164:O388,11,0)</f>
        <v>258</v>
      </c>
      <c r="S164" s="179">
        <f>VLOOKUP(A164,'OI(Value)'!A164:O388,11,0)</f>
        <v>258</v>
      </c>
    </row>
    <row r="165" spans="1:19" x14ac:dyDescent="0.25">
      <c r="A165" s="105" t="str">
        <f>'Data Vlaue (Cr)'!C160</f>
        <v>PFC</v>
      </c>
      <c r="B165" s="143">
        <f>VLOOKUP($A165,'Data shares'!$C:$FA,118)</f>
        <v>0.56000000000000005</v>
      </c>
      <c r="C165" s="143">
        <f>VLOOKUP($A165,'Data shares'!$C:$FA,119)</f>
        <v>0.56000000000000005</v>
      </c>
      <c r="D165" s="143">
        <f>VLOOKUP($A165,'Data shares'!$C:$FA,121)*100</f>
        <v>0</v>
      </c>
      <c r="E165" s="143">
        <f>VLOOKUP($A165,'Data shares'!$C:$FA,124)</f>
        <v>0.47</v>
      </c>
      <c r="F165" s="143">
        <f>VLOOKUP($A165,'Data shares'!$C:$FA,125)</f>
        <v>0.62</v>
      </c>
      <c r="G165" s="143">
        <f>VLOOKUP($A165,'Data shares'!$C:$FA,127)*100</f>
        <v>-24.19</v>
      </c>
      <c r="H165" s="103">
        <f>VLOOKUP($A165,'OI(Volume)'!$A$7:$O$445,8)</f>
        <v>19344000</v>
      </c>
      <c r="I165" s="103">
        <f>VLOOKUP($A165,'OI(Volume)'!$A$7:$O$445,9)</f>
        <v>1498900</v>
      </c>
      <c r="J165" s="103">
        <f>VLOOKUP($A165,'OI(Volume)'!$A$7:$O$445,11)</f>
        <v>10749700</v>
      </c>
      <c r="K165" s="103">
        <f>VLOOKUP($A165,'OI(Volume)'!$A$7:$O$445,12)</f>
        <v>696800</v>
      </c>
      <c r="L165" s="103">
        <f>VLOOKUP($A165,'OI(Value)'!$A$7:$O$329,8,0)</f>
        <v>870</v>
      </c>
      <c r="M165" s="103">
        <f>VLOOKUP($A165,'OI(Value)'!$A$7:$O$329,9,0)</f>
        <v>67</v>
      </c>
      <c r="N165" s="103">
        <f>VLOOKUP($A165,'OI(Value)'!$A$7:$O$329,11,0)</f>
        <v>483</v>
      </c>
      <c r="O165" s="103">
        <f>VLOOKUP($A165,'OI(Value)'!$A$7:$O$329,12,0)</f>
        <v>31</v>
      </c>
      <c r="P165" s="179">
        <f>VLOOKUP(A165,'OI(Value)'!A165:O389,8,0)</f>
        <v>870</v>
      </c>
      <c r="Q165" s="179">
        <f>VLOOKUP(A165,'OI(Value)'!A165:O389,9,0)</f>
        <v>67</v>
      </c>
      <c r="R165" s="179">
        <f>VLOOKUP(A165,'OI(Value)'!A165:O389,11,0)</f>
        <v>483</v>
      </c>
      <c r="S165" s="179">
        <f>VLOOKUP(A165,'OI(Value)'!A165:O389,11,0)</f>
        <v>483</v>
      </c>
    </row>
    <row r="166" spans="1:19" x14ac:dyDescent="0.25">
      <c r="A166" s="105" t="str">
        <f>'Data Vlaue (Cr)'!C161</f>
        <v>PGEL</v>
      </c>
      <c r="B166" s="143">
        <f>VLOOKUP($A166,'Data shares'!$C:$FA,118)</f>
        <v>0.96</v>
      </c>
      <c r="C166" s="143">
        <f>VLOOKUP($A166,'Data shares'!$C:$FA,119)</f>
        <v>0.97</v>
      </c>
      <c r="D166" s="143">
        <f>VLOOKUP($A166,'Data shares'!$C:$FA,121)*100</f>
        <v>-1.03</v>
      </c>
      <c r="E166" s="143">
        <f>VLOOKUP($A166,'Data shares'!$C:$FA,124)</f>
        <v>0.49</v>
      </c>
      <c r="F166" s="143">
        <f>VLOOKUP($A166,'Data shares'!$C:$FA,125)</f>
        <v>0.87</v>
      </c>
      <c r="G166" s="143">
        <f>VLOOKUP($A166,'Data shares'!$C:$FA,127)*100</f>
        <v>-43.68</v>
      </c>
      <c r="H166" s="103">
        <f>VLOOKUP($A166,'OI(Volume)'!$A$7:$O$445,8)</f>
        <v>3666050</v>
      </c>
      <c r="I166" s="103">
        <f>VLOOKUP($A166,'OI(Volume)'!$A$7:$O$445,9)</f>
        <v>326800</v>
      </c>
      <c r="J166" s="103">
        <f>VLOOKUP($A166,'OI(Volume)'!$A$7:$O$445,11)</f>
        <v>3504550</v>
      </c>
      <c r="K166" s="103">
        <f>VLOOKUP($A166,'OI(Volume)'!$A$7:$O$445,12)</f>
        <v>249850</v>
      </c>
      <c r="L166" s="103">
        <f>VLOOKUP($A166,'OI(Value)'!$A$7:$O$329,8,0)</f>
        <v>197</v>
      </c>
      <c r="M166" s="103">
        <f>VLOOKUP($A166,'OI(Value)'!$A$7:$O$329,9,0)</f>
        <v>18</v>
      </c>
      <c r="N166" s="103">
        <f>VLOOKUP($A166,'OI(Value)'!$A$7:$O$329,11,0)</f>
        <v>188</v>
      </c>
      <c r="O166" s="103">
        <f>VLOOKUP($A166,'OI(Value)'!$A$7:$O$329,12,0)</f>
        <v>13</v>
      </c>
      <c r="P166" s="179">
        <f>VLOOKUP(A166,'OI(Value)'!A166:O390,8,0)</f>
        <v>197</v>
      </c>
      <c r="Q166" s="179">
        <f>VLOOKUP(A166,'OI(Value)'!A166:O390,9,0)</f>
        <v>18</v>
      </c>
      <c r="R166" s="179">
        <f>VLOOKUP(A166,'OI(Value)'!A166:O390,11,0)</f>
        <v>188</v>
      </c>
      <c r="S166" s="179">
        <f>VLOOKUP(A166,'OI(Value)'!A166:O390,11,0)</f>
        <v>188</v>
      </c>
    </row>
    <row r="167" spans="1:19" x14ac:dyDescent="0.25">
      <c r="A167" s="105" t="str">
        <f>'Data Vlaue (Cr)'!C162</f>
        <v>PHOENIXLTD</v>
      </c>
      <c r="B167" s="143">
        <f>VLOOKUP($A167,'Data shares'!$C:$FA,118)</f>
        <v>0.75</v>
      </c>
      <c r="C167" s="143">
        <f>VLOOKUP($A167,'Data shares'!$C:$FA,119)</f>
        <v>0.73</v>
      </c>
      <c r="D167" s="143">
        <f>VLOOKUP($A167,'Data shares'!$C:$FA,121)*100</f>
        <v>2.74</v>
      </c>
      <c r="E167" s="143">
        <f>VLOOKUP($A167,'Data shares'!$C:$FA,124)</f>
        <v>0.43</v>
      </c>
      <c r="F167" s="143">
        <f>VLOOKUP($A167,'Data shares'!$C:$FA,125)</f>
        <v>1.0900000000000001</v>
      </c>
      <c r="G167" s="143">
        <f>VLOOKUP($A167,'Data shares'!$C:$FA,127)*100</f>
        <v>-60.550000000000004</v>
      </c>
      <c r="H167" s="103">
        <f>VLOOKUP($A167,'OI(Volume)'!$A$7:$O$445,8)</f>
        <v>914900</v>
      </c>
      <c r="I167" s="103">
        <f>VLOOKUP($A167,'OI(Volume)'!$A$7:$O$445,9)</f>
        <v>-4550</v>
      </c>
      <c r="J167" s="103">
        <f>VLOOKUP($A167,'OI(Volume)'!$A$7:$O$445,11)</f>
        <v>683550</v>
      </c>
      <c r="K167" s="103">
        <f>VLOOKUP($A167,'OI(Volume)'!$A$7:$O$445,12)</f>
        <v>9450</v>
      </c>
      <c r="L167" s="103">
        <f>VLOOKUP($A167,'OI(Value)'!$A$7:$O$329,8,0)</f>
        <v>164</v>
      </c>
      <c r="M167" s="103">
        <f>VLOOKUP($A167,'OI(Value)'!$A$7:$O$329,9,0)</f>
        <v>-1</v>
      </c>
      <c r="N167" s="103">
        <f>VLOOKUP($A167,'OI(Value)'!$A$7:$O$329,11,0)</f>
        <v>123</v>
      </c>
      <c r="O167" s="103">
        <f>VLOOKUP($A167,'OI(Value)'!$A$7:$O$329,12,0)</f>
        <v>2</v>
      </c>
      <c r="P167" s="179">
        <f>VLOOKUP(A167,'OI(Value)'!A167:O391,8,0)</f>
        <v>164</v>
      </c>
      <c r="Q167" s="179">
        <f>VLOOKUP(A167,'OI(Value)'!A167:O391,9,0)</f>
        <v>-1</v>
      </c>
      <c r="R167" s="179">
        <f>VLOOKUP(A167,'OI(Value)'!A167:O391,11,0)</f>
        <v>123</v>
      </c>
      <c r="S167" s="179">
        <f>VLOOKUP(A167,'OI(Value)'!A167:O391,11,0)</f>
        <v>123</v>
      </c>
    </row>
    <row r="168" spans="1:19" x14ac:dyDescent="0.25">
      <c r="A168" s="105" t="str">
        <f>'Data Vlaue (Cr)'!C163</f>
        <v>PIDILITIND</v>
      </c>
      <c r="B168" s="143">
        <f>VLOOKUP($A168,'Data shares'!$C:$FA,118)</f>
        <v>0.65</v>
      </c>
      <c r="C168" s="143">
        <f>VLOOKUP($A168,'Data shares'!$C:$FA,119)</f>
        <v>0.7</v>
      </c>
      <c r="D168" s="143">
        <f>VLOOKUP($A168,'Data shares'!$C:$FA,121)*100</f>
        <v>-7.1400000000000006</v>
      </c>
      <c r="E168" s="143">
        <f>VLOOKUP($A168,'Data shares'!$C:$FA,124)</f>
        <v>0.51</v>
      </c>
      <c r="F168" s="143">
        <f>VLOOKUP($A168,'Data shares'!$C:$FA,125)</f>
        <v>0.67</v>
      </c>
      <c r="G168" s="143">
        <f>VLOOKUP($A168,'Data shares'!$C:$FA,127)*100</f>
        <v>-23.880000000000003</v>
      </c>
      <c r="H168" s="103">
        <f>VLOOKUP($A168,'OI(Volume)'!$A$7:$O$445,8)</f>
        <v>1002000</v>
      </c>
      <c r="I168" s="103">
        <f>VLOOKUP($A168,'OI(Volume)'!$A$7:$O$445,9)</f>
        <v>267000</v>
      </c>
      <c r="J168" s="103">
        <f>VLOOKUP($A168,'OI(Volume)'!$A$7:$O$445,11)</f>
        <v>656000</v>
      </c>
      <c r="K168" s="103">
        <f>VLOOKUP($A168,'OI(Volume)'!$A$7:$O$445,12)</f>
        <v>145000</v>
      </c>
      <c r="L168" s="103">
        <f>VLOOKUP($A168,'OI(Value)'!$A$7:$O$329,8,0)</f>
        <v>138</v>
      </c>
      <c r="M168" s="103">
        <f>VLOOKUP($A168,'OI(Value)'!$A$7:$O$329,9,0)</f>
        <v>37</v>
      </c>
      <c r="N168" s="103">
        <f>VLOOKUP($A168,'OI(Value)'!$A$7:$O$329,11,0)</f>
        <v>90</v>
      </c>
      <c r="O168" s="103">
        <f>VLOOKUP($A168,'OI(Value)'!$A$7:$O$329,12,0)</f>
        <v>20</v>
      </c>
      <c r="P168" s="179">
        <f>VLOOKUP(A168,'OI(Value)'!A168:O392,8,0)</f>
        <v>138</v>
      </c>
      <c r="Q168" s="179">
        <f>VLOOKUP(A168,'OI(Value)'!A168:O392,9,0)</f>
        <v>37</v>
      </c>
      <c r="R168" s="179">
        <f>VLOOKUP(A168,'OI(Value)'!A168:O392,11,0)</f>
        <v>90</v>
      </c>
      <c r="S168" s="179">
        <f>VLOOKUP(A168,'OI(Value)'!A168:O392,11,0)</f>
        <v>90</v>
      </c>
    </row>
    <row r="169" spans="1:19" x14ac:dyDescent="0.25">
      <c r="A169" s="105" t="str">
        <f>'Data Vlaue (Cr)'!C164</f>
        <v>PIIND</v>
      </c>
      <c r="B169" s="143">
        <f>VLOOKUP($A169,'Data shares'!$C:$FA,118)</f>
        <v>0.57999999999999996</v>
      </c>
      <c r="C169" s="143">
        <f>VLOOKUP($A169,'Data shares'!$C:$FA,119)</f>
        <v>0.56000000000000005</v>
      </c>
      <c r="D169" s="143">
        <f>VLOOKUP($A169,'Data shares'!$C:$FA,121)*100</f>
        <v>3.5700000000000003</v>
      </c>
      <c r="E169" s="143">
        <f>VLOOKUP($A169,'Data shares'!$C:$FA,124)</f>
        <v>0.24</v>
      </c>
      <c r="F169" s="143">
        <f>VLOOKUP($A169,'Data shares'!$C:$FA,125)</f>
        <v>0.22</v>
      </c>
      <c r="G169" s="143">
        <f>VLOOKUP($A169,'Data shares'!$C:$FA,127)*100</f>
        <v>9.09</v>
      </c>
      <c r="H169" s="103">
        <f>VLOOKUP($A169,'OI(Volume)'!$A$7:$O$445,8)</f>
        <v>884450</v>
      </c>
      <c r="I169" s="103">
        <f>VLOOKUP($A169,'OI(Volume)'!$A$7:$O$445,9)</f>
        <v>57400</v>
      </c>
      <c r="J169" s="103">
        <f>VLOOKUP($A169,'OI(Volume)'!$A$7:$O$445,11)</f>
        <v>512225</v>
      </c>
      <c r="K169" s="103">
        <f>VLOOKUP($A169,'OI(Volume)'!$A$7:$O$445,12)</f>
        <v>51100</v>
      </c>
      <c r="L169" s="103">
        <f>VLOOKUP($A169,'OI(Value)'!$A$7:$O$329,8,0)</f>
        <v>271</v>
      </c>
      <c r="M169" s="103">
        <f>VLOOKUP($A169,'OI(Value)'!$A$7:$O$329,9,0)</f>
        <v>18</v>
      </c>
      <c r="N169" s="103">
        <f>VLOOKUP($A169,'OI(Value)'!$A$7:$O$329,11,0)</f>
        <v>157</v>
      </c>
      <c r="O169" s="103">
        <f>VLOOKUP($A169,'OI(Value)'!$A$7:$O$329,12,0)</f>
        <v>16</v>
      </c>
      <c r="P169" s="179">
        <f>VLOOKUP(A169,'OI(Value)'!A169:O393,8,0)</f>
        <v>271</v>
      </c>
      <c r="Q169" s="179">
        <f>VLOOKUP(A169,'OI(Value)'!A169:O393,9,0)</f>
        <v>18</v>
      </c>
      <c r="R169" s="179">
        <f>VLOOKUP(A169,'OI(Value)'!A169:O393,11,0)</f>
        <v>157</v>
      </c>
      <c r="S169" s="179">
        <f>VLOOKUP(A169,'OI(Value)'!A169:O393,11,0)</f>
        <v>157</v>
      </c>
    </row>
    <row r="170" spans="1:19" x14ac:dyDescent="0.25">
      <c r="A170" s="105" t="str">
        <f>'Data Vlaue (Cr)'!C165</f>
        <v>PNB</v>
      </c>
      <c r="B170" s="143">
        <f>VLOOKUP($A170,'Data shares'!$C:$FA,118)</f>
        <v>0.82</v>
      </c>
      <c r="C170" s="143">
        <f>VLOOKUP($A170,'Data shares'!$C:$FA,119)</f>
        <v>0.83</v>
      </c>
      <c r="D170" s="143">
        <f>VLOOKUP($A170,'Data shares'!$C:$FA,121)*100</f>
        <v>-1.2</v>
      </c>
      <c r="E170" s="143">
        <f>VLOOKUP($A170,'Data shares'!$C:$FA,124)</f>
        <v>0.64</v>
      </c>
      <c r="F170" s="143">
        <f>VLOOKUP($A170,'Data shares'!$C:$FA,125)</f>
        <v>0.64</v>
      </c>
      <c r="G170" s="143">
        <f>VLOOKUP($A170,'Data shares'!$C:$FA,127)*100</f>
        <v>0</v>
      </c>
      <c r="H170" s="103">
        <f>VLOOKUP($A170,'OI(Volume)'!$A$7:$O$445,8)</f>
        <v>70592000</v>
      </c>
      <c r="I170" s="103">
        <f>VLOOKUP($A170,'OI(Volume)'!$A$7:$O$445,9)</f>
        <v>7720000</v>
      </c>
      <c r="J170" s="103">
        <f>VLOOKUP($A170,'OI(Volume)'!$A$7:$O$445,11)</f>
        <v>57592000</v>
      </c>
      <c r="K170" s="103">
        <f>VLOOKUP($A170,'OI(Volume)'!$A$7:$O$445,12)</f>
        <v>5344000</v>
      </c>
      <c r="L170" s="103">
        <f>VLOOKUP($A170,'OI(Value)'!$A$7:$O$329,8,0)</f>
        <v>771</v>
      </c>
      <c r="M170" s="103">
        <f>VLOOKUP($A170,'OI(Value)'!$A$7:$O$329,9,0)</f>
        <v>84</v>
      </c>
      <c r="N170" s="103">
        <f>VLOOKUP($A170,'OI(Value)'!$A$7:$O$329,11,0)</f>
        <v>629</v>
      </c>
      <c r="O170" s="103">
        <f>VLOOKUP($A170,'OI(Value)'!$A$7:$O$329,12,0)</f>
        <v>58</v>
      </c>
      <c r="P170" s="179">
        <f>VLOOKUP(A170,'OI(Value)'!A170:O394,8,0)</f>
        <v>771</v>
      </c>
      <c r="Q170" s="179">
        <f>VLOOKUP(A170,'OI(Value)'!A170:O394,9,0)</f>
        <v>84</v>
      </c>
      <c r="R170" s="179">
        <f>VLOOKUP(A170,'OI(Value)'!A170:O394,11,0)</f>
        <v>629</v>
      </c>
      <c r="S170" s="179">
        <f>VLOOKUP(A170,'OI(Value)'!A170:O394,11,0)</f>
        <v>629</v>
      </c>
    </row>
    <row r="171" spans="1:19" x14ac:dyDescent="0.25">
      <c r="A171" s="105" t="str">
        <f>'Data Vlaue (Cr)'!C166</f>
        <v>PNBHOUSING</v>
      </c>
      <c r="B171" s="143">
        <f>VLOOKUP($A171,'Data shares'!$C:$FA,118)</f>
        <v>0.78</v>
      </c>
      <c r="C171" s="143">
        <f>VLOOKUP($A171,'Data shares'!$C:$FA,119)</f>
        <v>0.78</v>
      </c>
      <c r="D171" s="143">
        <f>VLOOKUP($A171,'Data shares'!$C:$FA,121)*100</f>
        <v>0</v>
      </c>
      <c r="E171" s="143">
        <f>VLOOKUP($A171,'Data shares'!$C:$FA,124)</f>
        <v>0.55000000000000004</v>
      </c>
      <c r="F171" s="143">
        <f>VLOOKUP($A171,'Data shares'!$C:$FA,125)</f>
        <v>0.81</v>
      </c>
      <c r="G171" s="143">
        <f>VLOOKUP($A171,'Data shares'!$C:$FA,127)*100</f>
        <v>-32.1</v>
      </c>
      <c r="H171" s="103">
        <f>VLOOKUP($A171,'OI(Volume)'!$A$7:$O$445,8)</f>
        <v>1641250</v>
      </c>
      <c r="I171" s="103">
        <f>VLOOKUP($A171,'OI(Volume)'!$A$7:$O$445,9)</f>
        <v>154700</v>
      </c>
      <c r="J171" s="103">
        <f>VLOOKUP($A171,'OI(Volume)'!$A$7:$O$445,11)</f>
        <v>1286350</v>
      </c>
      <c r="K171" s="103">
        <f>VLOOKUP($A171,'OI(Volume)'!$A$7:$O$445,12)</f>
        <v>133250</v>
      </c>
      <c r="L171" s="103">
        <f>VLOOKUP($A171,'OI(Value)'!$A$7:$O$329,8,0)</f>
        <v>172</v>
      </c>
      <c r="M171" s="103">
        <f>VLOOKUP($A171,'OI(Value)'!$A$7:$O$329,9,0)</f>
        <v>16</v>
      </c>
      <c r="N171" s="103">
        <f>VLOOKUP($A171,'OI(Value)'!$A$7:$O$329,11,0)</f>
        <v>135</v>
      </c>
      <c r="O171" s="103">
        <f>VLOOKUP($A171,'OI(Value)'!$A$7:$O$329,12,0)</f>
        <v>14</v>
      </c>
      <c r="P171" s="179">
        <f>VLOOKUP(A171,'OI(Value)'!A171:O395,8,0)</f>
        <v>172</v>
      </c>
      <c r="Q171" s="179">
        <f>VLOOKUP(A171,'OI(Value)'!A171:O395,9,0)</f>
        <v>16</v>
      </c>
      <c r="R171" s="179">
        <f>VLOOKUP(A171,'OI(Value)'!A171:O395,11,0)</f>
        <v>135</v>
      </c>
      <c r="S171" s="179">
        <f>VLOOKUP(A171,'OI(Value)'!A171:O395,11,0)</f>
        <v>135</v>
      </c>
    </row>
    <row r="172" spans="1:19" x14ac:dyDescent="0.25">
      <c r="A172" s="105" t="str">
        <f>'Data Vlaue (Cr)'!C167</f>
        <v>POLICYBZR</v>
      </c>
      <c r="B172" s="143">
        <f>VLOOKUP($A172,'Data shares'!$C:$FA,118)</f>
        <v>0.65</v>
      </c>
      <c r="C172" s="143">
        <f>VLOOKUP($A172,'Data shares'!$C:$FA,119)</f>
        <v>0.73</v>
      </c>
      <c r="D172" s="143">
        <f>VLOOKUP($A172,'Data shares'!$C:$FA,121)*100</f>
        <v>-10.96</v>
      </c>
      <c r="E172" s="143">
        <f>VLOOKUP($A172,'Data shares'!$C:$FA,124)</f>
        <v>0.41</v>
      </c>
      <c r="F172" s="143">
        <f>VLOOKUP($A172,'Data shares'!$C:$FA,125)</f>
        <v>0.71</v>
      </c>
      <c r="G172" s="143">
        <f>VLOOKUP($A172,'Data shares'!$C:$FA,127)*100</f>
        <v>-42.25</v>
      </c>
      <c r="H172" s="103">
        <f>VLOOKUP($A172,'OI(Volume)'!$A$7:$O$445,8)</f>
        <v>968800</v>
      </c>
      <c r="I172" s="103">
        <f>VLOOKUP($A172,'OI(Volume)'!$A$7:$O$445,9)</f>
        <v>185500</v>
      </c>
      <c r="J172" s="103">
        <f>VLOOKUP($A172,'OI(Volume)'!$A$7:$O$445,11)</f>
        <v>632800</v>
      </c>
      <c r="K172" s="103">
        <f>VLOOKUP($A172,'OI(Volume)'!$A$7:$O$445,12)</f>
        <v>58800</v>
      </c>
      <c r="L172" s="103">
        <f>VLOOKUP($A172,'OI(Value)'!$A$7:$O$329,8,0)</f>
        <v>162</v>
      </c>
      <c r="M172" s="103">
        <f>VLOOKUP($A172,'OI(Value)'!$A$7:$O$329,9,0)</f>
        <v>31</v>
      </c>
      <c r="N172" s="103">
        <f>VLOOKUP($A172,'OI(Value)'!$A$7:$O$329,11,0)</f>
        <v>106</v>
      </c>
      <c r="O172" s="103">
        <f>VLOOKUP($A172,'OI(Value)'!$A$7:$O$329,12,0)</f>
        <v>10</v>
      </c>
      <c r="P172" s="179">
        <f>VLOOKUP(A172,'OI(Value)'!A172:O396,8,0)</f>
        <v>162</v>
      </c>
      <c r="Q172" s="179">
        <f>VLOOKUP(A172,'OI(Value)'!A172:O396,9,0)</f>
        <v>31</v>
      </c>
      <c r="R172" s="179">
        <f>VLOOKUP(A172,'OI(Value)'!A172:O396,11,0)</f>
        <v>106</v>
      </c>
      <c r="S172" s="179">
        <f>VLOOKUP(A172,'OI(Value)'!A172:O396,11,0)</f>
        <v>106</v>
      </c>
    </row>
    <row r="173" spans="1:19" x14ac:dyDescent="0.25">
      <c r="A173" s="105" t="str">
        <f>'Data Vlaue (Cr)'!C168</f>
        <v>POLYCAB</v>
      </c>
      <c r="B173" s="143">
        <f>VLOOKUP($A173,'Data shares'!$C:$FA,118)</f>
        <v>1.4</v>
      </c>
      <c r="C173" s="143">
        <f>VLOOKUP($A173,'Data shares'!$C:$FA,119)</f>
        <v>1.45</v>
      </c>
      <c r="D173" s="143">
        <f>VLOOKUP($A173,'Data shares'!$C:$FA,121)*100</f>
        <v>-3.45</v>
      </c>
      <c r="E173" s="143">
        <f>VLOOKUP($A173,'Data shares'!$C:$FA,124)</f>
        <v>1.21</v>
      </c>
      <c r="F173" s="143">
        <f>VLOOKUP($A173,'Data shares'!$C:$FA,125)</f>
        <v>0.8</v>
      </c>
      <c r="G173" s="143">
        <f>VLOOKUP($A173,'Data shares'!$C:$FA,127)*100</f>
        <v>51.249999999999993</v>
      </c>
      <c r="H173" s="103">
        <f>VLOOKUP($A173,'OI(Volume)'!$A$7:$O$445,8)</f>
        <v>834500</v>
      </c>
      <c r="I173" s="103">
        <f>VLOOKUP($A173,'OI(Volume)'!$A$7:$O$445,9)</f>
        <v>170125</v>
      </c>
      <c r="J173" s="103">
        <f>VLOOKUP($A173,'OI(Volume)'!$A$7:$O$445,11)</f>
        <v>1164875</v>
      </c>
      <c r="K173" s="103">
        <f>VLOOKUP($A173,'OI(Volume)'!$A$7:$O$445,12)</f>
        <v>204500</v>
      </c>
      <c r="L173" s="103">
        <f>VLOOKUP($A173,'OI(Value)'!$A$7:$O$329,8,0)</f>
        <v>700</v>
      </c>
      <c r="M173" s="103">
        <f>VLOOKUP($A173,'OI(Value)'!$A$7:$O$329,9,0)</f>
        <v>143</v>
      </c>
      <c r="N173" s="103">
        <f>VLOOKUP($A173,'OI(Value)'!$A$7:$O$329,11,0)</f>
        <v>978</v>
      </c>
      <c r="O173" s="103">
        <f>VLOOKUP($A173,'OI(Value)'!$A$7:$O$329,12,0)</f>
        <v>172</v>
      </c>
    </row>
    <row r="174" spans="1:19" x14ac:dyDescent="0.25">
      <c r="A174" s="105" t="str">
        <f>'Data Vlaue (Cr)'!C169</f>
        <v>POWERGRID</v>
      </c>
      <c r="B174" s="143">
        <f>VLOOKUP($A174,'Data shares'!$C:$FA,118)</f>
        <v>0.65</v>
      </c>
      <c r="C174" s="143">
        <f>VLOOKUP($A174,'Data shares'!$C:$FA,119)</f>
        <v>0.7</v>
      </c>
      <c r="D174" s="143">
        <f>VLOOKUP($A174,'Data shares'!$C:$FA,121)*100</f>
        <v>-7.1400000000000006</v>
      </c>
      <c r="E174" s="143">
        <f>VLOOKUP($A174,'Data shares'!$C:$FA,124)</f>
        <v>0.48</v>
      </c>
      <c r="F174" s="143">
        <f>VLOOKUP($A174,'Data shares'!$C:$FA,125)</f>
        <v>0.49</v>
      </c>
      <c r="G174" s="143">
        <f>VLOOKUP($A174,'Data shares'!$C:$FA,127)*100</f>
        <v>-2.04</v>
      </c>
      <c r="H174" s="103">
        <f>VLOOKUP($A174,'OI(Volume)'!$A$7:$O$445,8)</f>
        <v>19001900</v>
      </c>
      <c r="I174" s="103">
        <f>VLOOKUP($A174,'OI(Volume)'!$A$7:$O$445,9)</f>
        <v>2756900</v>
      </c>
      <c r="J174" s="103">
        <f>VLOOKUP($A174,'OI(Volume)'!$A$7:$O$445,11)</f>
        <v>12348100</v>
      </c>
      <c r="K174" s="103">
        <f>VLOOKUP($A174,'OI(Volume)'!$A$7:$O$445,12)</f>
        <v>1003200</v>
      </c>
      <c r="L174" s="103">
        <f>VLOOKUP($A174,'OI(Value)'!$A$7:$O$329,8,0)</f>
        <v>608</v>
      </c>
      <c r="M174" s="103">
        <f>VLOOKUP($A174,'OI(Value)'!$A$7:$O$329,9,0)</f>
        <v>88</v>
      </c>
      <c r="N174" s="103">
        <f>VLOOKUP($A174,'OI(Value)'!$A$7:$O$329,11,0)</f>
        <v>395</v>
      </c>
      <c r="O174" s="103">
        <f>VLOOKUP($A174,'OI(Value)'!$A$7:$O$329,12,0)</f>
        <v>32</v>
      </c>
    </row>
    <row r="175" spans="1:19" x14ac:dyDescent="0.25">
      <c r="A175" s="105" t="str">
        <f>'Data Vlaue (Cr)'!C170</f>
        <v>POWERINDIA</v>
      </c>
      <c r="B175" s="143">
        <f>VLOOKUP($A175,'Data shares'!$C:$FA,118)</f>
        <v>0.84</v>
      </c>
      <c r="C175" s="143">
        <f>VLOOKUP($A175,'Data shares'!$C:$FA,119)</f>
        <v>0.87</v>
      </c>
      <c r="D175" s="143">
        <f>VLOOKUP($A175,'Data shares'!$C:$FA,121)*100</f>
        <v>-3.45</v>
      </c>
      <c r="E175" s="143">
        <f>VLOOKUP($A175,'Data shares'!$C:$FA,124)</f>
        <v>0.62</v>
      </c>
      <c r="F175" s="143">
        <f>VLOOKUP($A175,'Data shares'!$C:$FA,125)</f>
        <v>0.84</v>
      </c>
      <c r="G175" s="143">
        <f>VLOOKUP($A175,'Data shares'!$C:$FA,127)*100</f>
        <v>-26.19</v>
      </c>
      <c r="H175" s="103">
        <f>VLOOKUP($A175,'OI(Volume)'!$A$7:$O$445,8)</f>
        <v>235900</v>
      </c>
      <c r="I175" s="103">
        <f>VLOOKUP($A175,'OI(Volume)'!$A$7:$O$445,9)</f>
        <v>27275</v>
      </c>
      <c r="J175" s="103">
        <f>VLOOKUP($A175,'OI(Volume)'!$A$7:$O$445,11)</f>
        <v>198575</v>
      </c>
      <c r="K175" s="103">
        <f>VLOOKUP($A175,'OI(Volume)'!$A$7:$O$445,12)</f>
        <v>16975</v>
      </c>
      <c r="L175" s="103">
        <f>VLOOKUP($A175,'OI(Value)'!$A$7:$O$329,8,0)</f>
        <v>799</v>
      </c>
      <c r="M175" s="103">
        <f>VLOOKUP($A175,'OI(Value)'!$A$7:$O$329,9,0)</f>
        <v>92</v>
      </c>
      <c r="N175" s="103">
        <f>VLOOKUP($A175,'OI(Value)'!$A$7:$O$329,11,0)</f>
        <v>673</v>
      </c>
      <c r="O175" s="103">
        <f>VLOOKUP($A175,'OI(Value)'!$A$7:$O$329,12,0)</f>
        <v>58</v>
      </c>
    </row>
    <row r="176" spans="1:19" x14ac:dyDescent="0.25">
      <c r="A176" s="105" t="str">
        <f>'Data Vlaue (Cr)'!C171</f>
        <v>PREMIERENE</v>
      </c>
      <c r="B176" s="143">
        <f>VLOOKUP($A176,'Data shares'!$C:$FA,118)</f>
        <v>1.06</v>
      </c>
      <c r="C176" s="143">
        <f>VLOOKUP($A176,'Data shares'!$C:$FA,119)</f>
        <v>0.89</v>
      </c>
      <c r="D176" s="143">
        <f>VLOOKUP($A176,'Data shares'!$C:$FA,121)*100</f>
        <v>19.100000000000001</v>
      </c>
      <c r="E176" s="143">
        <f>VLOOKUP($A176,'Data shares'!$C:$FA,124)</f>
        <v>0.52</v>
      </c>
      <c r="F176" s="143">
        <f>VLOOKUP($A176,'Data shares'!$C:$FA,125)</f>
        <v>0.75</v>
      </c>
      <c r="G176" s="143">
        <f>VLOOKUP($A176,'Data shares'!$C:$FA,127)*100</f>
        <v>-30.669999999999998</v>
      </c>
      <c r="H176" s="103">
        <f>VLOOKUP($A176,'OI(Volume)'!$A$7:$O$445,8)</f>
        <v>1361025</v>
      </c>
      <c r="I176" s="103">
        <f>VLOOKUP($A176,'OI(Volume)'!$A$7:$O$445,9)</f>
        <v>32200</v>
      </c>
      <c r="J176" s="103">
        <f>VLOOKUP($A176,'OI(Volume)'!$A$7:$O$445,11)</f>
        <v>1444975</v>
      </c>
      <c r="K176" s="103">
        <f>VLOOKUP($A176,'OI(Volume)'!$A$7:$O$445,12)</f>
        <v>261625</v>
      </c>
      <c r="L176" s="103">
        <f>VLOOKUP($A176,'OI(Value)'!$A$7:$O$329,8,0)</f>
        <v>140</v>
      </c>
      <c r="M176" s="103">
        <f>VLOOKUP($A176,'OI(Value)'!$A$7:$O$329,9,0)</f>
        <v>3</v>
      </c>
      <c r="N176" s="103">
        <f>VLOOKUP($A176,'OI(Value)'!$A$7:$O$329,11,0)</f>
        <v>149</v>
      </c>
      <c r="O176" s="103">
        <f>VLOOKUP($A176,'OI(Value)'!$A$7:$O$329,12,0)</f>
        <v>27</v>
      </c>
    </row>
    <row r="177" spans="1:15" x14ac:dyDescent="0.25">
      <c r="A177" s="105" t="str">
        <f>'Data Vlaue (Cr)'!C172</f>
        <v>PRESTIGE</v>
      </c>
      <c r="B177" s="143">
        <f>VLOOKUP($A177,'Data shares'!$C:$FA,118)</f>
        <v>0.87</v>
      </c>
      <c r="C177" s="143">
        <f>VLOOKUP($A177,'Data shares'!$C:$FA,119)</f>
        <v>1.1499999999999999</v>
      </c>
      <c r="D177" s="143">
        <f>VLOOKUP($A177,'Data shares'!$C:$FA,121)*100</f>
        <v>-24.349999999999998</v>
      </c>
      <c r="E177" s="143">
        <f>VLOOKUP($A177,'Data shares'!$C:$FA,124)</f>
        <v>0.27</v>
      </c>
      <c r="F177" s="143">
        <f>VLOOKUP($A177,'Data shares'!$C:$FA,125)</f>
        <v>1</v>
      </c>
      <c r="G177" s="143">
        <f>VLOOKUP($A177,'Data shares'!$C:$FA,127)*100</f>
        <v>-73</v>
      </c>
      <c r="H177" s="103">
        <f>VLOOKUP($A177,'OI(Volume)'!$A$7:$O$445,8)</f>
        <v>842850</v>
      </c>
      <c r="I177" s="103">
        <f>VLOOKUP($A177,'OI(Volume)'!$A$7:$O$445,9)</f>
        <v>213750</v>
      </c>
      <c r="J177" s="103">
        <f>VLOOKUP($A177,'OI(Volume)'!$A$7:$O$445,11)</f>
        <v>733950</v>
      </c>
      <c r="K177" s="103">
        <f>VLOOKUP($A177,'OI(Volume)'!$A$7:$O$445,12)</f>
        <v>13500</v>
      </c>
      <c r="L177" s="103">
        <f>VLOOKUP($A177,'OI(Value)'!$A$7:$O$329,8,0)</f>
        <v>123</v>
      </c>
      <c r="M177" s="103">
        <f>VLOOKUP($A177,'OI(Value)'!$A$7:$O$329,9,0)</f>
        <v>31</v>
      </c>
      <c r="N177" s="103">
        <f>VLOOKUP($A177,'OI(Value)'!$A$7:$O$329,11,0)</f>
        <v>107</v>
      </c>
      <c r="O177" s="103">
        <f>VLOOKUP($A177,'OI(Value)'!$A$7:$O$329,12,0)</f>
        <v>2</v>
      </c>
    </row>
    <row r="178" spans="1:15" x14ac:dyDescent="0.25">
      <c r="A178" s="105" t="str">
        <f>'Data Vlaue (Cr)'!C173</f>
        <v>RBLBANK</v>
      </c>
      <c r="B178" s="143">
        <f>VLOOKUP($A178,'Data shares'!$C:$FA,118)</f>
        <v>0.74</v>
      </c>
      <c r="C178" s="143">
        <f>VLOOKUP($A178,'Data shares'!$C:$FA,119)</f>
        <v>0.79</v>
      </c>
      <c r="D178" s="143">
        <f>VLOOKUP($A178,'Data shares'!$C:$FA,121)*100</f>
        <v>-6.3299999999999992</v>
      </c>
      <c r="E178" s="143">
        <f>VLOOKUP($A178,'Data shares'!$C:$FA,124)</f>
        <v>0.61</v>
      </c>
      <c r="F178" s="143">
        <f>VLOOKUP($A178,'Data shares'!$C:$FA,125)</f>
        <v>0.7</v>
      </c>
      <c r="G178" s="143">
        <f>VLOOKUP($A178,'Data shares'!$C:$FA,127)*100</f>
        <v>-12.86</v>
      </c>
      <c r="H178" s="103">
        <f>VLOOKUP($A178,'OI(Volume)'!$A$7:$O$445,8)</f>
        <v>19186525</v>
      </c>
      <c r="I178" s="103">
        <f>VLOOKUP($A178,'OI(Volume)'!$A$7:$O$445,9)</f>
        <v>2435225</v>
      </c>
      <c r="J178" s="103">
        <f>VLOOKUP($A178,'OI(Volume)'!$A$7:$O$445,11)</f>
        <v>14208125</v>
      </c>
      <c r="K178" s="103">
        <f>VLOOKUP($A178,'OI(Volume)'!$A$7:$O$445,12)</f>
        <v>1047750</v>
      </c>
      <c r="L178" s="103">
        <f>VLOOKUP($A178,'OI(Value)'!$A$7:$O$329,8,0)</f>
        <v>638</v>
      </c>
      <c r="M178" s="103">
        <f>VLOOKUP($A178,'OI(Value)'!$A$7:$O$329,9,0)</f>
        <v>81</v>
      </c>
      <c r="N178" s="103">
        <f>VLOOKUP($A178,'OI(Value)'!$A$7:$O$329,11,0)</f>
        <v>472</v>
      </c>
      <c r="O178" s="103">
        <f>VLOOKUP($A178,'OI(Value)'!$A$7:$O$329,12,0)</f>
        <v>35</v>
      </c>
    </row>
    <row r="179" spans="1:15" x14ac:dyDescent="0.25">
      <c r="A179" s="105" t="str">
        <f>'Data Vlaue (Cr)'!C174</f>
        <v>RECLTD</v>
      </c>
      <c r="B179" s="143">
        <f>VLOOKUP($A179,'Data shares'!$C:$FA,118)</f>
        <v>0.59</v>
      </c>
      <c r="C179" s="143">
        <f>VLOOKUP($A179,'Data shares'!$C:$FA,119)</f>
        <v>0.62</v>
      </c>
      <c r="D179" s="143">
        <f>VLOOKUP($A179,'Data shares'!$C:$FA,121)*100</f>
        <v>-4.84</v>
      </c>
      <c r="E179" s="143">
        <f>VLOOKUP($A179,'Data shares'!$C:$FA,124)</f>
        <v>0.44</v>
      </c>
      <c r="F179" s="143">
        <f>VLOOKUP($A179,'Data shares'!$C:$FA,125)</f>
        <v>0.56000000000000005</v>
      </c>
      <c r="G179" s="143">
        <f>VLOOKUP($A179,'Data shares'!$C:$FA,127)*100</f>
        <v>-21.43</v>
      </c>
      <c r="H179" s="103">
        <f>VLOOKUP($A179,'OI(Volume)'!$A$7:$O$445,8)</f>
        <v>26754000</v>
      </c>
      <c r="I179" s="103">
        <f>VLOOKUP($A179,'OI(Volume)'!$A$7:$O$445,9)</f>
        <v>2094400</v>
      </c>
      <c r="J179" s="103">
        <f>VLOOKUP($A179,'OI(Volume)'!$A$7:$O$445,11)</f>
        <v>15864800</v>
      </c>
      <c r="K179" s="103">
        <f>VLOOKUP($A179,'OI(Volume)'!$A$7:$O$445,12)</f>
        <v>621600</v>
      </c>
      <c r="L179" s="103">
        <f>VLOOKUP($A179,'OI(Value)'!$A$7:$O$329,8,0)</f>
        <v>951</v>
      </c>
      <c r="M179" s="103">
        <f>VLOOKUP($A179,'OI(Value)'!$A$7:$O$329,9,0)</f>
        <v>74</v>
      </c>
      <c r="N179" s="103">
        <f>VLOOKUP($A179,'OI(Value)'!$A$7:$O$329,11,0)</f>
        <v>564</v>
      </c>
      <c r="O179" s="103">
        <f>VLOOKUP($A179,'OI(Value)'!$A$7:$O$329,12,0)</f>
        <v>22</v>
      </c>
    </row>
    <row r="180" spans="1:15" x14ac:dyDescent="0.25">
      <c r="A180" s="105" t="str">
        <f>'Data Vlaue (Cr)'!C175</f>
        <v>RELIANCE</v>
      </c>
      <c r="B180" s="143">
        <f>VLOOKUP($A180,'Data shares'!$C:$FA,118)</f>
        <v>0.92</v>
      </c>
      <c r="C180" s="143">
        <f>VLOOKUP($A180,'Data shares'!$C:$FA,119)</f>
        <v>0.85</v>
      </c>
      <c r="D180" s="143">
        <f>VLOOKUP($A180,'Data shares'!$C:$FA,121)*100</f>
        <v>8.24</v>
      </c>
      <c r="E180" s="143">
        <f>VLOOKUP($A180,'Data shares'!$C:$FA,124)</f>
        <v>0.66</v>
      </c>
      <c r="F180" s="143">
        <f>VLOOKUP($A180,'Data shares'!$C:$FA,125)</f>
        <v>0.68</v>
      </c>
      <c r="G180" s="143">
        <f>VLOOKUP($A180,'Data shares'!$C:$FA,127)*100</f>
        <v>-2.94</v>
      </c>
      <c r="H180" s="103">
        <f>VLOOKUP($A180,'OI(Volume)'!$A$7:$O$445,8)</f>
        <v>40771000</v>
      </c>
      <c r="I180" s="103">
        <f>VLOOKUP($A180,'OI(Volume)'!$A$7:$O$445,9)</f>
        <v>357500</v>
      </c>
      <c r="J180" s="103">
        <f>VLOOKUP($A180,'OI(Volume)'!$A$7:$O$445,11)</f>
        <v>37435500</v>
      </c>
      <c r="K180" s="103">
        <f>VLOOKUP($A180,'OI(Volume)'!$A$7:$O$445,12)</f>
        <v>2929000</v>
      </c>
      <c r="L180" s="103">
        <f>VLOOKUP($A180,'OI(Value)'!$A$7:$O$329,8,0)</f>
        <v>5981</v>
      </c>
      <c r="M180" s="103">
        <f>VLOOKUP($A180,'OI(Value)'!$A$7:$O$329,9,0)</f>
        <v>52</v>
      </c>
      <c r="N180" s="103">
        <f>VLOOKUP($A180,'OI(Value)'!$A$7:$O$329,11,0)</f>
        <v>5492</v>
      </c>
      <c r="O180" s="103">
        <f>VLOOKUP($A180,'OI(Value)'!$A$7:$O$329,12,0)</f>
        <v>430</v>
      </c>
    </row>
    <row r="181" spans="1:15" x14ac:dyDescent="0.25">
      <c r="A181" s="105" t="str">
        <f>'Data Vlaue (Cr)'!C176</f>
        <v>RVNL</v>
      </c>
      <c r="B181" s="143">
        <f>VLOOKUP($A181,'Data shares'!$C:$FA,118)</f>
        <v>0.61</v>
      </c>
      <c r="C181" s="143">
        <f>VLOOKUP($A181,'Data shares'!$C:$FA,119)</f>
        <v>0.69</v>
      </c>
      <c r="D181" s="143">
        <f>VLOOKUP($A181,'Data shares'!$C:$FA,121)*100</f>
        <v>-11.59</v>
      </c>
      <c r="E181" s="143">
        <f>VLOOKUP($A181,'Data shares'!$C:$FA,124)</f>
        <v>0.37</v>
      </c>
      <c r="F181" s="143">
        <f>VLOOKUP($A181,'Data shares'!$C:$FA,125)</f>
        <v>0.48</v>
      </c>
      <c r="G181" s="143">
        <f>VLOOKUP($A181,'Data shares'!$C:$FA,127)*100</f>
        <v>-22.919999999999998</v>
      </c>
      <c r="H181" s="103">
        <f>VLOOKUP($A181,'OI(Volume)'!$A$7:$O$445,8)</f>
        <v>12849650</v>
      </c>
      <c r="I181" s="103">
        <f>VLOOKUP($A181,'OI(Volume)'!$A$7:$O$445,9)</f>
        <v>2128900</v>
      </c>
      <c r="J181" s="103">
        <f>VLOOKUP($A181,'OI(Volume)'!$A$7:$O$445,11)</f>
        <v>7854150</v>
      </c>
      <c r="K181" s="103">
        <f>VLOOKUP($A181,'OI(Volume)'!$A$7:$O$445,12)</f>
        <v>479250</v>
      </c>
      <c r="L181" s="103">
        <f>VLOOKUP($A181,'OI(Value)'!$A$7:$O$329,8,0)</f>
        <v>377</v>
      </c>
      <c r="M181" s="103">
        <f>VLOOKUP($A181,'OI(Value)'!$A$7:$O$329,9,0)</f>
        <v>62</v>
      </c>
      <c r="N181" s="103">
        <f>VLOOKUP($A181,'OI(Value)'!$A$7:$O$329,11,0)</f>
        <v>230</v>
      </c>
      <c r="O181" s="103">
        <f>VLOOKUP($A181,'OI(Value)'!$A$7:$O$329,12,0)</f>
        <v>14</v>
      </c>
    </row>
    <row r="182" spans="1:15" x14ac:dyDescent="0.25">
      <c r="A182" s="105" t="str">
        <f>'Data Vlaue (Cr)'!C177</f>
        <v>SAIL</v>
      </c>
      <c r="B182" s="143">
        <f>VLOOKUP($A182,'Data shares'!$C:$FA,118)</f>
        <v>0.71</v>
      </c>
      <c r="C182" s="143">
        <f>VLOOKUP($A182,'Data shares'!$C:$FA,119)</f>
        <v>0.55000000000000004</v>
      </c>
      <c r="D182" s="143">
        <f>VLOOKUP($A182,'Data shares'!$C:$FA,121)*100</f>
        <v>29.09</v>
      </c>
      <c r="E182" s="143">
        <f>VLOOKUP($A182,'Data shares'!$C:$FA,124)</f>
        <v>0.71</v>
      </c>
      <c r="F182" s="143">
        <f>VLOOKUP($A182,'Data shares'!$C:$FA,125)</f>
        <v>0.52</v>
      </c>
      <c r="G182" s="143">
        <f>VLOOKUP($A182,'Data shares'!$C:$FA,127)*100</f>
        <v>36.54</v>
      </c>
      <c r="H182" s="103">
        <f>VLOOKUP($A182,'OI(Volume)'!$A$7:$O$445,8)</f>
        <v>6702200</v>
      </c>
      <c r="I182" s="103">
        <f>VLOOKUP($A182,'OI(Volume)'!$A$7:$O$445,9)</f>
        <v>61100</v>
      </c>
      <c r="J182" s="103">
        <f>VLOOKUP($A182,'OI(Volume)'!$A$7:$O$445,11)</f>
        <v>4761100</v>
      </c>
      <c r="K182" s="103">
        <f>VLOOKUP($A182,'OI(Volume)'!$A$7:$O$445,12)</f>
        <v>1076300</v>
      </c>
      <c r="L182" s="103">
        <f>VLOOKUP($A182,'OI(Value)'!$A$7:$O$329,8,0)</f>
        <v>126</v>
      </c>
      <c r="M182" s="103">
        <f>VLOOKUP($A182,'OI(Value)'!$A$7:$O$329,9,0)</f>
        <v>1</v>
      </c>
      <c r="N182" s="103">
        <f>VLOOKUP($A182,'OI(Value)'!$A$7:$O$329,11,0)</f>
        <v>89</v>
      </c>
      <c r="O182" s="103">
        <f>VLOOKUP($A182,'OI(Value)'!$A$7:$O$329,12,0)</f>
        <v>20</v>
      </c>
    </row>
    <row r="183" spans="1:15" x14ac:dyDescent="0.25">
      <c r="A183" s="105" t="str">
        <f>'Data Vlaue (Cr)'!C178</f>
        <v>SAMMAANCAP</v>
      </c>
      <c r="B183" s="143">
        <f>VLOOKUP($A183,'Data shares'!$C:$FA,118)</f>
        <v>0.68</v>
      </c>
      <c r="C183" s="143">
        <f>VLOOKUP($A183,'Data shares'!$C:$FA,119)</f>
        <v>0.67</v>
      </c>
      <c r="D183" s="143">
        <f>VLOOKUP($A183,'Data shares'!$C:$FA,121)*100</f>
        <v>1.49</v>
      </c>
      <c r="E183" s="143">
        <f>VLOOKUP($A183,'Data shares'!$C:$FA,124)</f>
        <v>0.38</v>
      </c>
      <c r="F183" s="143">
        <f>VLOOKUP($A183,'Data shares'!$C:$FA,125)</f>
        <v>0.33</v>
      </c>
      <c r="G183" s="143">
        <f>VLOOKUP($A183,'Data shares'!$C:$FA,127)*100</f>
        <v>15.15</v>
      </c>
      <c r="H183" s="103">
        <f>VLOOKUP($A183,'OI(Volume)'!$A$7:$O$445,8)</f>
        <v>20214300</v>
      </c>
      <c r="I183" s="103">
        <f>VLOOKUP($A183,'OI(Volume)'!$A$7:$O$445,9)</f>
        <v>494500</v>
      </c>
      <c r="J183" s="103">
        <f>VLOOKUP($A183,'OI(Volume)'!$A$7:$O$445,11)</f>
        <v>13841700</v>
      </c>
      <c r="K183" s="103">
        <f>VLOOKUP($A183,'OI(Volume)'!$A$7:$O$445,12)</f>
        <v>559000</v>
      </c>
      <c r="L183" s="103">
        <f>VLOOKUP($A183,'OI(Value)'!$A$7:$O$329,8,0)</f>
        <v>299</v>
      </c>
      <c r="M183" s="103">
        <f>VLOOKUP($A183,'OI(Value)'!$A$7:$O$329,9,0)</f>
        <v>7</v>
      </c>
      <c r="N183" s="103">
        <f>VLOOKUP($A183,'OI(Value)'!$A$7:$O$329,11,0)</f>
        <v>205</v>
      </c>
      <c r="O183" s="103">
        <f>VLOOKUP($A183,'OI(Value)'!$A$7:$O$329,12,0)</f>
        <v>8</v>
      </c>
    </row>
    <row r="184" spans="1:15" x14ac:dyDescent="0.25">
      <c r="A184" s="105" t="str">
        <f>'Data Vlaue (Cr)'!C179</f>
        <v>SBICARD</v>
      </c>
      <c r="B184" s="143">
        <f>VLOOKUP($A184,'Data shares'!$C:$FA,118)</f>
        <v>0.6</v>
      </c>
      <c r="C184" s="143">
        <f>VLOOKUP($A184,'Data shares'!$C:$FA,119)</f>
        <v>0.62</v>
      </c>
      <c r="D184" s="143">
        <f>VLOOKUP($A184,'Data shares'!$C:$FA,121)*100</f>
        <v>-3.2300000000000004</v>
      </c>
      <c r="E184" s="143">
        <f>VLOOKUP($A184,'Data shares'!$C:$FA,124)</f>
        <v>0.5</v>
      </c>
      <c r="F184" s="143">
        <f>VLOOKUP($A184,'Data shares'!$C:$FA,125)</f>
        <v>0.68</v>
      </c>
      <c r="G184" s="143">
        <f>VLOOKUP($A184,'Data shares'!$C:$FA,127)*100</f>
        <v>-26.47</v>
      </c>
      <c r="H184" s="103">
        <f>VLOOKUP($A184,'OI(Volume)'!$A$7:$O$445,8)</f>
        <v>8842400</v>
      </c>
      <c r="I184" s="103">
        <f>VLOOKUP($A184,'OI(Volume)'!$A$7:$O$445,9)</f>
        <v>568800</v>
      </c>
      <c r="J184" s="103">
        <f>VLOOKUP($A184,'OI(Volume)'!$A$7:$O$445,11)</f>
        <v>5264000</v>
      </c>
      <c r="K184" s="103">
        <f>VLOOKUP($A184,'OI(Volume)'!$A$7:$O$445,12)</f>
        <v>126400</v>
      </c>
      <c r="L184" s="103">
        <f>VLOOKUP($A184,'OI(Value)'!$A$7:$O$329,8,0)</f>
        <v>572</v>
      </c>
      <c r="M184" s="103">
        <f>VLOOKUP($A184,'OI(Value)'!$A$7:$O$329,9,0)</f>
        <v>37</v>
      </c>
      <c r="N184" s="103">
        <f>VLOOKUP($A184,'OI(Value)'!$A$7:$O$329,11,0)</f>
        <v>341</v>
      </c>
      <c r="O184" s="103">
        <f>VLOOKUP($A184,'OI(Value)'!$A$7:$O$329,12,0)</f>
        <v>8</v>
      </c>
    </row>
    <row r="185" spans="1:15" x14ac:dyDescent="0.25">
      <c r="A185" s="105" t="str">
        <f>'Data Vlaue (Cr)'!C180</f>
        <v>SBILIFE</v>
      </c>
      <c r="B185" s="143">
        <f>VLOOKUP($A185,'Data shares'!$C:$FA,118)</f>
        <v>0.56999999999999995</v>
      </c>
      <c r="C185" s="143">
        <f>VLOOKUP($A185,'Data shares'!$C:$FA,119)</f>
        <v>0.69</v>
      </c>
      <c r="D185" s="143">
        <f>VLOOKUP($A185,'Data shares'!$C:$FA,121)*100</f>
        <v>-17.39</v>
      </c>
      <c r="E185" s="143">
        <f>VLOOKUP($A185,'Data shares'!$C:$FA,124)</f>
        <v>0.4</v>
      </c>
      <c r="F185" s="143">
        <f>VLOOKUP($A185,'Data shares'!$C:$FA,125)</f>
        <v>0.54</v>
      </c>
      <c r="G185" s="143">
        <f>VLOOKUP($A185,'Data shares'!$C:$FA,127)*100</f>
        <v>-25.929999999999996</v>
      </c>
      <c r="H185" s="103">
        <f>VLOOKUP($A185,'OI(Volume)'!$A$7:$O$445,8)</f>
        <v>3123375</v>
      </c>
      <c r="I185" s="103">
        <f>VLOOKUP($A185,'OI(Volume)'!$A$7:$O$445,9)</f>
        <v>563250</v>
      </c>
      <c r="J185" s="103">
        <f>VLOOKUP($A185,'OI(Volume)'!$A$7:$O$445,11)</f>
        <v>1788000</v>
      </c>
      <c r="K185" s="103">
        <f>VLOOKUP($A185,'OI(Volume)'!$A$7:$O$445,12)</f>
        <v>22500</v>
      </c>
      <c r="L185" s="103">
        <f>VLOOKUP($A185,'OI(Value)'!$A$7:$O$329,8,0)</f>
        <v>571</v>
      </c>
      <c r="M185" s="103">
        <f>VLOOKUP($A185,'OI(Value)'!$A$7:$O$329,9,0)</f>
        <v>103</v>
      </c>
      <c r="N185" s="103">
        <f>VLOOKUP($A185,'OI(Value)'!$A$7:$O$329,11,0)</f>
        <v>327</v>
      </c>
      <c r="O185" s="103">
        <f>VLOOKUP($A185,'OI(Value)'!$A$7:$O$329,12,0)</f>
        <v>4</v>
      </c>
    </row>
    <row r="186" spans="1:15" x14ac:dyDescent="0.25">
      <c r="A186" s="105" t="str">
        <f>'Data Vlaue (Cr)'!C181</f>
        <v>SBIN</v>
      </c>
      <c r="B186" s="143">
        <f>VLOOKUP($A186,'Data shares'!$C:$FA,118)</f>
        <v>0.73</v>
      </c>
      <c r="C186" s="143">
        <f>VLOOKUP($A186,'Data shares'!$C:$FA,119)</f>
        <v>0.75</v>
      </c>
      <c r="D186" s="143">
        <f>VLOOKUP($A186,'Data shares'!$C:$FA,121)*100</f>
        <v>-2.67</v>
      </c>
      <c r="E186" s="143">
        <f>VLOOKUP($A186,'Data shares'!$C:$FA,124)</f>
        <v>0.56999999999999995</v>
      </c>
      <c r="F186" s="143">
        <f>VLOOKUP($A186,'Data shares'!$C:$FA,125)</f>
        <v>0.71</v>
      </c>
      <c r="G186" s="143">
        <f>VLOOKUP($A186,'Data shares'!$C:$FA,127)*100</f>
        <v>-19.72</v>
      </c>
      <c r="H186" s="103">
        <f>VLOOKUP($A186,'OI(Volume)'!$A$7:$O$445,8)</f>
        <v>31978500</v>
      </c>
      <c r="I186" s="103">
        <f>VLOOKUP($A186,'OI(Volume)'!$A$7:$O$445,9)</f>
        <v>4428750</v>
      </c>
      <c r="J186" s="103">
        <f>VLOOKUP($A186,'OI(Volume)'!$A$7:$O$445,11)</f>
        <v>23210250</v>
      </c>
      <c r="K186" s="103">
        <f>VLOOKUP($A186,'OI(Volume)'!$A$7:$O$445,12)</f>
        <v>2418000</v>
      </c>
      <c r="L186" s="103">
        <f>VLOOKUP($A186,'OI(Value)'!$A$7:$O$329,8,0)</f>
        <v>3390</v>
      </c>
      <c r="M186" s="103">
        <f>VLOOKUP($A186,'OI(Value)'!$A$7:$O$329,9,0)</f>
        <v>469</v>
      </c>
      <c r="N186" s="103">
        <f>VLOOKUP($A186,'OI(Value)'!$A$7:$O$329,11,0)</f>
        <v>2460</v>
      </c>
      <c r="O186" s="103">
        <f>VLOOKUP($A186,'OI(Value)'!$A$7:$O$329,12,0)</f>
        <v>256</v>
      </c>
    </row>
    <row r="187" spans="1:15" x14ac:dyDescent="0.25">
      <c r="A187" s="105" t="str">
        <f>'Data Vlaue (Cr)'!C182</f>
        <v>SHREECEM</v>
      </c>
      <c r="B187" s="143">
        <f>VLOOKUP($A187,'Data shares'!$C:$FA,118)</f>
        <v>0.89</v>
      </c>
      <c r="C187" s="143">
        <f>VLOOKUP($A187,'Data shares'!$C:$FA,119)</f>
        <v>0.86</v>
      </c>
      <c r="D187" s="143">
        <f>VLOOKUP($A187,'Data shares'!$C:$FA,121)*100</f>
        <v>3.49</v>
      </c>
      <c r="E187" s="143">
        <f>VLOOKUP($A187,'Data shares'!$C:$FA,124)</f>
        <v>0.4</v>
      </c>
      <c r="F187" s="143">
        <f>VLOOKUP($A187,'Data shares'!$C:$FA,125)</f>
        <v>0.57999999999999996</v>
      </c>
      <c r="G187" s="143">
        <f>VLOOKUP($A187,'Data shares'!$C:$FA,127)*100</f>
        <v>-31.03</v>
      </c>
      <c r="H187" s="103">
        <f>VLOOKUP($A187,'OI(Volume)'!$A$7:$O$445,8)</f>
        <v>40800</v>
      </c>
      <c r="I187" s="103">
        <f>VLOOKUP($A187,'OI(Volume)'!$A$7:$O$445,9)</f>
        <v>3600</v>
      </c>
      <c r="J187" s="103">
        <f>VLOOKUP($A187,'OI(Volume)'!$A$7:$O$445,11)</f>
        <v>36450</v>
      </c>
      <c r="K187" s="103">
        <f>VLOOKUP($A187,'OI(Volume)'!$A$7:$O$445,12)</f>
        <v>4400</v>
      </c>
      <c r="L187" s="103">
        <f>VLOOKUP($A187,'OI(Value)'!$A$7:$O$329,8,0)</f>
        <v>101</v>
      </c>
      <c r="M187" s="103">
        <f>VLOOKUP($A187,'OI(Value)'!$A$7:$O$329,9,0)</f>
        <v>9</v>
      </c>
      <c r="N187" s="103">
        <f>VLOOKUP($A187,'OI(Value)'!$A$7:$O$329,11,0)</f>
        <v>90</v>
      </c>
      <c r="O187" s="103">
        <f>VLOOKUP($A187,'OI(Value)'!$A$7:$O$329,12,0)</f>
        <v>11</v>
      </c>
    </row>
    <row r="188" spans="1:15" x14ac:dyDescent="0.25">
      <c r="A188" s="105" t="str">
        <f>'Data Vlaue (Cr)'!C183</f>
        <v>SHRIRAMFIN</v>
      </c>
      <c r="B188" s="143">
        <f>VLOOKUP($A188,'Data shares'!$C:$FA,118)</f>
        <v>0.47</v>
      </c>
      <c r="C188" s="143">
        <f>VLOOKUP($A188,'Data shares'!$C:$FA,119)</f>
        <v>0.48</v>
      </c>
      <c r="D188" s="143">
        <f>VLOOKUP($A188,'Data shares'!$C:$FA,121)*100</f>
        <v>-2.08</v>
      </c>
      <c r="E188" s="143">
        <f>VLOOKUP($A188,'Data shares'!$C:$FA,124)</f>
        <v>0.38</v>
      </c>
      <c r="F188" s="143">
        <f>VLOOKUP($A188,'Data shares'!$C:$FA,125)</f>
        <v>0.54</v>
      </c>
      <c r="G188" s="143">
        <f>VLOOKUP($A188,'Data shares'!$C:$FA,127)*100</f>
        <v>-29.630000000000003</v>
      </c>
      <c r="H188" s="103">
        <f>VLOOKUP($A188,'OI(Volume)'!$A$7:$O$445,8)</f>
        <v>18715125</v>
      </c>
      <c r="I188" s="103">
        <f>VLOOKUP($A188,'OI(Volume)'!$A$7:$O$445,9)</f>
        <v>286275</v>
      </c>
      <c r="J188" s="103">
        <f>VLOOKUP($A188,'OI(Volume)'!$A$7:$O$445,11)</f>
        <v>8768925</v>
      </c>
      <c r="K188" s="103">
        <f>VLOOKUP($A188,'OI(Volume)'!$A$7:$O$445,12)</f>
        <v>-51975</v>
      </c>
      <c r="L188" s="103">
        <f>VLOOKUP($A188,'OI(Value)'!$A$7:$O$329,8,0)</f>
        <v>1802</v>
      </c>
      <c r="M188" s="103">
        <f>VLOOKUP($A188,'OI(Value)'!$A$7:$O$329,9,0)</f>
        <v>28</v>
      </c>
      <c r="N188" s="103">
        <f>VLOOKUP($A188,'OI(Value)'!$A$7:$O$329,11,0)</f>
        <v>844</v>
      </c>
      <c r="O188" s="103">
        <f>VLOOKUP($A188,'OI(Value)'!$A$7:$O$329,12,0)</f>
        <v>-5</v>
      </c>
    </row>
    <row r="189" spans="1:15" x14ac:dyDescent="0.25">
      <c r="A189" s="105" t="str">
        <f>'Data Vlaue (Cr)'!C184</f>
        <v>SIEMENS</v>
      </c>
      <c r="B189" s="143">
        <f>VLOOKUP($A189,'Data shares'!$C:$FA,118)</f>
        <v>0.56000000000000005</v>
      </c>
      <c r="C189" s="143">
        <f>VLOOKUP($A189,'Data shares'!$C:$FA,119)</f>
        <v>0.61</v>
      </c>
      <c r="D189" s="143">
        <f>VLOOKUP($A189,'Data shares'!$C:$FA,121)*100</f>
        <v>-8.2000000000000011</v>
      </c>
      <c r="E189" s="143">
        <f>VLOOKUP($A189,'Data shares'!$C:$FA,124)</f>
        <v>0.27</v>
      </c>
      <c r="F189" s="143">
        <f>VLOOKUP($A189,'Data shares'!$C:$FA,125)</f>
        <v>0.38</v>
      </c>
      <c r="G189" s="143">
        <f>VLOOKUP($A189,'Data shares'!$C:$FA,127)*100</f>
        <v>-28.95</v>
      </c>
      <c r="H189" s="103">
        <f>VLOOKUP($A189,'OI(Volume)'!$A$7:$O$445,8)</f>
        <v>956375</v>
      </c>
      <c r="I189" s="103">
        <f>VLOOKUP($A189,'OI(Volume)'!$A$7:$O$445,9)</f>
        <v>215075</v>
      </c>
      <c r="J189" s="103">
        <f>VLOOKUP($A189,'OI(Volume)'!$A$7:$O$445,11)</f>
        <v>538125</v>
      </c>
      <c r="K189" s="103">
        <f>VLOOKUP($A189,'OI(Volume)'!$A$7:$O$445,12)</f>
        <v>85050</v>
      </c>
      <c r="L189" s="103">
        <f>VLOOKUP($A189,'OI(Value)'!$A$7:$O$329,8,0)</f>
        <v>367</v>
      </c>
      <c r="M189" s="103">
        <f>VLOOKUP($A189,'OI(Value)'!$A$7:$O$329,9,0)</f>
        <v>82</v>
      </c>
      <c r="N189" s="103">
        <f>VLOOKUP($A189,'OI(Value)'!$A$7:$O$329,11,0)</f>
        <v>206</v>
      </c>
      <c r="O189" s="103">
        <f>VLOOKUP($A189,'OI(Value)'!$A$7:$O$329,12,0)</f>
        <v>33</v>
      </c>
    </row>
    <row r="190" spans="1:15" x14ac:dyDescent="0.25">
      <c r="A190" s="105" t="str">
        <f>'Data Vlaue (Cr)'!C185</f>
        <v>SOLARINDS</v>
      </c>
      <c r="B190" s="143">
        <f>VLOOKUP($A190,'Data shares'!$C:$FA,118)</f>
        <v>0.69</v>
      </c>
      <c r="C190" s="143">
        <f>VLOOKUP($A190,'Data shares'!$C:$FA,119)</f>
        <v>0.73</v>
      </c>
      <c r="D190" s="143">
        <f>VLOOKUP($A190,'Data shares'!$C:$FA,121)*100</f>
        <v>-5.48</v>
      </c>
      <c r="E190" s="143">
        <f>VLOOKUP($A190,'Data shares'!$C:$FA,124)</f>
        <v>0.62</v>
      </c>
      <c r="F190" s="143">
        <f>VLOOKUP($A190,'Data shares'!$C:$FA,125)</f>
        <v>0.41</v>
      </c>
      <c r="G190" s="143">
        <f>VLOOKUP($A190,'Data shares'!$C:$FA,127)*100</f>
        <v>51.22</v>
      </c>
      <c r="H190" s="103">
        <f>VLOOKUP($A190,'OI(Volume)'!$A$7:$O$445,8)</f>
        <v>102950</v>
      </c>
      <c r="I190" s="103">
        <f>VLOOKUP($A190,'OI(Volume)'!$A$7:$O$445,9)</f>
        <v>5100</v>
      </c>
      <c r="J190" s="103">
        <f>VLOOKUP($A190,'OI(Volume)'!$A$7:$O$445,11)</f>
        <v>71350</v>
      </c>
      <c r="K190" s="103">
        <f>VLOOKUP($A190,'OI(Volume)'!$A$7:$O$445,12)</f>
        <v>-150</v>
      </c>
      <c r="L190" s="103">
        <f>VLOOKUP($A190,'OI(Value)'!$A$7:$O$329,8,0)</f>
        <v>160</v>
      </c>
      <c r="M190" s="103">
        <f>VLOOKUP($A190,'OI(Value)'!$A$7:$O$329,9,0)</f>
        <v>8</v>
      </c>
      <c r="N190" s="103">
        <f>VLOOKUP($A190,'OI(Value)'!$A$7:$O$329,11,0)</f>
        <v>111</v>
      </c>
      <c r="O190" s="103">
        <f>VLOOKUP($A190,'OI(Value)'!$A$7:$O$329,12,0)</f>
        <v>0</v>
      </c>
    </row>
    <row r="191" spans="1:15" x14ac:dyDescent="0.25">
      <c r="A191" s="105" t="str">
        <f>'Data Vlaue (Cr)'!C186</f>
        <v>SONACOMS</v>
      </c>
      <c r="B191" s="143">
        <f>VLOOKUP($A191,'Data shares'!$C:$FA,118)</f>
        <v>0.56999999999999995</v>
      </c>
      <c r="C191" s="143">
        <f>VLOOKUP($A191,'Data shares'!$C:$FA,119)</f>
        <v>0.76</v>
      </c>
      <c r="D191" s="143">
        <f>VLOOKUP($A191,'Data shares'!$C:$FA,121)*100</f>
        <v>-25</v>
      </c>
      <c r="E191" s="143">
        <f>VLOOKUP($A191,'Data shares'!$C:$FA,124)</f>
        <v>0.6</v>
      </c>
      <c r="F191" s="143">
        <f>VLOOKUP($A191,'Data shares'!$C:$FA,125)</f>
        <v>0.51</v>
      </c>
      <c r="G191" s="143">
        <f>VLOOKUP($A191,'Data shares'!$C:$FA,127)*100</f>
        <v>17.649999999999999</v>
      </c>
      <c r="H191" s="103">
        <f>VLOOKUP($A191,'OI(Volume)'!$A$7:$O$445,8)</f>
        <v>4474925</v>
      </c>
      <c r="I191" s="103">
        <f>VLOOKUP($A191,'OI(Volume)'!$A$7:$O$445,9)</f>
        <v>1715000</v>
      </c>
      <c r="J191" s="103">
        <f>VLOOKUP($A191,'OI(Volume)'!$A$7:$O$445,11)</f>
        <v>2545550</v>
      </c>
      <c r="K191" s="103">
        <f>VLOOKUP($A191,'OI(Volume)'!$A$7:$O$445,12)</f>
        <v>441000</v>
      </c>
      <c r="L191" s="103">
        <f>VLOOKUP($A191,'OI(Value)'!$A$7:$O$329,8,0)</f>
        <v>258</v>
      </c>
      <c r="M191" s="103">
        <f>VLOOKUP($A191,'OI(Value)'!$A$7:$O$329,9,0)</f>
        <v>99</v>
      </c>
      <c r="N191" s="103">
        <f>VLOOKUP($A191,'OI(Value)'!$A$7:$O$329,11,0)</f>
        <v>147</v>
      </c>
      <c r="O191" s="103">
        <f>VLOOKUP($A191,'OI(Value)'!$A$7:$O$329,12,0)</f>
        <v>25</v>
      </c>
    </row>
    <row r="192" spans="1:15" x14ac:dyDescent="0.25">
      <c r="A192" s="105" t="str">
        <f>'Data Vlaue (Cr)'!C187</f>
        <v>SRF</v>
      </c>
      <c r="B192" s="143">
        <f>VLOOKUP($A192,'Data shares'!$C:$FA,118)</f>
        <v>0.83</v>
      </c>
      <c r="C192" s="143">
        <f>VLOOKUP($A192,'Data shares'!$C:$FA,119)</f>
        <v>0.91</v>
      </c>
      <c r="D192" s="143">
        <f>VLOOKUP($A192,'Data shares'!$C:$FA,121)*100</f>
        <v>-8.7900000000000009</v>
      </c>
      <c r="E192" s="143">
        <f>VLOOKUP($A192,'Data shares'!$C:$FA,124)</f>
        <v>0.39</v>
      </c>
      <c r="F192" s="143">
        <f>VLOOKUP($A192,'Data shares'!$C:$FA,125)</f>
        <v>0.44</v>
      </c>
      <c r="G192" s="143">
        <f>VLOOKUP($A192,'Data shares'!$C:$FA,127)*100</f>
        <v>-11.360000000000001</v>
      </c>
      <c r="H192" s="103">
        <f>VLOOKUP($A192,'OI(Volume)'!$A$7:$O$445,8)</f>
        <v>1062800</v>
      </c>
      <c r="I192" s="103">
        <f>VLOOKUP($A192,'OI(Volume)'!$A$7:$O$445,9)</f>
        <v>141000</v>
      </c>
      <c r="J192" s="103">
        <f>VLOOKUP($A192,'OI(Volume)'!$A$7:$O$445,11)</f>
        <v>885600</v>
      </c>
      <c r="K192" s="103">
        <f>VLOOKUP($A192,'OI(Volume)'!$A$7:$O$445,12)</f>
        <v>49800</v>
      </c>
      <c r="L192" s="103">
        <f>VLOOKUP($A192,'OI(Value)'!$A$7:$O$329,8,0)</f>
        <v>273</v>
      </c>
      <c r="M192" s="103">
        <f>VLOOKUP($A192,'OI(Value)'!$A$7:$O$329,9,0)</f>
        <v>36</v>
      </c>
      <c r="N192" s="103">
        <f>VLOOKUP($A192,'OI(Value)'!$A$7:$O$329,11,0)</f>
        <v>227</v>
      </c>
      <c r="O192" s="103">
        <f>VLOOKUP($A192,'OI(Value)'!$A$7:$O$329,12,0)</f>
        <v>13</v>
      </c>
    </row>
    <row r="193" spans="1:15" x14ac:dyDescent="0.25">
      <c r="A193" s="105" t="str">
        <f>'Data Vlaue (Cr)'!C188</f>
        <v>SUNPHARMA</v>
      </c>
      <c r="B193" s="143">
        <f>VLOOKUP($A193,'Data shares'!$C:$FA,118)</f>
        <v>0.72</v>
      </c>
      <c r="C193" s="143">
        <f>VLOOKUP($A193,'Data shares'!$C:$FA,119)</f>
        <v>0.76</v>
      </c>
      <c r="D193" s="143">
        <f>VLOOKUP($A193,'Data shares'!$C:$FA,121)*100</f>
        <v>-5.26</v>
      </c>
      <c r="E193" s="143">
        <f>VLOOKUP($A193,'Data shares'!$C:$FA,124)</f>
        <v>0.53</v>
      </c>
      <c r="F193" s="143">
        <f>VLOOKUP($A193,'Data shares'!$C:$FA,125)</f>
        <v>0.48</v>
      </c>
      <c r="G193" s="143">
        <f>VLOOKUP($A193,'Data shares'!$C:$FA,127)*100</f>
        <v>10.42</v>
      </c>
      <c r="H193" s="103">
        <f>VLOOKUP($A193,'OI(Volume)'!$A$7:$O$445,8)</f>
        <v>9427600</v>
      </c>
      <c r="I193" s="103">
        <f>VLOOKUP($A193,'OI(Volume)'!$A$7:$O$445,9)</f>
        <v>1369900</v>
      </c>
      <c r="J193" s="103">
        <f>VLOOKUP($A193,'OI(Volume)'!$A$7:$O$445,11)</f>
        <v>6761300</v>
      </c>
      <c r="K193" s="103">
        <f>VLOOKUP($A193,'OI(Volume)'!$A$7:$O$445,12)</f>
        <v>675500</v>
      </c>
      <c r="L193" s="103">
        <f>VLOOKUP($A193,'OI(Value)'!$A$7:$O$329,8,0)</f>
        <v>1723</v>
      </c>
      <c r="M193" s="103">
        <f>VLOOKUP($A193,'OI(Value)'!$A$7:$O$329,9,0)</f>
        <v>250</v>
      </c>
      <c r="N193" s="103">
        <f>VLOOKUP($A193,'OI(Value)'!$A$7:$O$329,11,0)</f>
        <v>1236</v>
      </c>
      <c r="O193" s="103">
        <f>VLOOKUP($A193,'OI(Value)'!$A$7:$O$329,12,0)</f>
        <v>123</v>
      </c>
    </row>
    <row r="194" spans="1:15" x14ac:dyDescent="0.25">
      <c r="A194" s="105" t="str">
        <f>'Data Vlaue (Cr)'!C189</f>
        <v>SUPREMEIND</v>
      </c>
      <c r="B194" s="143">
        <f>VLOOKUP($A194,'Data shares'!$C:$FA,118)</f>
        <v>0.45</v>
      </c>
      <c r="C194" s="143">
        <f>VLOOKUP($A194,'Data shares'!$C:$FA,119)</f>
        <v>0.46</v>
      </c>
      <c r="D194" s="143">
        <f>VLOOKUP($A194,'Data shares'!$C:$FA,121)*100</f>
        <v>-2.17</v>
      </c>
      <c r="E194" s="143">
        <f>VLOOKUP($A194,'Data shares'!$C:$FA,124)</f>
        <v>0.41</v>
      </c>
      <c r="F194" s="143">
        <f>VLOOKUP($A194,'Data shares'!$C:$FA,125)</f>
        <v>0.62</v>
      </c>
      <c r="G194" s="143">
        <f>VLOOKUP($A194,'Data shares'!$C:$FA,127)*100</f>
        <v>-33.869999999999997</v>
      </c>
      <c r="H194" s="103">
        <f>VLOOKUP($A194,'OI(Volume)'!$A$7:$O$445,8)</f>
        <v>950425</v>
      </c>
      <c r="I194" s="103">
        <f>VLOOKUP($A194,'OI(Volume)'!$A$7:$O$445,9)</f>
        <v>134400</v>
      </c>
      <c r="J194" s="103">
        <f>VLOOKUP($A194,'OI(Volume)'!$A$7:$O$445,11)</f>
        <v>428400</v>
      </c>
      <c r="K194" s="103">
        <f>VLOOKUP($A194,'OI(Volume)'!$A$7:$O$445,12)</f>
        <v>50750</v>
      </c>
      <c r="L194" s="103">
        <f>VLOOKUP($A194,'OI(Value)'!$A$7:$O$329,8,0)</f>
        <v>346</v>
      </c>
      <c r="M194" s="103">
        <f>VLOOKUP($A194,'OI(Value)'!$A$7:$O$329,9,0)</f>
        <v>49</v>
      </c>
      <c r="N194" s="103">
        <f>VLOOKUP($A194,'OI(Value)'!$A$7:$O$329,11,0)</f>
        <v>156</v>
      </c>
      <c r="O194" s="103">
        <f>VLOOKUP($A194,'OI(Value)'!$A$7:$O$329,12,0)</f>
        <v>18</v>
      </c>
    </row>
    <row r="195" spans="1:15" x14ac:dyDescent="0.25">
      <c r="A195" s="105" t="str">
        <f>'Data Vlaue (Cr)'!C190</f>
        <v>SUZLON</v>
      </c>
      <c r="B195" s="143">
        <f>VLOOKUP($A195,'Data shares'!$C:$FA,118)</f>
        <v>0.43</v>
      </c>
      <c r="C195" s="143">
        <f>VLOOKUP($A195,'Data shares'!$C:$FA,119)</f>
        <v>0.45</v>
      </c>
      <c r="D195" s="143">
        <f>VLOOKUP($A195,'Data shares'!$C:$FA,121)*100</f>
        <v>-4.4400000000000004</v>
      </c>
      <c r="E195" s="143">
        <f>VLOOKUP($A195,'Data shares'!$C:$FA,124)</f>
        <v>0.45</v>
      </c>
      <c r="F195" s="143">
        <f>VLOOKUP($A195,'Data shares'!$C:$FA,125)</f>
        <v>0.63</v>
      </c>
      <c r="G195" s="143">
        <f>VLOOKUP($A195,'Data shares'!$C:$FA,127)*100</f>
        <v>-28.57</v>
      </c>
      <c r="H195" s="103">
        <f>VLOOKUP($A195,'OI(Volume)'!$A$7:$O$445,8)</f>
        <v>137604175</v>
      </c>
      <c r="I195" s="103">
        <f>VLOOKUP($A195,'OI(Volume)'!$A$7:$O$445,9)</f>
        <v>17192625</v>
      </c>
      <c r="J195" s="103">
        <f>VLOOKUP($A195,'OI(Volume)'!$A$7:$O$445,11)</f>
        <v>58644450</v>
      </c>
      <c r="K195" s="103">
        <f>VLOOKUP($A195,'OI(Volume)'!$A$7:$O$445,12)</f>
        <v>4304925</v>
      </c>
      <c r="L195" s="103">
        <f>VLOOKUP($A195,'OI(Value)'!$A$7:$O$329,8,0)</f>
        <v>758</v>
      </c>
      <c r="M195" s="103">
        <f>VLOOKUP($A195,'OI(Value)'!$A$7:$O$329,9,0)</f>
        <v>95</v>
      </c>
      <c r="N195" s="103">
        <f>VLOOKUP($A195,'OI(Value)'!$A$7:$O$329,11,0)</f>
        <v>323</v>
      </c>
      <c r="O195" s="103">
        <f>VLOOKUP($A195,'OI(Value)'!$A$7:$O$329,12,0)</f>
        <v>24</v>
      </c>
    </row>
    <row r="196" spans="1:15" x14ac:dyDescent="0.25">
      <c r="A196" s="105" t="str">
        <f>'Data Vlaue (Cr)'!C191</f>
        <v>SWIGGY</v>
      </c>
      <c r="B196" s="143">
        <f>VLOOKUP($A196,'Data shares'!$C:$FA,118)</f>
        <v>0.65</v>
      </c>
      <c r="C196" s="143">
        <f>VLOOKUP($A196,'Data shares'!$C:$FA,119)</f>
        <v>0.7</v>
      </c>
      <c r="D196" s="143">
        <f>VLOOKUP($A196,'Data shares'!$C:$FA,121)*100</f>
        <v>-7.1400000000000006</v>
      </c>
      <c r="E196" s="143">
        <f>VLOOKUP($A196,'Data shares'!$C:$FA,124)</f>
        <v>0.41</v>
      </c>
      <c r="F196" s="143">
        <f>VLOOKUP($A196,'Data shares'!$C:$FA,125)</f>
        <v>0.66</v>
      </c>
      <c r="G196" s="143">
        <f>VLOOKUP($A196,'Data shares'!$C:$FA,127)*100</f>
        <v>-37.880000000000003</v>
      </c>
      <c r="H196" s="103">
        <f>VLOOKUP($A196,'OI(Volume)'!$A$7:$O$445,8)</f>
        <v>9347000</v>
      </c>
      <c r="I196" s="103">
        <f>VLOOKUP($A196,'OI(Volume)'!$A$7:$O$445,9)</f>
        <v>1636700</v>
      </c>
      <c r="J196" s="103">
        <f>VLOOKUP($A196,'OI(Volume)'!$A$7:$O$445,11)</f>
        <v>6043700</v>
      </c>
      <c r="K196" s="103">
        <f>VLOOKUP($A196,'OI(Volume)'!$A$7:$O$445,12)</f>
        <v>678600</v>
      </c>
      <c r="L196" s="103">
        <f>VLOOKUP($A196,'OI(Value)'!$A$7:$O$329,8,0)</f>
        <v>260</v>
      </c>
      <c r="M196" s="103">
        <f>VLOOKUP($A196,'OI(Value)'!$A$7:$O$329,9,0)</f>
        <v>45</v>
      </c>
      <c r="N196" s="103">
        <f>VLOOKUP($A196,'OI(Value)'!$A$7:$O$329,11,0)</f>
        <v>168</v>
      </c>
      <c r="O196" s="103">
        <f>VLOOKUP($A196,'OI(Value)'!$A$7:$O$329,12,0)</f>
        <v>19</v>
      </c>
    </row>
    <row r="197" spans="1:15" x14ac:dyDescent="0.25">
      <c r="A197" s="105" t="str">
        <f>'Data Vlaue (Cr)'!C192</f>
        <v>TATACONSUM</v>
      </c>
      <c r="B197" s="143">
        <f>VLOOKUP($A197,'Data shares'!$C:$FA,118)</f>
        <v>0.56000000000000005</v>
      </c>
      <c r="C197" s="143">
        <f>VLOOKUP($A197,'Data shares'!$C:$FA,119)</f>
        <v>0.62</v>
      </c>
      <c r="D197" s="143">
        <f>VLOOKUP($A197,'Data shares'!$C:$FA,121)*100</f>
        <v>-9.68</v>
      </c>
      <c r="E197" s="143">
        <f>VLOOKUP($A197,'Data shares'!$C:$FA,124)</f>
        <v>0.26</v>
      </c>
      <c r="F197" s="143">
        <f>VLOOKUP($A197,'Data shares'!$C:$FA,125)</f>
        <v>0.42</v>
      </c>
      <c r="G197" s="143">
        <f>VLOOKUP($A197,'Data shares'!$C:$FA,127)*100</f>
        <v>-38.1</v>
      </c>
      <c r="H197" s="103">
        <f>VLOOKUP($A197,'OI(Volume)'!$A$7:$O$445,8)</f>
        <v>2390850</v>
      </c>
      <c r="I197" s="103">
        <f>VLOOKUP($A197,'OI(Volume)'!$A$7:$O$445,9)</f>
        <v>406450</v>
      </c>
      <c r="J197" s="103">
        <f>VLOOKUP($A197,'OI(Volume)'!$A$7:$O$445,11)</f>
        <v>1349150</v>
      </c>
      <c r="K197" s="103">
        <f>VLOOKUP($A197,'OI(Volume)'!$A$7:$O$445,12)</f>
        <v>125950</v>
      </c>
      <c r="L197" s="103">
        <f>VLOOKUP($A197,'OI(Value)'!$A$7:$O$329,8,0)</f>
        <v>278</v>
      </c>
      <c r="M197" s="103">
        <f>VLOOKUP($A197,'OI(Value)'!$A$7:$O$329,9,0)</f>
        <v>47</v>
      </c>
      <c r="N197" s="103">
        <f>VLOOKUP($A197,'OI(Value)'!$A$7:$O$329,11,0)</f>
        <v>157</v>
      </c>
      <c r="O197" s="103">
        <f>VLOOKUP($A197,'OI(Value)'!$A$7:$O$329,12,0)</f>
        <v>15</v>
      </c>
    </row>
    <row r="198" spans="1:15" x14ac:dyDescent="0.25">
      <c r="A198" s="105" t="str">
        <f>'Data Vlaue (Cr)'!C193</f>
        <v>TATAELXSI</v>
      </c>
      <c r="B198" s="143">
        <f>VLOOKUP($A198,'Data shares'!$C:$FA,118)</f>
        <v>0.45</v>
      </c>
      <c r="C198" s="143">
        <f>VLOOKUP($A198,'Data shares'!$C:$FA,119)</f>
        <v>0.45</v>
      </c>
      <c r="D198" s="143">
        <f>VLOOKUP($A198,'Data shares'!$C:$FA,121)*100</f>
        <v>0</v>
      </c>
      <c r="E198" s="143">
        <f>VLOOKUP($A198,'Data shares'!$C:$FA,124)</f>
        <v>0.33</v>
      </c>
      <c r="F198" s="143">
        <f>VLOOKUP($A198,'Data shares'!$C:$FA,125)</f>
        <v>0.46</v>
      </c>
      <c r="G198" s="143">
        <f>VLOOKUP($A198,'Data shares'!$C:$FA,127)*100</f>
        <v>-28.26</v>
      </c>
      <c r="H198" s="103">
        <f>VLOOKUP($A198,'OI(Volume)'!$A$7:$O$445,8)</f>
        <v>1354300</v>
      </c>
      <c r="I198" s="103">
        <f>VLOOKUP($A198,'OI(Volume)'!$A$7:$O$445,9)</f>
        <v>145700</v>
      </c>
      <c r="J198" s="103">
        <f>VLOOKUP($A198,'OI(Volume)'!$A$7:$O$445,11)</f>
        <v>603025</v>
      </c>
      <c r="K198" s="103">
        <f>VLOOKUP($A198,'OI(Volume)'!$A$7:$O$445,12)</f>
        <v>53825</v>
      </c>
      <c r="L198" s="103">
        <f>VLOOKUP($A198,'OI(Value)'!$A$7:$O$329,8,0)</f>
        <v>565</v>
      </c>
      <c r="M198" s="103">
        <f>VLOOKUP($A198,'OI(Value)'!$A$7:$O$329,9,0)</f>
        <v>61</v>
      </c>
      <c r="N198" s="103">
        <f>VLOOKUP($A198,'OI(Value)'!$A$7:$O$329,11,0)</f>
        <v>252</v>
      </c>
      <c r="O198" s="103">
        <f>VLOOKUP($A198,'OI(Value)'!$A$7:$O$329,12,0)</f>
        <v>22</v>
      </c>
    </row>
    <row r="199" spans="1:15" x14ac:dyDescent="0.25">
      <c r="A199" s="105" t="str">
        <f>'Data Vlaue (Cr)'!C194</f>
        <v>TATAPOWER</v>
      </c>
      <c r="B199" s="143">
        <f>VLOOKUP($A199,'Data shares'!$C:$FA,118)</f>
        <v>0.64</v>
      </c>
      <c r="C199" s="143">
        <f>VLOOKUP($A199,'Data shares'!$C:$FA,119)</f>
        <v>0.7</v>
      </c>
      <c r="D199" s="143">
        <f>VLOOKUP($A199,'Data shares'!$C:$FA,121)*100</f>
        <v>-8.57</v>
      </c>
      <c r="E199" s="143">
        <f>VLOOKUP($A199,'Data shares'!$C:$FA,124)</f>
        <v>0.32</v>
      </c>
      <c r="F199" s="143">
        <f>VLOOKUP($A199,'Data shares'!$C:$FA,125)</f>
        <v>0.57999999999999996</v>
      </c>
      <c r="G199" s="143">
        <f>VLOOKUP($A199,'Data shares'!$C:$FA,127)*100</f>
        <v>-44.83</v>
      </c>
      <c r="H199" s="103">
        <f>VLOOKUP($A199,'OI(Volume)'!$A$7:$O$445,8)</f>
        <v>23160850</v>
      </c>
      <c r="I199" s="103">
        <f>VLOOKUP($A199,'OI(Volume)'!$A$7:$O$445,9)</f>
        <v>3058050</v>
      </c>
      <c r="J199" s="103">
        <f>VLOOKUP($A199,'OI(Volume)'!$A$7:$O$445,11)</f>
        <v>14836400</v>
      </c>
      <c r="K199" s="103">
        <f>VLOOKUP($A199,'OI(Volume)'!$A$7:$O$445,12)</f>
        <v>816350</v>
      </c>
      <c r="L199" s="103">
        <f>VLOOKUP($A199,'OI(Value)'!$A$7:$O$329,8,0)</f>
        <v>1028</v>
      </c>
      <c r="M199" s="103">
        <f>VLOOKUP($A199,'OI(Value)'!$A$7:$O$329,9,0)</f>
        <v>136</v>
      </c>
      <c r="N199" s="103">
        <f>VLOOKUP($A199,'OI(Value)'!$A$7:$O$329,11,0)</f>
        <v>659</v>
      </c>
      <c r="O199" s="103">
        <f>VLOOKUP($A199,'OI(Value)'!$A$7:$O$329,12,0)</f>
        <v>36</v>
      </c>
    </row>
    <row r="200" spans="1:15" x14ac:dyDescent="0.25">
      <c r="A200" s="105" t="str">
        <f>'Data Vlaue (Cr)'!C195</f>
        <v>TATASTEEL</v>
      </c>
      <c r="B200" s="143">
        <f>VLOOKUP($A200,'Data shares'!$C:$FA,118)</f>
        <v>0.65</v>
      </c>
      <c r="C200" s="143">
        <f>VLOOKUP($A200,'Data shares'!$C:$FA,119)</f>
        <v>0.61</v>
      </c>
      <c r="D200" s="143">
        <f>VLOOKUP($A200,'Data shares'!$C:$FA,121)*100</f>
        <v>6.5600000000000005</v>
      </c>
      <c r="E200" s="143">
        <f>VLOOKUP($A200,'Data shares'!$C:$FA,124)</f>
        <v>0.55000000000000004</v>
      </c>
      <c r="F200" s="143">
        <f>VLOOKUP($A200,'Data shares'!$C:$FA,125)</f>
        <v>0.75</v>
      </c>
      <c r="G200" s="143">
        <f>VLOOKUP($A200,'Data shares'!$C:$FA,127)*100</f>
        <v>-26.669999999999998</v>
      </c>
      <c r="H200" s="103">
        <f>VLOOKUP($A200,'OI(Volume)'!$A$7:$O$445,8)</f>
        <v>80286250</v>
      </c>
      <c r="I200" s="103">
        <f>VLOOKUP($A200,'OI(Volume)'!$A$7:$O$445,9)</f>
        <v>2257750</v>
      </c>
      <c r="J200" s="103">
        <f>VLOOKUP($A200,'OI(Volume)'!$A$7:$O$445,11)</f>
        <v>52580000</v>
      </c>
      <c r="K200" s="103">
        <f>VLOOKUP($A200,'OI(Volume)'!$A$7:$O$445,12)</f>
        <v>4746500</v>
      </c>
      <c r="L200" s="103">
        <f>VLOOKUP($A200,'OI(Value)'!$A$7:$O$329,8,0)</f>
        <v>1709</v>
      </c>
      <c r="M200" s="103">
        <f>VLOOKUP($A200,'OI(Value)'!$A$7:$O$329,9,0)</f>
        <v>48</v>
      </c>
      <c r="N200" s="103">
        <f>VLOOKUP($A200,'OI(Value)'!$A$7:$O$329,11,0)</f>
        <v>1119</v>
      </c>
      <c r="O200" s="103">
        <f>VLOOKUP($A200,'OI(Value)'!$A$7:$O$329,12,0)</f>
        <v>101</v>
      </c>
    </row>
    <row r="201" spans="1:15" x14ac:dyDescent="0.25">
      <c r="A201" s="105" t="str">
        <f>'Data Vlaue (Cr)'!C196</f>
        <v>TCS</v>
      </c>
      <c r="B201" s="143">
        <f>VLOOKUP($A201,'Data shares'!$C:$FA,118)</f>
        <v>0.73</v>
      </c>
      <c r="C201" s="143">
        <f>VLOOKUP($A201,'Data shares'!$C:$FA,119)</f>
        <v>0.81</v>
      </c>
      <c r="D201" s="143">
        <f>VLOOKUP($A201,'Data shares'!$C:$FA,121)*100</f>
        <v>-9.879999999999999</v>
      </c>
      <c r="E201" s="143">
        <f>VLOOKUP($A201,'Data shares'!$C:$FA,124)</f>
        <v>0.52</v>
      </c>
      <c r="F201" s="143">
        <f>VLOOKUP($A201,'Data shares'!$C:$FA,125)</f>
        <v>0.48</v>
      </c>
      <c r="G201" s="143">
        <f>VLOOKUP($A201,'Data shares'!$C:$FA,127)*100</f>
        <v>8.33</v>
      </c>
      <c r="H201" s="103">
        <f>VLOOKUP($A201,'OI(Volume)'!$A$7:$O$445,8)</f>
        <v>11516350</v>
      </c>
      <c r="I201" s="103">
        <f>VLOOKUP($A201,'OI(Volume)'!$A$7:$O$445,9)</f>
        <v>1336575</v>
      </c>
      <c r="J201" s="103">
        <f>VLOOKUP($A201,'OI(Volume)'!$A$7:$O$445,11)</f>
        <v>8463425</v>
      </c>
      <c r="K201" s="103">
        <f>VLOOKUP($A201,'OI(Volume)'!$A$7:$O$445,12)</f>
        <v>244925</v>
      </c>
      <c r="L201" s="103">
        <f>VLOOKUP($A201,'OI(Value)'!$A$7:$O$329,8,0)</f>
        <v>2789</v>
      </c>
      <c r="M201" s="103">
        <f>VLOOKUP($A201,'OI(Value)'!$A$7:$O$329,9,0)</f>
        <v>324</v>
      </c>
      <c r="N201" s="103">
        <f>VLOOKUP($A201,'OI(Value)'!$A$7:$O$329,11,0)</f>
        <v>2050</v>
      </c>
      <c r="O201" s="103">
        <f>VLOOKUP($A201,'OI(Value)'!$A$7:$O$329,12,0)</f>
        <v>59</v>
      </c>
    </row>
    <row r="202" spans="1:15" x14ac:dyDescent="0.25">
      <c r="A202" s="105" t="str">
        <f>'Data Vlaue (Cr)'!C197</f>
        <v>TECHM</v>
      </c>
      <c r="B202" s="143">
        <f>VLOOKUP($A202,'Data shares'!$C:$FA,118)</f>
        <v>0.73</v>
      </c>
      <c r="C202" s="143">
        <f>VLOOKUP($A202,'Data shares'!$C:$FA,119)</f>
        <v>0.78</v>
      </c>
      <c r="D202" s="143">
        <f>VLOOKUP($A202,'Data shares'!$C:$FA,121)*100</f>
        <v>-6.41</v>
      </c>
      <c r="E202" s="143">
        <f>VLOOKUP($A202,'Data shares'!$C:$FA,124)</f>
        <v>0.63</v>
      </c>
      <c r="F202" s="143">
        <f>VLOOKUP($A202,'Data shares'!$C:$FA,125)</f>
        <v>0.45</v>
      </c>
      <c r="G202" s="143">
        <f>VLOOKUP($A202,'Data shares'!$C:$FA,127)*100</f>
        <v>40</v>
      </c>
      <c r="H202" s="103">
        <f>VLOOKUP($A202,'OI(Volume)'!$A$7:$O$445,8)</f>
        <v>6375000</v>
      </c>
      <c r="I202" s="103">
        <f>VLOOKUP($A202,'OI(Volume)'!$A$7:$O$445,9)</f>
        <v>506400</v>
      </c>
      <c r="J202" s="103">
        <f>VLOOKUP($A202,'OI(Volume)'!$A$7:$O$445,11)</f>
        <v>4663800</v>
      </c>
      <c r="K202" s="103">
        <f>VLOOKUP($A202,'OI(Volume)'!$A$7:$O$445,12)</f>
        <v>112200</v>
      </c>
      <c r="L202" s="103">
        <f>VLOOKUP($A202,'OI(Value)'!$A$7:$O$329,8,0)</f>
        <v>935</v>
      </c>
      <c r="M202" s="103">
        <f>VLOOKUP($A202,'OI(Value)'!$A$7:$O$329,9,0)</f>
        <v>74</v>
      </c>
      <c r="N202" s="103">
        <f>VLOOKUP($A202,'OI(Value)'!$A$7:$O$329,11,0)</f>
        <v>684</v>
      </c>
      <c r="O202" s="103">
        <f>VLOOKUP($A202,'OI(Value)'!$A$7:$O$329,12,0)</f>
        <v>16</v>
      </c>
    </row>
    <row r="203" spans="1:15" x14ac:dyDescent="0.25">
      <c r="A203" s="105" t="str">
        <f>'Data Vlaue (Cr)'!C198</f>
        <v>TIINDIA</v>
      </c>
      <c r="B203" s="143">
        <f>VLOOKUP($A203,'Data shares'!$C:$FA,118)</f>
        <v>0.79</v>
      </c>
      <c r="C203" s="143">
        <f>VLOOKUP($A203,'Data shares'!$C:$FA,119)</f>
        <v>1.02</v>
      </c>
      <c r="D203" s="143">
        <f>VLOOKUP($A203,'Data shares'!$C:$FA,121)*100</f>
        <v>-22.55</v>
      </c>
      <c r="E203" s="143">
        <f>VLOOKUP($A203,'Data shares'!$C:$FA,124)</f>
        <v>0.31</v>
      </c>
      <c r="F203" s="143">
        <f>VLOOKUP($A203,'Data shares'!$C:$FA,125)</f>
        <v>0.69</v>
      </c>
      <c r="G203" s="143">
        <f>VLOOKUP($A203,'Data shares'!$C:$FA,127)*100</f>
        <v>-55.069999999999993</v>
      </c>
      <c r="H203" s="103">
        <f>VLOOKUP($A203,'OI(Volume)'!$A$7:$O$445,8)</f>
        <v>272200</v>
      </c>
      <c r="I203" s="103">
        <f>VLOOKUP($A203,'OI(Volume)'!$A$7:$O$445,9)</f>
        <v>64200</v>
      </c>
      <c r="J203" s="103">
        <f>VLOOKUP($A203,'OI(Volume)'!$A$7:$O$445,11)</f>
        <v>216000</v>
      </c>
      <c r="K203" s="103">
        <f>VLOOKUP($A203,'OI(Volume)'!$A$7:$O$445,12)</f>
        <v>2800</v>
      </c>
      <c r="L203" s="103">
        <f>VLOOKUP($A203,'OI(Value)'!$A$7:$O$329,8,0)</f>
        <v>79</v>
      </c>
      <c r="M203" s="103">
        <f>VLOOKUP($A203,'OI(Value)'!$A$7:$O$329,9,0)</f>
        <v>19</v>
      </c>
      <c r="N203" s="103">
        <f>VLOOKUP($A203,'OI(Value)'!$A$7:$O$329,11,0)</f>
        <v>63</v>
      </c>
      <c r="O203" s="103">
        <f>VLOOKUP($A203,'OI(Value)'!$A$7:$O$329,12,0)</f>
        <v>1</v>
      </c>
    </row>
    <row r="204" spans="1:15" x14ac:dyDescent="0.25">
      <c r="A204" s="105" t="str">
        <f>'Data Vlaue (Cr)'!C199</f>
        <v>TITAN</v>
      </c>
      <c r="B204" s="143">
        <f>VLOOKUP($A204,'Data shares'!$C:$FA,118)</f>
        <v>0.84</v>
      </c>
      <c r="C204" s="143">
        <f>VLOOKUP($A204,'Data shares'!$C:$FA,119)</f>
        <v>0.78</v>
      </c>
      <c r="D204" s="143">
        <f>VLOOKUP($A204,'Data shares'!$C:$FA,121)*100</f>
        <v>7.6899999999999995</v>
      </c>
      <c r="E204" s="143">
        <f>VLOOKUP($A204,'Data shares'!$C:$FA,124)</f>
        <v>0.7</v>
      </c>
      <c r="F204" s="143">
        <f>VLOOKUP($A204,'Data shares'!$C:$FA,125)</f>
        <v>0.71</v>
      </c>
      <c r="G204" s="143">
        <f>VLOOKUP($A204,'Data shares'!$C:$FA,127)*100</f>
        <v>-1.41</v>
      </c>
      <c r="H204" s="103">
        <f>VLOOKUP($A204,'OI(Volume)'!$A$7:$O$445,8)</f>
        <v>1528975</v>
      </c>
      <c r="I204" s="103">
        <f>VLOOKUP($A204,'OI(Volume)'!$A$7:$O$445,9)</f>
        <v>167825</v>
      </c>
      <c r="J204" s="103">
        <f>VLOOKUP($A204,'OI(Volume)'!$A$7:$O$445,11)</f>
        <v>1281875</v>
      </c>
      <c r="K204" s="103">
        <f>VLOOKUP($A204,'OI(Volume)'!$A$7:$O$445,12)</f>
        <v>219625</v>
      </c>
      <c r="L204" s="103">
        <f>VLOOKUP($A204,'OI(Value)'!$A$7:$O$329,8,0)</f>
        <v>670</v>
      </c>
      <c r="M204" s="103">
        <f>VLOOKUP($A204,'OI(Value)'!$A$7:$O$329,9,0)</f>
        <v>74</v>
      </c>
      <c r="N204" s="103">
        <f>VLOOKUP($A204,'OI(Value)'!$A$7:$O$329,11,0)</f>
        <v>562</v>
      </c>
      <c r="O204" s="103">
        <f>VLOOKUP($A204,'OI(Value)'!$A$7:$O$329,12,0)</f>
        <v>96</v>
      </c>
    </row>
    <row r="205" spans="1:15" x14ac:dyDescent="0.25">
      <c r="A205" s="105" t="str">
        <f>'Data Vlaue (Cr)'!C200</f>
        <v>TMPV</v>
      </c>
      <c r="B205" s="143">
        <f>VLOOKUP($A205,'Data shares'!$C:$FA,118)</f>
        <v>0.69</v>
      </c>
      <c r="C205" s="143">
        <f>VLOOKUP($A205,'Data shares'!$C:$FA,119)</f>
        <v>0.86</v>
      </c>
      <c r="D205" s="143">
        <f>VLOOKUP($A205,'Data shares'!$C:$FA,121)*100</f>
        <v>-19.77</v>
      </c>
      <c r="E205" s="143">
        <f>VLOOKUP($A205,'Data shares'!$C:$FA,124)</f>
        <v>0.34</v>
      </c>
      <c r="F205" s="143">
        <f>VLOOKUP($A205,'Data shares'!$C:$FA,125)</f>
        <v>0.49</v>
      </c>
      <c r="G205" s="143">
        <f>VLOOKUP($A205,'Data shares'!$C:$FA,127)*100</f>
        <v>-30.61</v>
      </c>
      <c r="H205" s="103">
        <f>VLOOKUP($A205,'OI(Volume)'!$A$7:$O$445,8)</f>
        <v>23577600</v>
      </c>
      <c r="I205" s="103">
        <f>VLOOKUP($A205,'OI(Volume)'!$A$7:$O$445,9)</f>
        <v>5759200</v>
      </c>
      <c r="J205" s="103">
        <f>VLOOKUP($A205,'OI(Volume)'!$A$7:$O$445,11)</f>
        <v>16152800</v>
      </c>
      <c r="K205" s="103">
        <f>VLOOKUP($A205,'OI(Volume)'!$A$7:$O$445,12)</f>
        <v>835200</v>
      </c>
      <c r="L205" s="103">
        <f>VLOOKUP($A205,'OI(Value)'!$A$7:$O$329,8,0)</f>
        <v>814</v>
      </c>
      <c r="M205" s="103">
        <f>VLOOKUP($A205,'OI(Value)'!$A$7:$O$329,9,0)</f>
        <v>199</v>
      </c>
      <c r="N205" s="103">
        <f>VLOOKUP($A205,'OI(Value)'!$A$7:$O$329,11,0)</f>
        <v>558</v>
      </c>
      <c r="O205" s="103">
        <f>VLOOKUP($A205,'OI(Value)'!$A$7:$O$329,12,0)</f>
        <v>29</v>
      </c>
    </row>
    <row r="206" spans="1:15" x14ac:dyDescent="0.25">
      <c r="A206" s="105" t="str">
        <f>'Data Vlaue (Cr)'!C201</f>
        <v>TORNTPHARM</v>
      </c>
      <c r="B206" s="143">
        <f>VLOOKUP($A206,'Data shares'!$C:$FA,118)</f>
        <v>0.56000000000000005</v>
      </c>
      <c r="C206" s="143">
        <f>VLOOKUP($A206,'Data shares'!$C:$FA,119)</f>
        <v>0.79</v>
      </c>
      <c r="D206" s="143">
        <f>VLOOKUP($A206,'Data shares'!$C:$FA,121)*100</f>
        <v>-29.110000000000003</v>
      </c>
      <c r="E206" s="143">
        <f>VLOOKUP($A206,'Data shares'!$C:$FA,124)</f>
        <v>0.23</v>
      </c>
      <c r="F206" s="143">
        <f>VLOOKUP($A206,'Data shares'!$C:$FA,125)</f>
        <v>0.62</v>
      </c>
      <c r="G206" s="143">
        <f>VLOOKUP($A206,'Data shares'!$C:$FA,127)*100</f>
        <v>-62.9</v>
      </c>
      <c r="H206" s="103">
        <f>VLOOKUP($A206,'OI(Volume)'!$A$7:$O$445,8)</f>
        <v>330625</v>
      </c>
      <c r="I206" s="103">
        <f>VLOOKUP($A206,'OI(Volume)'!$A$7:$O$445,9)</f>
        <v>87375</v>
      </c>
      <c r="J206" s="103">
        <f>VLOOKUP($A206,'OI(Volume)'!$A$7:$O$445,11)</f>
        <v>185250</v>
      </c>
      <c r="K206" s="103">
        <f>VLOOKUP($A206,'OI(Volume)'!$A$7:$O$445,12)</f>
        <v>-6000</v>
      </c>
      <c r="L206" s="103">
        <f>VLOOKUP($A206,'OI(Value)'!$A$7:$O$329,8,0)</f>
        <v>141</v>
      </c>
      <c r="M206" s="103">
        <f>VLOOKUP($A206,'OI(Value)'!$A$7:$O$329,9,0)</f>
        <v>37</v>
      </c>
      <c r="N206" s="103">
        <f>VLOOKUP($A206,'OI(Value)'!$A$7:$O$329,11,0)</f>
        <v>79</v>
      </c>
      <c r="O206" s="103">
        <f>VLOOKUP($A206,'OI(Value)'!$A$7:$O$329,12,0)</f>
        <v>-3</v>
      </c>
    </row>
    <row r="207" spans="1:15" x14ac:dyDescent="0.25">
      <c r="A207" s="105" t="str">
        <f>'Data Vlaue (Cr)'!C202</f>
        <v>TRENT</v>
      </c>
      <c r="B207" s="143">
        <f>VLOOKUP($A207,'Data shares'!$C:$FA,118)</f>
        <v>0.4</v>
      </c>
      <c r="C207" s="143">
        <f>VLOOKUP($A207,'Data shares'!$C:$FA,119)</f>
        <v>0.42</v>
      </c>
      <c r="D207" s="143">
        <f>VLOOKUP($A207,'Data shares'!$C:$FA,121)*100</f>
        <v>-4.7600000000000007</v>
      </c>
      <c r="E207" s="143">
        <f>VLOOKUP($A207,'Data shares'!$C:$FA,124)</f>
        <v>0.34</v>
      </c>
      <c r="F207" s="143">
        <f>VLOOKUP($A207,'Data shares'!$C:$FA,125)</f>
        <v>0.48</v>
      </c>
      <c r="G207" s="143">
        <f>VLOOKUP($A207,'Data shares'!$C:$FA,127)*100</f>
        <v>-29.17</v>
      </c>
      <c r="H207" s="103">
        <f>VLOOKUP($A207,'OI(Volume)'!$A$7:$O$445,8)</f>
        <v>0</v>
      </c>
      <c r="I207" s="103">
        <f>VLOOKUP($A207,'OI(Volume)'!$A$7:$O$445,9)</f>
        <v>0</v>
      </c>
      <c r="J207" s="103">
        <f>VLOOKUP($A207,'OI(Volume)'!$A$7:$O$445,11)</f>
        <v>0</v>
      </c>
      <c r="K207" s="103">
        <f>VLOOKUP($A207,'OI(Volume)'!$A$7:$O$445,12)</f>
        <v>0</v>
      </c>
      <c r="L207" s="103">
        <f>VLOOKUP($A207,'OI(Value)'!$A$7:$O$329,8,0)</f>
        <v>1399</v>
      </c>
      <c r="M207" s="103">
        <f>VLOOKUP($A207,'OI(Value)'!$A$7:$O$329,9,0)</f>
        <v>81</v>
      </c>
      <c r="N207" s="103">
        <f>VLOOKUP($A207,'OI(Value)'!$A$7:$O$329,11,0)</f>
        <v>563</v>
      </c>
      <c r="O207" s="103">
        <f>VLOOKUP($A207,'OI(Value)'!$A$7:$O$329,12,0)</f>
        <v>10</v>
      </c>
    </row>
    <row r="208" spans="1:15" x14ac:dyDescent="0.25">
      <c r="A208" s="105" t="str">
        <f>'Data Vlaue (Cr)'!C203</f>
        <v>TVSMOTOR</v>
      </c>
      <c r="B208" s="143">
        <f>VLOOKUP($A208,'Data shares'!$C:$FA,118)</f>
        <v>0.61</v>
      </c>
      <c r="C208" s="143">
        <f>VLOOKUP($A208,'Data shares'!$C:$FA,119)</f>
        <v>0.69</v>
      </c>
      <c r="D208" s="143">
        <f>VLOOKUP($A208,'Data shares'!$C:$FA,121)*100</f>
        <v>-11.59</v>
      </c>
      <c r="E208" s="143">
        <f>VLOOKUP($A208,'Data shares'!$C:$FA,124)</f>
        <v>0.36</v>
      </c>
      <c r="F208" s="143">
        <f>VLOOKUP($A208,'Data shares'!$C:$FA,125)</f>
        <v>0.72</v>
      </c>
      <c r="G208" s="143">
        <f>VLOOKUP($A208,'Data shares'!$C:$FA,127)*100</f>
        <v>-50</v>
      </c>
      <c r="H208" s="103">
        <f>VLOOKUP($A208,'OI(Volume)'!$A$7:$O$445,8)</f>
        <v>0</v>
      </c>
      <c r="I208" s="103">
        <f>VLOOKUP($A208,'OI(Volume)'!$A$7:$O$445,9)</f>
        <v>0</v>
      </c>
      <c r="J208" s="103">
        <f>VLOOKUP($A208,'OI(Volume)'!$A$7:$O$445,11)</f>
        <v>0</v>
      </c>
      <c r="K208" s="103">
        <f>VLOOKUP($A208,'OI(Volume)'!$A$7:$O$445,12)</f>
        <v>0</v>
      </c>
      <c r="L208" s="103">
        <f>VLOOKUP($A208,'OI(Value)'!$A$7:$O$329,8,0)</f>
        <v>513</v>
      </c>
      <c r="M208" s="103">
        <f>VLOOKUP($A208,'OI(Value)'!$A$7:$O$329,9,0)</f>
        <v>93</v>
      </c>
      <c r="N208" s="103">
        <f>VLOOKUP($A208,'OI(Value)'!$A$7:$O$329,11,0)</f>
        <v>313</v>
      </c>
      <c r="O208" s="103">
        <f>VLOOKUP($A208,'OI(Value)'!$A$7:$O$329,12,0)</f>
        <v>24</v>
      </c>
    </row>
    <row r="209" spans="1:15" x14ac:dyDescent="0.25">
      <c r="A209" s="105" t="str">
        <f>'Data Vlaue (Cr)'!C204</f>
        <v>ULTRACEMCO</v>
      </c>
      <c r="B209" s="143">
        <f>VLOOKUP($A209,'Data shares'!$C:$FA,118)</f>
        <v>0.43</v>
      </c>
      <c r="C209" s="143">
        <f>VLOOKUP($A209,'Data shares'!$C:$FA,119)</f>
        <v>0.42</v>
      </c>
      <c r="D209" s="143">
        <f>VLOOKUP($A209,'Data shares'!$C:$FA,121)*100</f>
        <v>2.3800000000000003</v>
      </c>
      <c r="E209" s="143">
        <f>VLOOKUP($A209,'Data shares'!$C:$FA,124)</f>
        <v>0.42</v>
      </c>
      <c r="F209" s="143">
        <f>VLOOKUP($A209,'Data shares'!$C:$FA,125)</f>
        <v>0.55000000000000004</v>
      </c>
      <c r="G209" s="143">
        <f>VLOOKUP($A209,'Data shares'!$C:$FA,127)*100</f>
        <v>-23.64</v>
      </c>
      <c r="H209" s="103">
        <f>VLOOKUP($A209,'OI(Volume)'!$A$7:$O$445,8)</f>
        <v>0</v>
      </c>
      <c r="I209" s="103">
        <f>VLOOKUP($A209,'OI(Volume)'!$A$7:$O$445,9)</f>
        <v>0</v>
      </c>
      <c r="J209" s="103">
        <f>VLOOKUP($A209,'OI(Volume)'!$A$7:$O$445,11)</f>
        <v>0</v>
      </c>
      <c r="K209" s="103">
        <f>VLOOKUP($A209,'OI(Volume)'!$A$7:$O$445,12)</f>
        <v>0</v>
      </c>
      <c r="L209" s="103">
        <f>VLOOKUP($A209,'OI(Value)'!$A$7:$O$329,8,0)</f>
        <v>1346</v>
      </c>
      <c r="M209" s="103">
        <f>VLOOKUP($A209,'OI(Value)'!$A$7:$O$329,9,0)</f>
        <v>44</v>
      </c>
      <c r="N209" s="103">
        <f>VLOOKUP($A209,'OI(Value)'!$A$7:$O$329,11,0)</f>
        <v>581</v>
      </c>
      <c r="O209" s="103">
        <f>VLOOKUP($A209,'OI(Value)'!$A$7:$O$329,12,0)</f>
        <v>31</v>
      </c>
    </row>
    <row r="210" spans="1:15" x14ac:dyDescent="0.25">
      <c r="A210" s="105" t="str">
        <f>'Data Vlaue (Cr)'!C205</f>
        <v>UNIONBANK</v>
      </c>
      <c r="B210" s="143">
        <f>VLOOKUP($A210,'Data shares'!$C:$FA,118)</f>
        <v>0.51</v>
      </c>
      <c r="C210" s="143">
        <f>VLOOKUP($A210,'Data shares'!$C:$FA,119)</f>
        <v>0.56999999999999995</v>
      </c>
      <c r="D210" s="143">
        <f>VLOOKUP($A210,'Data shares'!$C:$FA,121)*100</f>
        <v>-10.530000000000001</v>
      </c>
      <c r="E210" s="143">
        <f>VLOOKUP($A210,'Data shares'!$C:$FA,124)</f>
        <v>0.32</v>
      </c>
      <c r="F210" s="143">
        <f>VLOOKUP($A210,'Data shares'!$C:$FA,125)</f>
        <v>0.53</v>
      </c>
      <c r="G210" s="143">
        <f>VLOOKUP($A210,'Data shares'!$C:$FA,127)*100</f>
        <v>-39.619999999999997</v>
      </c>
      <c r="H210" s="103">
        <f>VLOOKUP($A210,'OI(Volume)'!$A$7:$O$445,8)</f>
        <v>0</v>
      </c>
      <c r="I210" s="103">
        <f>VLOOKUP($A210,'OI(Volume)'!$A$7:$O$445,9)</f>
        <v>0</v>
      </c>
      <c r="J210" s="103">
        <f>VLOOKUP($A210,'OI(Volume)'!$A$7:$O$445,11)</f>
        <v>0</v>
      </c>
      <c r="K210" s="103">
        <f>VLOOKUP($A210,'OI(Volume)'!$A$7:$O$445,12)</f>
        <v>0</v>
      </c>
      <c r="L210" s="103">
        <f>VLOOKUP($A210,'OI(Value)'!$A$7:$O$329,8,0)</f>
        <v>1026</v>
      </c>
      <c r="M210" s="103">
        <f>VLOOKUP($A210,'OI(Value)'!$A$7:$O$329,9,0)</f>
        <v>127</v>
      </c>
      <c r="N210" s="103">
        <f>VLOOKUP($A210,'OI(Value)'!$A$7:$O$329,11,0)</f>
        <v>523</v>
      </c>
      <c r="O210" s="103">
        <f>VLOOKUP($A210,'OI(Value)'!$A$7:$O$329,12,0)</f>
        <v>10</v>
      </c>
    </row>
    <row r="211" spans="1:15" x14ac:dyDescent="0.25">
      <c r="A211" s="105" t="str">
        <f>'Data Vlaue (Cr)'!C206</f>
        <v>UNITDSPR</v>
      </c>
      <c r="B211" s="143">
        <f>VLOOKUP($A211,'Data shares'!$C:$FA,118)</f>
        <v>0.68</v>
      </c>
      <c r="C211" s="143">
        <f>VLOOKUP($A211,'Data shares'!$C:$FA,119)</f>
        <v>0.72</v>
      </c>
      <c r="D211" s="143">
        <f>VLOOKUP($A211,'Data shares'!$C:$FA,121)*100</f>
        <v>-5.56</v>
      </c>
      <c r="E211" s="143">
        <f>VLOOKUP($A211,'Data shares'!$C:$FA,124)</f>
        <v>0.28999999999999998</v>
      </c>
      <c r="F211" s="143">
        <f>VLOOKUP($A211,'Data shares'!$C:$FA,125)</f>
        <v>0.4</v>
      </c>
      <c r="G211" s="143">
        <f>VLOOKUP($A211,'Data shares'!$C:$FA,127)*100</f>
        <v>-27.500000000000004</v>
      </c>
      <c r="H211" s="103">
        <f>VLOOKUP($A211,'OI(Volume)'!$A$7:$O$445,8)</f>
        <v>0</v>
      </c>
      <c r="I211" s="103">
        <f>VLOOKUP($A211,'OI(Volume)'!$A$7:$O$445,9)</f>
        <v>0</v>
      </c>
      <c r="J211" s="103">
        <f>VLOOKUP($A211,'OI(Volume)'!$A$7:$O$445,11)</f>
        <v>0</v>
      </c>
      <c r="K211" s="103">
        <f>VLOOKUP($A211,'OI(Volume)'!$A$7:$O$445,12)</f>
        <v>0</v>
      </c>
      <c r="L211" s="103">
        <f>VLOOKUP($A211,'OI(Value)'!$A$7:$O$329,8,0)</f>
        <v>378</v>
      </c>
      <c r="M211" s="103">
        <f>VLOOKUP($A211,'OI(Value)'!$A$7:$O$329,9,0)</f>
        <v>22</v>
      </c>
      <c r="N211" s="103">
        <f>VLOOKUP($A211,'OI(Value)'!$A$7:$O$329,11,0)</f>
        <v>259</v>
      </c>
      <c r="O211" s="103">
        <f>VLOOKUP($A211,'OI(Value)'!$A$7:$O$329,12,0)</f>
        <v>3</v>
      </c>
    </row>
    <row r="212" spans="1:15" x14ac:dyDescent="0.25">
      <c r="A212" s="105" t="str">
        <f>'Data Vlaue (Cr)'!C207</f>
        <v>UNOMINDA</v>
      </c>
      <c r="B212" s="143">
        <f>VLOOKUP($A212,'Data shares'!$C:$FA,118)</f>
        <v>0.46</v>
      </c>
      <c r="C212" s="143">
        <f>VLOOKUP($A212,'Data shares'!$C:$FA,119)</f>
        <v>0.47</v>
      </c>
      <c r="D212" s="143">
        <f>VLOOKUP($A212,'Data shares'!$C:$FA,121)*100</f>
        <v>-2.13</v>
      </c>
      <c r="E212" s="143">
        <f>VLOOKUP($A212,'Data shares'!$C:$FA,124)</f>
        <v>0.31</v>
      </c>
      <c r="F212" s="143">
        <f>VLOOKUP($A212,'Data shares'!$C:$FA,125)</f>
        <v>0.28000000000000003</v>
      </c>
      <c r="G212" s="143">
        <f>VLOOKUP($A212,'Data shares'!$C:$FA,127)*100</f>
        <v>10.71</v>
      </c>
      <c r="H212" s="103">
        <f>VLOOKUP($A212,'OI(Volume)'!$A$7:$O$445,8)</f>
        <v>0</v>
      </c>
      <c r="I212" s="103">
        <f>VLOOKUP($A212,'OI(Volume)'!$A$7:$O$445,9)</f>
        <v>0</v>
      </c>
      <c r="J212" s="103">
        <f>VLOOKUP($A212,'OI(Volume)'!$A$7:$O$445,11)</f>
        <v>0</v>
      </c>
      <c r="K212" s="103">
        <f>VLOOKUP($A212,'OI(Volume)'!$A$7:$O$445,12)</f>
        <v>0</v>
      </c>
      <c r="L212" s="103">
        <f>VLOOKUP($A212,'OI(Value)'!$A$7:$O$329,8,0)</f>
        <v>114</v>
      </c>
      <c r="M212" s="103">
        <f>VLOOKUP($A212,'OI(Value)'!$A$7:$O$329,9,0)</f>
        <v>23</v>
      </c>
      <c r="N212" s="103">
        <f>VLOOKUP($A212,'OI(Value)'!$A$7:$O$329,11,0)</f>
        <v>52</v>
      </c>
      <c r="O212" s="103">
        <f>VLOOKUP($A212,'OI(Value)'!$A$7:$O$329,12,0)</f>
        <v>9</v>
      </c>
    </row>
    <row r="213" spans="1:15" x14ac:dyDescent="0.25">
      <c r="A213" s="105" t="str">
        <f>'Data Vlaue (Cr)'!C208</f>
        <v>UPL</v>
      </c>
      <c r="B213" s="143">
        <f>VLOOKUP($A213,'Data shares'!$C:$FA,118)</f>
        <v>0.74</v>
      </c>
      <c r="C213" s="143">
        <f>VLOOKUP($A213,'Data shares'!$C:$FA,119)</f>
        <v>0.79</v>
      </c>
      <c r="D213" s="143">
        <f>VLOOKUP($A213,'Data shares'!$C:$FA,121)*100</f>
        <v>-6.3299999999999992</v>
      </c>
      <c r="E213" s="143">
        <f>VLOOKUP($A213,'Data shares'!$C:$FA,124)</f>
        <v>0.44</v>
      </c>
      <c r="F213" s="143">
        <f>VLOOKUP($A213,'Data shares'!$C:$FA,125)</f>
        <v>0.49</v>
      </c>
      <c r="G213" s="143">
        <f>VLOOKUP($A213,'Data shares'!$C:$FA,127)*100</f>
        <v>-10.199999999999999</v>
      </c>
      <c r="H213" s="103">
        <f>VLOOKUP($A213,'OI(Volume)'!$A$7:$O$445,8)</f>
        <v>0</v>
      </c>
      <c r="I213" s="103">
        <f>VLOOKUP($A213,'OI(Volume)'!$A$7:$O$445,9)</f>
        <v>0</v>
      </c>
      <c r="J213" s="103">
        <f>VLOOKUP($A213,'OI(Volume)'!$A$7:$O$445,11)</f>
        <v>0</v>
      </c>
      <c r="K213" s="103">
        <f>VLOOKUP($A213,'OI(Volume)'!$A$7:$O$445,12)</f>
        <v>0</v>
      </c>
      <c r="L213" s="103">
        <f>VLOOKUP($A213,'OI(Value)'!$A$7:$O$329,8,0)</f>
        <v>286</v>
      </c>
      <c r="M213" s="103">
        <f>VLOOKUP($A213,'OI(Value)'!$A$7:$O$329,9,0)</f>
        <v>25</v>
      </c>
      <c r="N213" s="103">
        <f>VLOOKUP($A213,'OI(Value)'!$A$7:$O$329,11,0)</f>
        <v>211</v>
      </c>
      <c r="O213" s="103">
        <f>VLOOKUP($A213,'OI(Value)'!$A$7:$O$329,12,0)</f>
        <v>5</v>
      </c>
    </row>
    <row r="214" spans="1:15" x14ac:dyDescent="0.25">
      <c r="A214" s="105" t="str">
        <f>'Data Vlaue (Cr)'!C209</f>
        <v>VBL</v>
      </c>
      <c r="B214" s="143">
        <f>VLOOKUP($A214,'Data shares'!$C:$FA,118)</f>
        <v>0.56999999999999995</v>
      </c>
      <c r="C214" s="143">
        <f>VLOOKUP($A214,'Data shares'!$C:$FA,119)</f>
        <v>0.54</v>
      </c>
      <c r="D214" s="143">
        <f>VLOOKUP($A214,'Data shares'!$C:$FA,121)*100</f>
        <v>5.56</v>
      </c>
      <c r="E214" s="143">
        <f>VLOOKUP($A214,'Data shares'!$C:$FA,124)</f>
        <v>0.44</v>
      </c>
      <c r="F214" s="143">
        <f>VLOOKUP($A214,'Data shares'!$C:$FA,125)</f>
        <v>0.68</v>
      </c>
      <c r="G214" s="143">
        <f>VLOOKUP($A214,'Data shares'!$C:$FA,127)*100</f>
        <v>-35.29</v>
      </c>
      <c r="H214" s="103">
        <f>VLOOKUP($A214,'OI(Volume)'!$A$7:$O$445,8)</f>
        <v>0</v>
      </c>
      <c r="I214" s="103">
        <f>VLOOKUP($A214,'OI(Volume)'!$A$7:$O$445,9)</f>
        <v>0</v>
      </c>
      <c r="J214" s="103">
        <f>VLOOKUP($A214,'OI(Volume)'!$A$7:$O$445,11)</f>
        <v>0</v>
      </c>
      <c r="K214" s="103">
        <f>VLOOKUP($A214,'OI(Volume)'!$A$7:$O$445,12)</f>
        <v>0</v>
      </c>
      <c r="L214" s="103">
        <f>VLOOKUP($A214,'OI(Value)'!$A$7:$O$329,8,0)</f>
        <v>566</v>
      </c>
      <c r="M214" s="103">
        <f>VLOOKUP($A214,'OI(Value)'!$A$7:$O$329,9,0)</f>
        <v>14</v>
      </c>
      <c r="N214" s="103">
        <f>VLOOKUP($A214,'OI(Value)'!$A$7:$O$329,11,0)</f>
        <v>320</v>
      </c>
      <c r="O214" s="103">
        <f>VLOOKUP($A214,'OI(Value)'!$A$7:$O$329,12,0)</f>
        <v>23</v>
      </c>
    </row>
    <row r="215" spans="1:15" x14ac:dyDescent="0.25">
      <c r="A215" s="105" t="str">
        <f>'Data Vlaue (Cr)'!C210</f>
        <v>VEDL</v>
      </c>
      <c r="B215" s="143">
        <f>VLOOKUP($A215,'Data shares'!$C:$FA,118)</f>
        <v>0.5</v>
      </c>
      <c r="C215" s="143">
        <f>VLOOKUP($A215,'Data shares'!$C:$FA,119)</f>
        <v>0.43</v>
      </c>
      <c r="D215" s="143">
        <f>VLOOKUP($A215,'Data shares'!$C:$FA,121)*100</f>
        <v>16.28</v>
      </c>
      <c r="E215" s="143">
        <f>VLOOKUP($A215,'Data shares'!$C:$FA,124)</f>
        <v>0.3</v>
      </c>
      <c r="F215" s="143">
        <f>VLOOKUP($A215,'Data shares'!$C:$FA,125)</f>
        <v>0.56999999999999995</v>
      </c>
      <c r="G215" s="143">
        <f>VLOOKUP($A215,'Data shares'!$C:$FA,127)*100</f>
        <v>-47.370000000000005</v>
      </c>
      <c r="H215" s="103">
        <f>VLOOKUP($A215,'OI(Volume)'!$A$7:$O$445,8)</f>
        <v>0</v>
      </c>
      <c r="I215" s="103">
        <f>VLOOKUP($A215,'OI(Volume)'!$A$7:$O$445,9)</f>
        <v>0</v>
      </c>
      <c r="J215" s="103">
        <f>VLOOKUP($A215,'OI(Volume)'!$A$7:$O$445,11)</f>
        <v>0</v>
      </c>
      <c r="K215" s="103">
        <f>VLOOKUP($A215,'OI(Volume)'!$A$7:$O$445,12)</f>
        <v>0</v>
      </c>
      <c r="L215" s="103">
        <f>VLOOKUP($A215,'OI(Value)'!$A$7:$O$329,8,0)</f>
        <v>739</v>
      </c>
      <c r="M215" s="103">
        <f>VLOOKUP($A215,'OI(Value)'!$A$7:$O$329,9,0)</f>
        <v>257</v>
      </c>
      <c r="N215" s="103">
        <f>VLOOKUP($A215,'OI(Value)'!$A$7:$O$329,11,0)</f>
        <v>372</v>
      </c>
      <c r="O215" s="103">
        <f>VLOOKUP($A215,'OI(Value)'!$A$7:$O$329,12,0)</f>
        <v>164</v>
      </c>
    </row>
    <row r="216" spans="1:15" x14ac:dyDescent="0.25">
      <c r="A216" s="105" t="str">
        <f>'Data Vlaue (Cr)'!C211</f>
        <v>VMM</v>
      </c>
      <c r="B216" s="143">
        <f>VLOOKUP($A216,'Data shares'!$C:$FA,118)</f>
        <v>0.48</v>
      </c>
      <c r="C216" s="143">
        <f>VLOOKUP($A216,'Data shares'!$C:$FA,119)</f>
        <v>0.56999999999999995</v>
      </c>
      <c r="D216" s="143">
        <f>VLOOKUP($A216,'Data shares'!$C:$FA,121)*100</f>
        <v>-15.790000000000001</v>
      </c>
      <c r="E216" s="143">
        <f>VLOOKUP($A216,'Data shares'!$C:$FA,124)</f>
        <v>0.18</v>
      </c>
      <c r="F216" s="143">
        <f>VLOOKUP($A216,'Data shares'!$C:$FA,125)</f>
        <v>0.32</v>
      </c>
      <c r="G216" s="143">
        <f>VLOOKUP($A216,'Data shares'!$C:$FA,127)*100</f>
        <v>-43.75</v>
      </c>
      <c r="H216" s="103">
        <f>VLOOKUP($A216,'OI(Volume)'!$A$7:$O$445,8)</f>
        <v>0</v>
      </c>
      <c r="I216" s="103">
        <f>VLOOKUP($A216,'OI(Volume)'!$A$7:$O$445,9)</f>
        <v>0</v>
      </c>
      <c r="J216" s="103">
        <f>VLOOKUP($A216,'OI(Volume)'!$A$7:$O$445,11)</f>
        <v>0</v>
      </c>
      <c r="K216" s="103">
        <f>VLOOKUP($A216,'OI(Volume)'!$A$7:$O$445,12)</f>
        <v>0</v>
      </c>
      <c r="L216" s="103">
        <f>VLOOKUP($A216,'OI(Value)'!$A$7:$O$329,8,0)</f>
        <v>39</v>
      </c>
      <c r="M216" s="103">
        <f>VLOOKUP($A216,'OI(Value)'!$A$7:$O$329,9,0)</f>
        <v>10</v>
      </c>
      <c r="N216" s="103">
        <f>VLOOKUP($A216,'OI(Value)'!$A$7:$O$329,11,0)</f>
        <v>19</v>
      </c>
      <c r="O216" s="103">
        <f>VLOOKUP($A216,'OI(Value)'!$A$7:$O$329,12,0)</f>
        <v>2</v>
      </c>
    </row>
    <row r="217" spans="1:15" x14ac:dyDescent="0.25">
      <c r="A217" s="105" t="str">
        <f>'Data Vlaue (Cr)'!C212</f>
        <v>VOLTAS</v>
      </c>
      <c r="B217" s="143">
        <f>VLOOKUP($A217,'Data shares'!$C:$FA,118)</f>
        <v>0.71</v>
      </c>
      <c r="C217" s="143">
        <f>VLOOKUP($A217,'Data shares'!$C:$FA,119)</f>
        <v>0.73</v>
      </c>
      <c r="D217" s="143">
        <f>VLOOKUP($A217,'Data shares'!$C:$FA,121)*100</f>
        <v>-2.74</v>
      </c>
      <c r="E217" s="143">
        <f>VLOOKUP($A217,'Data shares'!$C:$FA,124)</f>
        <v>0.37</v>
      </c>
      <c r="F217" s="143">
        <f>VLOOKUP($A217,'Data shares'!$C:$FA,125)</f>
        <v>0.55000000000000004</v>
      </c>
      <c r="G217" s="143">
        <f>VLOOKUP($A217,'Data shares'!$C:$FA,127)*100</f>
        <v>-32.729999999999997</v>
      </c>
      <c r="H217" s="103">
        <f>VLOOKUP($A217,'OI(Volume)'!$A$7:$O$445,8)</f>
        <v>0</v>
      </c>
      <c r="I217" s="103">
        <f>VLOOKUP($A217,'OI(Volume)'!$A$7:$O$445,9)</f>
        <v>0</v>
      </c>
      <c r="J217" s="103">
        <f>VLOOKUP($A217,'OI(Volume)'!$A$7:$O$445,11)</f>
        <v>0</v>
      </c>
      <c r="K217" s="103">
        <f>VLOOKUP($A217,'OI(Volume)'!$A$7:$O$445,12)</f>
        <v>0</v>
      </c>
      <c r="L217" s="103">
        <f>VLOOKUP($A217,'OI(Value)'!$A$7:$O$329,8,0)</f>
        <v>355</v>
      </c>
      <c r="M217" s="103">
        <f>VLOOKUP($A217,'OI(Value)'!$A$7:$O$329,9,0)</f>
        <v>16</v>
      </c>
      <c r="N217" s="103">
        <f>VLOOKUP($A217,'OI(Value)'!$A$7:$O$329,11,0)</f>
        <v>253</v>
      </c>
      <c r="O217" s="103">
        <f>VLOOKUP($A217,'OI(Value)'!$A$7:$O$329,12,0)</f>
        <v>7</v>
      </c>
    </row>
    <row r="218" spans="1:15" x14ac:dyDescent="0.25">
      <c r="A218" s="105" t="str">
        <f>'Data Vlaue (Cr)'!C213</f>
        <v>WAAREEENER</v>
      </c>
      <c r="B218" s="143">
        <f>VLOOKUP($A218,'Data shares'!$C:$FA,118)</f>
        <v>0.5</v>
      </c>
      <c r="C218" s="143">
        <f>VLOOKUP($A218,'Data shares'!$C:$FA,119)</f>
        <v>0.5</v>
      </c>
      <c r="D218" s="143">
        <f>VLOOKUP($A218,'Data shares'!$C:$FA,121)*100</f>
        <v>0</v>
      </c>
      <c r="E218" s="143">
        <f>VLOOKUP($A218,'Data shares'!$C:$FA,124)</f>
        <v>0.27</v>
      </c>
      <c r="F218" s="143">
        <f>VLOOKUP($A218,'Data shares'!$C:$FA,125)</f>
        <v>0.55000000000000004</v>
      </c>
      <c r="G218" s="143">
        <f>VLOOKUP($A218,'Data shares'!$C:$FA,127)*100</f>
        <v>-50.91</v>
      </c>
      <c r="H218" s="103">
        <f>VLOOKUP($A218,'OI(Volume)'!$A$7:$O$445,8)</f>
        <v>0</v>
      </c>
      <c r="I218" s="103">
        <f>VLOOKUP($A218,'OI(Volume)'!$A$7:$O$445,9)</f>
        <v>0</v>
      </c>
      <c r="J218" s="103">
        <f>VLOOKUP($A218,'OI(Volume)'!$A$7:$O$445,11)</f>
        <v>0</v>
      </c>
      <c r="K218" s="103">
        <f>VLOOKUP($A218,'OI(Volume)'!$A$7:$O$445,12)</f>
        <v>0</v>
      </c>
      <c r="L218" s="103">
        <f>VLOOKUP($A218,'OI(Value)'!$A$7:$O$329,8,0)</f>
        <v>1414</v>
      </c>
      <c r="M218" s="103">
        <f>VLOOKUP($A218,'OI(Value)'!$A$7:$O$329,9,0)</f>
        <v>146</v>
      </c>
      <c r="N218" s="103">
        <f>VLOOKUP($A218,'OI(Value)'!$A$7:$O$329,11,0)</f>
        <v>705</v>
      </c>
      <c r="O218" s="103">
        <f>VLOOKUP($A218,'OI(Value)'!$A$7:$O$329,12,0)</f>
        <v>69</v>
      </c>
    </row>
    <row r="219" spans="1:15" x14ac:dyDescent="0.25">
      <c r="A219" s="105" t="str">
        <f>'Data Vlaue (Cr)'!C214</f>
        <v>WIPRO</v>
      </c>
      <c r="B219" s="143">
        <f>VLOOKUP($A219,'Data shares'!$C:$FA,118)</f>
        <v>0.53</v>
      </c>
      <c r="C219" s="143">
        <f>VLOOKUP($A219,'Data shares'!$C:$FA,119)</f>
        <v>0.55000000000000004</v>
      </c>
      <c r="D219" s="143">
        <f>VLOOKUP($A219,'Data shares'!$C:$FA,121)*100</f>
        <v>-3.64</v>
      </c>
      <c r="E219" s="143">
        <f>VLOOKUP($A219,'Data shares'!$C:$FA,124)</f>
        <v>0.46</v>
      </c>
      <c r="F219" s="143">
        <f>VLOOKUP($A219,'Data shares'!$C:$FA,125)</f>
        <v>0.41</v>
      </c>
      <c r="G219" s="143">
        <f>VLOOKUP($A219,'Data shares'!$C:$FA,127)*100</f>
        <v>12.2</v>
      </c>
      <c r="H219" s="103">
        <f>VLOOKUP($A219,'OI(Volume)'!$A$7:$O$445,8)</f>
        <v>0</v>
      </c>
      <c r="I219" s="103">
        <f>VLOOKUP($A219,'OI(Volume)'!$A$7:$O$445,9)</f>
        <v>0</v>
      </c>
      <c r="J219" s="103">
        <f>VLOOKUP($A219,'OI(Volume)'!$A$7:$O$445,11)</f>
        <v>0</v>
      </c>
      <c r="K219" s="103">
        <f>VLOOKUP($A219,'OI(Volume)'!$A$7:$O$445,12)</f>
        <v>0</v>
      </c>
      <c r="L219" s="103">
        <f>VLOOKUP($A219,'OI(Value)'!$A$7:$O$329,8,0)</f>
        <v>2504</v>
      </c>
      <c r="M219" s="103">
        <f>VLOOKUP($A219,'OI(Value)'!$A$7:$O$329,9,0)</f>
        <v>146</v>
      </c>
      <c r="N219" s="103">
        <f>VLOOKUP($A219,'OI(Value)'!$A$7:$O$329,11,0)</f>
        <v>1336</v>
      </c>
      <c r="O219" s="103">
        <f>VLOOKUP($A219,'OI(Value)'!$A$7:$O$329,12,0)</f>
        <v>37</v>
      </c>
    </row>
    <row r="220" spans="1:15" x14ac:dyDescent="0.25">
      <c r="A220" s="105" t="str">
        <f>'Data Vlaue (Cr)'!C215</f>
        <v>YESBANK</v>
      </c>
      <c r="B220" s="143">
        <f>VLOOKUP($A220,'Data shares'!$C:$FA,118)</f>
        <v>0.49</v>
      </c>
      <c r="C220" s="143">
        <f>VLOOKUP($A220,'Data shares'!$C:$FA,119)</f>
        <v>0.47</v>
      </c>
      <c r="D220" s="143">
        <f>VLOOKUP($A220,'Data shares'!$C:$FA,121)*100</f>
        <v>4.26</v>
      </c>
      <c r="E220" s="143">
        <f>VLOOKUP($A220,'Data shares'!$C:$FA,124)</f>
        <v>0.37</v>
      </c>
      <c r="F220" s="143">
        <f>VLOOKUP($A220,'Data shares'!$C:$FA,125)</f>
        <v>0.31</v>
      </c>
      <c r="G220" s="143">
        <f>VLOOKUP($A220,'Data shares'!$C:$FA,127)*100</f>
        <v>19.350000000000001</v>
      </c>
      <c r="H220" s="103">
        <f>VLOOKUP($A220,'OI(Volume)'!$A$7:$O$445,8)</f>
        <v>0</v>
      </c>
      <c r="I220" s="103">
        <f>VLOOKUP($A220,'OI(Volume)'!$A$7:$O$445,9)</f>
        <v>0</v>
      </c>
      <c r="J220" s="103">
        <f>VLOOKUP($A220,'OI(Volume)'!$A$7:$O$445,11)</f>
        <v>0</v>
      </c>
      <c r="K220" s="103">
        <f>VLOOKUP($A220,'OI(Volume)'!$A$7:$O$445,12)</f>
        <v>0</v>
      </c>
      <c r="L220" s="103">
        <f>VLOOKUP($A220,'OI(Value)'!$A$7:$O$329,8,0)</f>
        <v>718</v>
      </c>
      <c r="M220" s="103">
        <f>VLOOKUP($A220,'OI(Value)'!$A$7:$O$329,9,0)</f>
        <v>3</v>
      </c>
      <c r="N220" s="103">
        <f>VLOOKUP($A220,'OI(Value)'!$A$7:$O$329,11,0)</f>
        <v>351</v>
      </c>
      <c r="O220" s="103">
        <f>VLOOKUP($A220,'OI(Value)'!$A$7:$O$329,12,0)</f>
        <v>13</v>
      </c>
    </row>
    <row r="221" spans="1:15" x14ac:dyDescent="0.25">
      <c r="A221" s="105" t="str">
        <f>'Data Vlaue (Cr)'!C216</f>
        <v>ZYDUSLIFE</v>
      </c>
      <c r="B221" s="143">
        <f>VLOOKUP($A221,'Data shares'!$C:$FA,118)</f>
        <v>0.71</v>
      </c>
      <c r="C221" s="143">
        <f>VLOOKUP($A221,'Data shares'!$C:$FA,119)</f>
        <v>0.78</v>
      </c>
      <c r="D221" s="143">
        <f>VLOOKUP($A221,'Data shares'!$C:$FA,121)*100</f>
        <v>-8.9700000000000006</v>
      </c>
      <c r="E221" s="143">
        <f>VLOOKUP($A221,'Data shares'!$C:$FA,124)</f>
        <v>0.31</v>
      </c>
      <c r="F221" s="143">
        <f>VLOOKUP($A221,'Data shares'!$C:$FA,125)</f>
        <v>0.48</v>
      </c>
      <c r="G221" s="143">
        <f>VLOOKUP($A221,'Data shares'!$C:$FA,127)*100</f>
        <v>-35.42</v>
      </c>
      <c r="H221" s="103">
        <f>VLOOKUP($A221,'OI(Volume)'!$A$7:$O$445,8)</f>
        <v>0</v>
      </c>
      <c r="I221" s="103">
        <f>VLOOKUP($A221,'OI(Volume)'!$A$7:$O$445,9)</f>
        <v>0</v>
      </c>
      <c r="J221" s="103">
        <f>VLOOKUP($A221,'OI(Volume)'!$A$7:$O$445,11)</f>
        <v>0</v>
      </c>
      <c r="K221" s="103">
        <f>VLOOKUP($A221,'OI(Volume)'!$A$7:$O$445,12)</f>
        <v>0</v>
      </c>
      <c r="L221" s="103">
        <f>VLOOKUP($A221,'OI(Value)'!$A$7:$O$329,8,0)</f>
        <v>267</v>
      </c>
      <c r="M221" s="103">
        <f>VLOOKUP($A221,'OI(Value)'!$A$7:$O$329,9,0)</f>
        <v>25</v>
      </c>
      <c r="N221" s="103">
        <f>VLOOKUP($A221,'OI(Value)'!$A$7:$O$329,11,0)</f>
        <v>190</v>
      </c>
      <c r="O221" s="103">
        <f>VLOOKUP($A221,'OI(Value)'!$A$7:$O$329,12,0)</f>
        <v>2</v>
      </c>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4517477190</v>
      </c>
      <c r="I241" s="135">
        <f t="shared" si="0"/>
        <v>677033939</v>
      </c>
      <c r="J241" s="135">
        <f t="shared" si="0"/>
        <v>2731397160</v>
      </c>
      <c r="K241" s="135">
        <f t="shared" si="0"/>
        <v>283466054</v>
      </c>
      <c r="L241" s="135">
        <f t="shared" si="0"/>
        <v>965224</v>
      </c>
      <c r="M241" s="135">
        <f t="shared" si="0"/>
        <v>267100</v>
      </c>
      <c r="N241" s="135">
        <f t="shared" si="0"/>
        <v>757401</v>
      </c>
      <c r="O241" s="135">
        <f>SUM(O7:O240)</f>
        <v>116552</v>
      </c>
    </row>
    <row r="242" spans="1:15" x14ac:dyDescent="0.25">
      <c r="A242" s="126" t="s">
        <v>415</v>
      </c>
      <c r="B242" s="136"/>
      <c r="C242" s="136"/>
      <c r="D242" s="136"/>
      <c r="E242" s="136"/>
      <c r="F242" s="136"/>
      <c r="G242" s="136"/>
      <c r="H242" s="137">
        <f>H241/10000000</f>
        <v>451.74771900000002</v>
      </c>
      <c r="I242" s="137">
        <f>I241/10000000</f>
        <v>67.703393899999995</v>
      </c>
      <c r="J242" s="137">
        <f>J241/10000000</f>
        <v>273.13971600000002</v>
      </c>
      <c r="K242" s="137">
        <f>K241/10000000</f>
        <v>28.346605400000001</v>
      </c>
      <c r="L242" s="138">
        <f>L241</f>
        <v>965224</v>
      </c>
      <c r="M242" s="138">
        <f>M241</f>
        <v>267100</v>
      </c>
      <c r="N242" s="138">
        <f>N241</f>
        <v>757401</v>
      </c>
      <c r="O242" s="138">
        <f>O241</f>
        <v>116552</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2026-05-05T03:12:16Z</dcterms:modified>
</cp:coreProperties>
</file>